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40" firstSheet="1" activeTab="1"/>
  </bookViews>
  <sheets>
    <sheet name="Rashodi" sheetId="1" state="hidden" r:id="rId1"/>
    <sheet name="Prihodi-2022" sheetId="2" r:id="rId2"/>
    <sheet name="rash.po nam." sheetId="3" state="hidden" r:id="rId3"/>
    <sheet name="prihodi 2" sheetId="4" state="hidden" r:id="rId4"/>
    <sheet name="Rash.po funkcijama" sheetId="5" state="hidden" r:id="rId5"/>
    <sheet name="Struktura programa" sheetId="6" state="hidden" r:id="rId6"/>
    <sheet name="SUf.i def.- NOVO" sheetId="7" state="hidden" r:id="rId7"/>
    <sheet name="Rashodi-2022 Odluka" sheetId="8" state="hidden" r:id="rId8"/>
  </sheets>
  <externalReferences>
    <externalReference r:id="rId11"/>
    <externalReference r:id="rId12"/>
  </externalReferences>
  <definedNames>
    <definedName name="_xlfn.IFERROR" hidden="1">#NAME?</definedName>
    <definedName name="ljkl">'[1]Расх по функц. '!$F$139</definedName>
    <definedName name="_xlnm.Print_Area" localSheetId="2">'rash.po nam.'!$A$1:$J$93</definedName>
    <definedName name="_xlnm.Print_Area" localSheetId="0">'Rashodi'!$A$1:$W$498</definedName>
    <definedName name="_xlnm.Print_Titles" localSheetId="0">'Rashodi'!$6:$6</definedName>
    <definedName name="Ukupno_funkcionalna">'[1]Расх по функц. '!$F$139</definedName>
    <definedName name="Ukupno_izdaci">'[1]По основ. нам.'!$F$86</definedName>
  </definedNames>
  <calcPr fullCalcOnLoad="1"/>
</workbook>
</file>

<file path=xl/sharedStrings.xml><?xml version="1.0" encoding="utf-8"?>
<sst xmlns="http://schemas.openxmlformats.org/spreadsheetml/2006/main" count="2540" uniqueCount="1601">
  <si>
    <t>Програм 5.  Развој пољопривреде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</si>
  <si>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</si>
  <si>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</si>
  <si>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</si>
  <si>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</si>
  <si>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</si>
  <si>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</si>
  <si>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</si>
  <si>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</si>
  <si>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</si>
  <si>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</si>
  <si>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Структ-ура %</t>
  </si>
  <si>
    <t>Сопствени и други приходи</t>
  </si>
  <si>
    <t>Укупна средства</t>
  </si>
  <si>
    <t>1</t>
  </si>
  <si>
    <t>Средства из буџета</t>
  </si>
  <si>
    <t>01</t>
  </si>
  <si>
    <t>Mатеријал за потребе одбране</t>
  </si>
  <si>
    <t>04</t>
  </si>
  <si>
    <t>07</t>
  </si>
  <si>
    <t>06</t>
  </si>
  <si>
    <t>090</t>
  </si>
  <si>
    <t>040</t>
  </si>
  <si>
    <t>Број конта</t>
  </si>
  <si>
    <t>В Р С Т А   Р А С Х О Д А</t>
  </si>
  <si>
    <t>УКУПНО</t>
  </si>
  <si>
    <t>РАСХОДИ ЗА ЗАПОСЛЕНЕ</t>
  </si>
  <si>
    <t>Плате и додаци запослених</t>
  </si>
  <si>
    <t>Социјални доприноси</t>
  </si>
  <si>
    <t>Накнаде у натури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</si>
  <si>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</si>
  <si>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</si>
  <si>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</si>
  <si>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</si>
  <si>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</si>
  <si>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</si>
  <si>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</si>
  <si>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попр.и одрж.(усл.и матер).</t>
  </si>
  <si>
    <t>Материјал</t>
  </si>
  <si>
    <t>ОТПЛАТА КАМАТА</t>
  </si>
  <si>
    <t>Отплата домаћих камата</t>
  </si>
  <si>
    <t>ДОНАЦИЈЕ  И  ТРАНСФЕРИ</t>
  </si>
  <si>
    <t>Трансф. осталим нивоима власти</t>
  </si>
  <si>
    <t>Накнаде за социјалну заштиту</t>
  </si>
  <si>
    <t>ОСТАЛИ РАСХОДИ</t>
  </si>
  <si>
    <t>Дотације невладином организац.</t>
  </si>
  <si>
    <t>Порези,обав.таксе и казне</t>
  </si>
  <si>
    <t>Средства резерве</t>
  </si>
  <si>
    <t>ОСНОВНА СРЕДСТВА</t>
  </si>
  <si>
    <t>Зграде и грађевински објекти</t>
  </si>
  <si>
    <t>Машина и опрема</t>
  </si>
  <si>
    <t>731+732</t>
  </si>
  <si>
    <t>48+49</t>
  </si>
  <si>
    <t>група конта</t>
  </si>
  <si>
    <t>ВРСТА ПРИХОДА</t>
  </si>
  <si>
    <t>Приходи Буџета                                               извор финансирања: 01</t>
  </si>
  <si>
    <t>Порези</t>
  </si>
  <si>
    <t>Донације и трансфери</t>
  </si>
  <si>
    <t>Други приходи</t>
  </si>
  <si>
    <t>Сопствени приходи корисника                        извор финансирања: 04</t>
  </si>
  <si>
    <t>Донације и трансфери од међунар.организације                                       извор финансирања: 06</t>
  </si>
  <si>
    <t>Донације и трасфери                                       извор финансирања: 07</t>
  </si>
  <si>
    <t xml:space="preserve">Донације и трасфери </t>
  </si>
  <si>
    <t>УКУПНО ЗА ИЗВОР 01:</t>
  </si>
  <si>
    <t>УКУПНО ЗА ИЗВОР 04:</t>
  </si>
  <si>
    <t>УКУПНО ЗА ИЗВОР 06:</t>
  </si>
  <si>
    <t>УКУПНО ЗА ИЗВОР 07:</t>
  </si>
  <si>
    <t>760</t>
  </si>
  <si>
    <t>980</t>
  </si>
  <si>
    <t>АДМИНИСТ. ТРАНСФ. ИЗ БУЏЕТА</t>
  </si>
  <si>
    <t>ПРАВА ИЗ СОЦ. ОСИГУРАЊА</t>
  </si>
  <si>
    <t>Новч.казне по реш. судова</t>
  </si>
  <si>
    <t>1.1</t>
  </si>
  <si>
    <t>Земљиште</t>
  </si>
  <si>
    <t>Накн.штете нанете од стране држ.орг.</t>
  </si>
  <si>
    <t>130</t>
  </si>
  <si>
    <t>О П И С</t>
  </si>
  <si>
    <t>СКУПШТИНА ОПШТИНЕ</t>
  </si>
  <si>
    <t>Социјални доприноси на терет послодавца</t>
  </si>
  <si>
    <t>Дотације невладиним организ.-политичке странке</t>
  </si>
  <si>
    <t xml:space="preserve">ПРЕДСЕДНИК ОПШТИНЕ </t>
  </si>
  <si>
    <t>Порези, обавезне таксе и казне</t>
  </si>
  <si>
    <t>Машине и опрема</t>
  </si>
  <si>
    <t>Стална резерва</t>
  </si>
  <si>
    <t>Текућа резерва</t>
  </si>
  <si>
    <t>ОПШТИНСКО ВЕЋЕ</t>
  </si>
  <si>
    <t>Услуге по уговору-за унапређивање родне равноправности</t>
  </si>
  <si>
    <t>Услуге јавног здравства</t>
  </si>
  <si>
    <t>ОПШТИНСКА УПРАВА</t>
  </si>
  <si>
    <t>Опште услуге</t>
  </si>
  <si>
    <t>Текуће поправке и одржавање</t>
  </si>
  <si>
    <t>Новчане казне и пенали</t>
  </si>
  <si>
    <t>Накнада штете нанете од стране државних органа</t>
  </si>
  <si>
    <t>Породица и деца</t>
  </si>
  <si>
    <t>ПУ "РАДОСТ"</t>
  </si>
  <si>
    <t>Предшколско образовање</t>
  </si>
  <si>
    <t>Основно образовање</t>
  </si>
  <si>
    <t>413 Накнаде у натури</t>
  </si>
  <si>
    <t>415 Накнаде за запослене</t>
  </si>
  <si>
    <t>421 Стални трошкови</t>
  </si>
  <si>
    <t>422 Трошкови путовања ученика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</si>
  <si>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</si>
  <si>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</si>
  <si>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</si>
  <si>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</si>
  <si>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>482 Порези, обавезне таксе и казне</t>
  </si>
  <si>
    <t>512 Машине и опрема</t>
  </si>
  <si>
    <t xml:space="preserve">Средње образовање </t>
  </si>
  <si>
    <t>415 Накнада за запослене</t>
  </si>
  <si>
    <t>Образовање некласификовано на другом месту</t>
  </si>
  <si>
    <t>Социјална заштита некласификована на другом месту</t>
  </si>
  <si>
    <t>411 Плате и додаци запослених</t>
  </si>
  <si>
    <t>412 Социјални доприноси на терет послодавца</t>
  </si>
  <si>
    <t>Стамбени развој</t>
  </si>
  <si>
    <t>Развој заједнице</t>
  </si>
  <si>
    <t>МЕСНЕ ЗАЈЕДНИЦЕ</t>
  </si>
  <si>
    <t>МЗ ЧОКА</t>
  </si>
  <si>
    <t>Остале делатности</t>
  </si>
  <si>
    <t>МЗ ПАДЕЈ</t>
  </si>
  <si>
    <t>Текуће поправке објеката</t>
  </si>
  <si>
    <t>МЗ ОСТОЈИЋЕВО</t>
  </si>
  <si>
    <t>МЗ САНАД</t>
  </si>
  <si>
    <t>МЗ ЦРНА БАРА</t>
  </si>
  <si>
    <t>МЗ ВРБИЦА</t>
  </si>
  <si>
    <t>МЗ ЈАЗОВО</t>
  </si>
  <si>
    <t xml:space="preserve">Стални трошкови </t>
  </si>
  <si>
    <t>УКУПНО:</t>
  </si>
  <si>
    <t>РАЗДЕО</t>
  </si>
  <si>
    <t>ГЛАВА</t>
  </si>
  <si>
    <t>ФУНКЦИЈА</t>
  </si>
  <si>
    <t>Екон. класиф.</t>
  </si>
  <si>
    <t>Општина Чока</t>
  </si>
  <si>
    <t>Општинска управа</t>
  </si>
  <si>
    <t>ИЗВОР Ф.</t>
  </si>
  <si>
    <t>КЛАСА</t>
  </si>
  <si>
    <t>ГРУПА</t>
  </si>
  <si>
    <t>СИНТЕТИКА</t>
  </si>
  <si>
    <t>АНАЛИТ.</t>
  </si>
  <si>
    <t>СУБАНА</t>
  </si>
  <si>
    <t>ОПИС</t>
  </si>
  <si>
    <t>Приходи из буџета</t>
  </si>
  <si>
    <t>ТЕКУЋИ ПРИХОДИ</t>
  </si>
  <si>
    <t>ПОРЕЗ НА ДОХОДАК, ДОБИТ И КАПИТАЛНЕ ДОБИТКЕ</t>
  </si>
  <si>
    <t>Порези на доходак и капиталне добитке које плаћају физичка лица</t>
  </si>
  <si>
    <t>Порез на зараде</t>
  </si>
  <si>
    <t>ПОРЕЗ НА ФОНД ЗАРАДА</t>
  </si>
  <si>
    <t>Порез на фонд зарада</t>
  </si>
  <si>
    <t>ПОРЕЗ НА ИМОВИНУ</t>
  </si>
  <si>
    <t>Периодични порези на непокретности</t>
  </si>
  <si>
    <t>Порези на наслеђе и поклон</t>
  </si>
  <si>
    <t>Порез на наслеђе и поклон</t>
  </si>
  <si>
    <t>Порези на финансијске и капиталне трансакције</t>
  </si>
  <si>
    <t>ПОРЕЗ НА ДОБРА И УСЛУГЕ</t>
  </si>
  <si>
    <t>Порези на појединачне услуге</t>
  </si>
  <si>
    <t>Комунална такса за коришћење рекламних паноа</t>
  </si>
  <si>
    <t>Средства за противпожарну заштиту</t>
  </si>
  <si>
    <t>Порези на употребу добара и на дозволу да се добра употребљавају или делатности обав.</t>
  </si>
  <si>
    <t>Накнада за коришћење добара од општег интереса</t>
  </si>
  <si>
    <t>ДРУГИ ПОРЕЗИ</t>
  </si>
  <si>
    <t>Други порези које искључиво плаћају предузећа, односно предузетници</t>
  </si>
  <si>
    <t>ТРАНСФЕРИ ОД ДРУГИХ НИВОА ВЛАСТИ</t>
  </si>
  <si>
    <t>Текући трансфери од других нивоа власти</t>
  </si>
  <si>
    <t>Дотације орг. из области заштите животне средине</t>
  </si>
  <si>
    <t xml:space="preserve">ПРОГРАМ 3: ЛОКАЛНИ ЕКОНОМСКИ РАЗВОЈ
</t>
  </si>
  <si>
    <t>Дотације орг.за локални економски развој</t>
  </si>
  <si>
    <t>Економски посл.некласиф.на другом месту</t>
  </si>
  <si>
    <t>Учешће капитала у дом.нефим.јавним пред,</t>
  </si>
  <si>
    <t>Услуге културе</t>
  </si>
  <si>
    <t>Услуге рекреације и спорта</t>
  </si>
  <si>
    <t>Улична расвета</t>
  </si>
  <si>
    <t>Ненаменски трансфер од АП Војводина у корист нивоа општина</t>
  </si>
  <si>
    <t>ПРИХОДИ ОД ИМОВИНЕ</t>
  </si>
  <si>
    <t>Камате</t>
  </si>
  <si>
    <t>Закуп непроизведене имовине</t>
  </si>
  <si>
    <t>Накнада за коришћење минералних сировина</t>
  </si>
  <si>
    <t>Накнада за коришћење простора и грађевинског земљишта</t>
  </si>
  <si>
    <t>ПРИХОДИ ОД ПРОДАЈЕ ДОБАРА И УСЛУГА</t>
  </si>
  <si>
    <t>Таксе</t>
  </si>
  <si>
    <t>НОВЧАНЕ КАЗНЕ И ОДУЗЕТА ИМОВИНСКА КОРИСТ</t>
  </si>
  <si>
    <t>Приходи од новчаних казни за прекршаје</t>
  </si>
  <si>
    <t>Приходи од новчаних казни за прекршаје у корист нивоа општина</t>
  </si>
  <si>
    <t>ДОБРОВОЉНИ ТРАНСФЕРИ ОД ФИЗИЧКИХ И ПРАВНИХ ЛИЦА</t>
  </si>
  <si>
    <t>Текући 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</si>
  <si>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</si>
  <si>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Капит.добровољни трансф.од физич.и прав.лица</t>
  </si>
  <si>
    <t>МЕШОВИТИ И НЕОДРЕЂЕНИ ПРИХОДИ</t>
  </si>
  <si>
    <t>Мешовити и неодређени приходи</t>
  </si>
  <si>
    <t>Примања од продаје домаћих акција и осталог капитала</t>
  </si>
  <si>
    <t>Примања од продаје домаћих акција и осталог капитала у корист нивоа општина</t>
  </si>
  <si>
    <t xml:space="preserve">Сопствени приходи </t>
  </si>
  <si>
    <t>Донације од међународних организација</t>
  </si>
  <si>
    <t>ДОНАЦИЈЕ ОД МЕЂУНАРОДНИХ ОРГАНИЗАЦИЈА</t>
  </si>
  <si>
    <t>Донације од осталих нивоа власти</t>
  </si>
  <si>
    <t>УКУПНО ЗА ИЗВОР 01-ПРИХОДИ ИЗ БУЏЕТА</t>
  </si>
  <si>
    <t>УКУПНО ЗА ИЗВОР 04</t>
  </si>
  <si>
    <t>УКУПНО ЗА ИЗВОР 06</t>
  </si>
  <si>
    <t>УКУПНО ЗА ИЗВОР 07</t>
  </si>
  <si>
    <t>Награде запосленима</t>
  </si>
  <si>
    <t>416 Награде запосленима</t>
  </si>
  <si>
    <t xml:space="preserve">Социјална давања запосленима- отпремнине                  </t>
  </si>
  <si>
    <t>Социјална давања</t>
  </si>
  <si>
    <t>Набавка пољопривредног земљишта</t>
  </si>
  <si>
    <t>Порез на приходе од осигурања лица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</si>
  <si>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</si>
  <si>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</si>
  <si>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Нематеријална имовина (књиге)</t>
  </si>
  <si>
    <t xml:space="preserve">422 Трошкови путовања </t>
  </si>
  <si>
    <t xml:space="preserve">Пољопривреда </t>
  </si>
  <si>
    <t>Пратећи трошкови задуживања</t>
  </si>
  <si>
    <t>Остале дотације и трансфери</t>
  </si>
  <si>
    <t>Култивисана имовина</t>
  </si>
  <si>
    <t>Нематеријална имовина</t>
  </si>
  <si>
    <r>
      <t>К</t>
    </r>
    <r>
      <rPr>
        <i/>
        <sz val="10"/>
        <color indexed="8"/>
        <rFont val="Arial"/>
        <family val="2"/>
      </rPr>
      <t>апит.добровољни трансф.од физич.и прав.лица</t>
    </r>
  </si>
  <si>
    <t>ДОБРОВ.ТАНСФЕРИ ОД ФИЗИЧКИХ И ПРАВНИХ ЛИЦА</t>
  </si>
  <si>
    <t>Порези, обавезне таксе и казне (по програму)</t>
  </si>
  <si>
    <t>Стални трошкови (по програму)</t>
  </si>
  <si>
    <t>414 Социјална давања запосленима</t>
  </si>
  <si>
    <t>Пројекат:  Сред.за решавање стамб.потреба и др.програме за интеграцију избеглица</t>
  </si>
  <si>
    <t>13</t>
  </si>
  <si>
    <t>УКУПНО ЗА ИЗВОР 13</t>
  </si>
  <si>
    <t>Нераспоређени вишак прихода 
из ранијих година</t>
  </si>
  <si>
    <t>Неутрошена средства донација
 из претх.година</t>
  </si>
  <si>
    <t>Нераспоређени вишак прихода и примања из ранијих година</t>
  </si>
  <si>
    <t>ОБРАЧУН СУФИЦИТА / ДЕФИЦИТА СА РАЧУНОМ ФИНАНСИРАЊА</t>
  </si>
  <si>
    <t>Образац 3.</t>
  </si>
  <si>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</si>
  <si>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</si>
  <si>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</si>
  <si>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</si>
  <si>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</si>
  <si>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</si>
  <si>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</si>
  <si>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</si>
  <si>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2.2. ИЗДАЦИ ЗА НАБАВКУ НЕФИНАНСИЈСКЕ ИМОВИНЕ (класа 5) у чему: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</si>
  <si>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</si>
  <si>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</si>
  <si>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</si>
  <si>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</si>
  <si>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</si>
  <si>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Неутрошена средства из претходних година</t>
  </si>
  <si>
    <t>НЕТО ФИНАНСИРАЊЕ</t>
  </si>
  <si>
    <t>Шифра  економ.
класифик.</t>
  </si>
  <si>
    <t>Порески приходи</t>
  </si>
  <si>
    <t>1.</t>
  </si>
  <si>
    <t>Порези на доходак, добит и капит.добитке</t>
  </si>
  <si>
    <t>Порези на имовину</t>
  </si>
  <si>
    <t>1.3</t>
  </si>
  <si>
    <t>Порези на добра и услуге</t>
  </si>
  <si>
    <t>1.4</t>
  </si>
  <si>
    <t>Други порези</t>
  </si>
  <si>
    <t>2.</t>
  </si>
  <si>
    <t>Непорески приходи</t>
  </si>
  <si>
    <t>Од тога наплаћене камате</t>
  </si>
  <si>
    <t>3.</t>
  </si>
  <si>
    <t>Донације</t>
  </si>
  <si>
    <t xml:space="preserve">4. </t>
  </si>
  <si>
    <t>Трансфери</t>
  </si>
  <si>
    <t>Расходи за запослене</t>
  </si>
  <si>
    <t>Коришћење роба и услуга</t>
  </si>
  <si>
    <t>Отплата камата</t>
  </si>
  <si>
    <t>4.</t>
  </si>
  <si>
    <t>Субвенције</t>
  </si>
  <si>
    <t>5.</t>
  </si>
  <si>
    <t>Права из социј.осигурања</t>
  </si>
  <si>
    <t>6.</t>
  </si>
  <si>
    <t>Остали расходи</t>
  </si>
  <si>
    <t>7.</t>
  </si>
  <si>
    <t>8.</t>
  </si>
  <si>
    <t>7+8</t>
  </si>
  <si>
    <t>4+5</t>
  </si>
  <si>
    <t xml:space="preserve">Примања од задуживања </t>
  </si>
  <si>
    <t xml:space="preserve">Издаци за отплату главнице дуга </t>
  </si>
  <si>
    <t>Машине и опрема - за потребе одбране</t>
  </si>
  <si>
    <t>160</t>
  </si>
  <si>
    <t xml:space="preserve">КУЛТУРНО-ОБРАЗОВНИ ЦЕНТАР ЧОКА                  </t>
  </si>
  <si>
    <t>Остале тек.дот. по закону-испл.за инвалиде</t>
  </si>
  <si>
    <t>050</t>
  </si>
  <si>
    <t>Позиција - МТ</t>
  </si>
  <si>
    <t>Програмска 
класификација</t>
  </si>
  <si>
    <t>0602</t>
  </si>
  <si>
    <t>ПРОГРАМ 15 ЛОКАЛНА САМОУПРАВА</t>
  </si>
  <si>
    <t>0602-0001</t>
  </si>
  <si>
    <t>0602-0010</t>
  </si>
  <si>
    <t>2003</t>
  </si>
  <si>
    <t>2002</t>
  </si>
  <si>
    <t>2003-0001</t>
  </si>
  <si>
    <t>1201</t>
  </si>
  <si>
    <t>1201-0001</t>
  </si>
  <si>
    <t>ПРОГРАМ 11 СОЦИЈАЛНА И ДЕЧИЈА ЗАШТИТА</t>
  </si>
  <si>
    <t>1801</t>
  </si>
  <si>
    <t>1801-0001</t>
  </si>
  <si>
    <t>1101</t>
  </si>
  <si>
    <t>0602-0002</t>
  </si>
  <si>
    <t>423</t>
  </si>
  <si>
    <t>1301</t>
  </si>
  <si>
    <t>ПРОГРАМ 14 РАЗВОЈ СПОРТА И ОМЛАДИНЕ</t>
  </si>
  <si>
    <t>1301-0001</t>
  </si>
  <si>
    <t>1201-0002</t>
  </si>
  <si>
    <t>0101</t>
  </si>
  <si>
    <t>0101-0001</t>
  </si>
  <si>
    <t>0101-0002</t>
  </si>
  <si>
    <t>ПРОГРАМ 6: ЗАШТИТА ЖИВОТНЕ СРЕДИНЕ</t>
  </si>
  <si>
    <t>0401</t>
  </si>
  <si>
    <t>0401-0001</t>
  </si>
  <si>
    <t>1101-0001</t>
  </si>
  <si>
    <t>0701</t>
  </si>
  <si>
    <t>0701-0002</t>
  </si>
  <si>
    <t>ПРОГРАМ 2: КОМУНАЛНА ДЕЛАТНОСТ</t>
  </si>
  <si>
    <t xml:space="preserve">Функционисање локалне самоуправе </t>
  </si>
  <si>
    <t>Функционисање локалних установа културе</t>
  </si>
  <si>
    <t>Подршка локалним спортским организацијама, удружењима и савезима</t>
  </si>
  <si>
    <t>Функционисање установа примарне здравствене заштите</t>
  </si>
  <si>
    <t>Управљање комуналним отпадом</t>
  </si>
  <si>
    <t>Водоснабдевање</t>
  </si>
  <si>
    <t xml:space="preserve">Пројекат:  Подршка спровођењу пројеката локалне самоуптаве, НВО, привредних и друштвених организација </t>
  </si>
  <si>
    <t>3</t>
  </si>
  <si>
    <t>4</t>
  </si>
  <si>
    <t>Заштита животне средине некласификована на другом месту</t>
  </si>
  <si>
    <t>ЗДРАВСТВО</t>
  </si>
  <si>
    <t>Фармацеутски производи</t>
  </si>
  <si>
    <t>Остали медицински производи</t>
  </si>
  <si>
    <t>Терапеутска помагала и опрема</t>
  </si>
  <si>
    <t>Опште медицинске услуге</t>
  </si>
  <si>
    <t>Специјализоване медицинске услуге</t>
  </si>
  <si>
    <t>Стоматолошке услуге</t>
  </si>
  <si>
    <t>Парамедицинске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</si>
  <si>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</si>
  <si>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</si>
  <si>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</si>
  <si>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РЕКРЕАЦИЈА, СПОРТ, КУЛТУРА И ВЕРЕ</t>
  </si>
  <si>
    <t>Рекреација, спорт, култура и вере, некласификовано на другом месту</t>
  </si>
  <si>
    <t>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</si>
  <si>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</si>
  <si>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</si>
  <si>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</si>
  <si>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</si>
  <si>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</si>
  <si>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</si>
  <si>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</si>
  <si>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</si>
  <si>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</si>
  <si>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 - први степен</t>
  </si>
  <si>
    <t>СОЦИЈАЛНА ЗАШТИТА</t>
  </si>
  <si>
    <t>ОПШТЕ ЈАВНЕ УСЛУГЕ</t>
  </si>
  <si>
    <t>Извршни и законодавни органи</t>
  </si>
  <si>
    <t>Финансијски и фискални послови</t>
  </si>
  <si>
    <t>Спољни послови</t>
  </si>
  <si>
    <t>Економска помоћ земљама у развоју и земљама у транзицији</t>
  </si>
  <si>
    <t>Економска помоћ преко међународних организација</t>
  </si>
  <si>
    <t>Опште кадровске услуге</t>
  </si>
  <si>
    <t>Опште услуге планирања и статистике</t>
  </si>
  <si>
    <t>Остале опште услуге</t>
  </si>
  <si>
    <t>Трансфери општег карактера између различитих нивоа власти</t>
  </si>
  <si>
    <t>ЈАВНИ РЕД И БЕЗБЕДНОСТ</t>
  </si>
  <si>
    <t>ЕКОНОМСКИ ПОСЛОВИ</t>
  </si>
  <si>
    <t>Општи економски и комерцијални послови</t>
  </si>
  <si>
    <t>Општи послови по питању рада</t>
  </si>
  <si>
    <t>Пољопривреда</t>
  </si>
  <si>
    <t>Шумарство</t>
  </si>
  <si>
    <t>Лов и риболов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</si>
  <si>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</si>
  <si>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</si>
  <si>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</si>
  <si>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</si>
  <si>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</si>
  <si>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Остала енергија</t>
  </si>
  <si>
    <t>Ископавање минералних ресурса, изузев минералних горива</t>
  </si>
  <si>
    <t>Производња</t>
  </si>
  <si>
    <t>Изградња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</si>
  <si>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</si>
  <si>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</si>
  <si>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</si>
  <si>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</si>
  <si>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</si>
  <si>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</si>
  <si>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</si>
  <si>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</si>
  <si>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</si>
  <si>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Истраживање и развој - Општи економски и комерцијални послови и послови по питању рада</t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</si>
  <si>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</si>
  <si>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</si>
  <si>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</si>
  <si>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</si>
  <si>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</si>
  <si>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</si>
  <si>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Економски послови некласификовани на другом месту</t>
  </si>
  <si>
    <t>ЗАШТИТА ЖИВОТНЕ СРЕДИНЕ</t>
  </si>
  <si>
    <t>912</t>
  </si>
  <si>
    <t>Средства из осталих извора</t>
  </si>
  <si>
    <t>Структура         %</t>
  </si>
  <si>
    <t>410</t>
  </si>
  <si>
    <t>420</t>
  </si>
  <si>
    <t>421</t>
  </si>
  <si>
    <t>430</t>
  </si>
  <si>
    <t>440</t>
  </si>
  <si>
    <t>450</t>
  </si>
  <si>
    <t>460</t>
  </si>
  <si>
    <t>470</t>
  </si>
  <si>
    <t>480</t>
  </si>
  <si>
    <t>510</t>
  </si>
  <si>
    <t>540</t>
  </si>
  <si>
    <t>610</t>
  </si>
  <si>
    <t>620</t>
  </si>
  <si>
    <t>452</t>
  </si>
  <si>
    <t xml:space="preserve">       ОПШТИ ДЕО  -   ФУНКЦИОНАЛНА КЛАСИФИКАЦИЈА РАСХОДА</t>
  </si>
  <si>
    <t>Функциje</t>
  </si>
  <si>
    <t xml:space="preserve">Функционална класификација </t>
  </si>
  <si>
    <t>010</t>
  </si>
  <si>
    <t>Болест и инвалидност;</t>
  </si>
  <si>
    <t>020</t>
  </si>
  <si>
    <t>Старост;</t>
  </si>
  <si>
    <t>030</t>
  </si>
  <si>
    <t>Корисници породичне пензије;</t>
  </si>
  <si>
    <t>Породица и деца;</t>
  </si>
  <si>
    <t>Незапосленост;</t>
  </si>
  <si>
    <t>060</t>
  </si>
  <si>
    <t>Становање;</t>
  </si>
  <si>
    <t>070</t>
  </si>
  <si>
    <t>Социјална помоћ угроженом становништву некласификована на другом месту;</t>
  </si>
  <si>
    <t>080</t>
  </si>
  <si>
    <t>Социјална заштита - истраживање и развој;</t>
  </si>
  <si>
    <t>100</t>
  </si>
  <si>
    <t>110</t>
  </si>
  <si>
    <t>Извршни и законодавни органи, финансијски и фискални послови и спољни послови;</t>
  </si>
  <si>
    <t>111</t>
  </si>
  <si>
    <t>112</t>
  </si>
  <si>
    <t>113</t>
  </si>
  <si>
    <t>120</t>
  </si>
  <si>
    <t>Економска помоћ иностранству;</t>
  </si>
  <si>
    <t>121</t>
  </si>
  <si>
    <t>122</t>
  </si>
  <si>
    <t>Опште услуге;</t>
  </si>
  <si>
    <t>131</t>
  </si>
  <si>
    <t>132</t>
  </si>
  <si>
    <t>133</t>
  </si>
  <si>
    <t>140</t>
  </si>
  <si>
    <t>Основно истраживање;</t>
  </si>
  <si>
    <t>150</t>
  </si>
  <si>
    <t>Опште јавне услуге - истраживање и развој;</t>
  </si>
  <si>
    <t>Опште јавне услуге некласификоване на другом месту;</t>
  </si>
  <si>
    <t>170</t>
  </si>
  <si>
    <t>Трансакције јавног дуга;</t>
  </si>
  <si>
    <t>180</t>
  </si>
  <si>
    <t>300</t>
  </si>
  <si>
    <t>310</t>
  </si>
  <si>
    <t>Услуге полиције;</t>
  </si>
  <si>
    <t>320</t>
  </si>
  <si>
    <t>Услуге противпожарне заштите;</t>
  </si>
  <si>
    <t>330</t>
  </si>
  <si>
    <t>Судови;</t>
  </si>
  <si>
    <t>340</t>
  </si>
  <si>
    <t>Затвори;</t>
  </si>
  <si>
    <t>350</t>
  </si>
  <si>
    <t>Јавни ред и безбедност - истраживање и развој;</t>
  </si>
  <si>
    <t>360</t>
  </si>
  <si>
    <t>Јавни ред и безбедност некласификован на другом месту</t>
  </si>
  <si>
    <t>400</t>
  </si>
  <si>
    <t>Општи економски и комерцијални послови и послови по питању рада;</t>
  </si>
  <si>
    <t>411</t>
  </si>
  <si>
    <t>412</t>
  </si>
  <si>
    <t>Пољопривреда, шумарство, лов и риболов;</t>
  </si>
  <si>
    <t>422</t>
  </si>
  <si>
    <t>Гориво и енергија;</t>
  </si>
  <si>
    <t>431</t>
  </si>
  <si>
    <t>432</t>
  </si>
  <si>
    <t>433</t>
  </si>
  <si>
    <t>434</t>
  </si>
  <si>
    <t>435</t>
  </si>
  <si>
    <t>436</t>
  </si>
  <si>
    <t>Рударство, производња и изградња;</t>
  </si>
  <si>
    <t>441</t>
  </si>
  <si>
    <t>442</t>
  </si>
  <si>
    <t>443</t>
  </si>
  <si>
    <t>Саобраћај;</t>
  </si>
  <si>
    <t>451</t>
  </si>
  <si>
    <t>453</t>
  </si>
  <si>
    <t>454</t>
  </si>
  <si>
    <t>455</t>
  </si>
  <si>
    <t>Комуникације;</t>
  </si>
  <si>
    <t>Остале делатности;</t>
  </si>
  <si>
    <t>471</t>
  </si>
  <si>
    <t>472</t>
  </si>
  <si>
    <t>473</t>
  </si>
  <si>
    <t>474</t>
  </si>
  <si>
    <t>Економски послови - истраживање и развој;</t>
  </si>
  <si>
    <t>481</t>
  </si>
  <si>
    <t>482</t>
  </si>
  <si>
    <t>483</t>
  </si>
  <si>
    <t>484</t>
  </si>
  <si>
    <t>485</t>
  </si>
  <si>
    <t>486</t>
  </si>
  <si>
    <t>487</t>
  </si>
  <si>
    <t>490</t>
  </si>
  <si>
    <t>500</t>
  </si>
  <si>
    <t>Управљање отпадом;</t>
  </si>
  <si>
    <t>530</t>
  </si>
  <si>
    <t>Смањење загађености;</t>
  </si>
  <si>
    <t>Заштита биљног и животињског света и крајолика;</t>
  </si>
  <si>
    <t>550</t>
  </si>
  <si>
    <t>Заштита животне средине - истраживање и развој;</t>
  </si>
  <si>
    <t>560</t>
  </si>
  <si>
    <t>600</t>
  </si>
  <si>
    <t>ПОСЛОВИ СТАНОВАЊА И ЗАЈЕДНИЦЕ</t>
  </si>
  <si>
    <t>Стамбени развој;</t>
  </si>
  <si>
    <t>Развој заједнице;</t>
  </si>
  <si>
    <t>630</t>
  </si>
  <si>
    <t>Водоснабдевање;</t>
  </si>
  <si>
    <t>640</t>
  </si>
  <si>
    <t>Улична расвета;</t>
  </si>
  <si>
    <t>650</t>
  </si>
  <si>
    <t>Послови становања и заједнице - истраживање и развој;</t>
  </si>
  <si>
    <t>710</t>
  </si>
  <si>
    <t>Медицински производи, помагала и опрема;</t>
  </si>
  <si>
    <t>711</t>
  </si>
  <si>
    <t>712</t>
  </si>
  <si>
    <t>713</t>
  </si>
  <si>
    <t>720</t>
  </si>
  <si>
    <t>Ванболничке услуге;</t>
  </si>
  <si>
    <t>721</t>
  </si>
  <si>
    <t>722</t>
  </si>
  <si>
    <t>723</t>
  </si>
  <si>
    <t>724</t>
  </si>
  <si>
    <t>730</t>
  </si>
  <si>
    <t>Болничке услуге;</t>
  </si>
  <si>
    <t>731</t>
  </si>
  <si>
    <t>732</t>
  </si>
  <si>
    <t>733</t>
  </si>
  <si>
    <t>734</t>
  </si>
  <si>
    <t>Услуге домова за негу и опоравак</t>
  </si>
  <si>
    <t>740</t>
  </si>
  <si>
    <t>Услуге јавног здравства;</t>
  </si>
  <si>
    <t>750</t>
  </si>
  <si>
    <t>Здравство - истраживање и развој;</t>
  </si>
  <si>
    <t>Здравство некласификовано на другом месту.</t>
  </si>
  <si>
    <t>800</t>
  </si>
  <si>
    <t>810</t>
  </si>
  <si>
    <t>Услуге рекреације и спорта;</t>
  </si>
  <si>
    <t>820</t>
  </si>
  <si>
    <t>Услуге културе;</t>
  </si>
  <si>
    <t>830</t>
  </si>
  <si>
    <t>Услуге емитовања и штампања;</t>
  </si>
  <si>
    <t>840</t>
  </si>
  <si>
    <t>Верске и остале услуге заједнице;</t>
  </si>
  <si>
    <t>850</t>
  </si>
  <si>
    <t>Рекреација, спорт, култура и вере - истраживање и развој;</t>
  </si>
  <si>
    <t>860</t>
  </si>
  <si>
    <t>900</t>
  </si>
  <si>
    <t>910</t>
  </si>
  <si>
    <t>Предшколско и основно образовање;</t>
  </si>
  <si>
    <t>911</t>
  </si>
  <si>
    <t>913</t>
  </si>
  <si>
    <t>914</t>
  </si>
  <si>
    <t>915</t>
  </si>
  <si>
    <t>916</t>
  </si>
  <si>
    <t>920</t>
  </si>
  <si>
    <t>Средње образовање;</t>
  </si>
  <si>
    <t>921</t>
  </si>
  <si>
    <t>922</t>
  </si>
  <si>
    <t>923</t>
  </si>
  <si>
    <t>930</t>
  </si>
  <si>
    <t>Више образовање;</t>
  </si>
  <si>
    <t>931</t>
  </si>
  <si>
    <t>932</t>
  </si>
  <si>
    <t>940</t>
  </si>
  <si>
    <t>Високо образовање;</t>
  </si>
  <si>
    <t>941</t>
  </si>
  <si>
    <t>942</t>
  </si>
  <si>
    <t>Високо образовање - други степен</t>
  </si>
  <si>
    <t>950</t>
  </si>
  <si>
    <t>Образовање које није дефинисано нивоом;</t>
  </si>
  <si>
    <t>960</t>
  </si>
  <si>
    <t>Помоћне услуге образовању;</t>
  </si>
  <si>
    <t>970</t>
  </si>
  <si>
    <t>Образовање - истраживање и развој;</t>
  </si>
  <si>
    <t>Укупна јавна средства</t>
  </si>
  <si>
    <t>Уређивање, одржавање и коришћење пијацa</t>
  </si>
  <si>
    <t>2003-П28</t>
  </si>
  <si>
    <t>2003-П29</t>
  </si>
  <si>
    <t>2003-П30</t>
  </si>
  <si>
    <t>2001-П30</t>
  </si>
  <si>
    <t>0901-П1</t>
  </si>
  <si>
    <t>0901-П2</t>
  </si>
  <si>
    <t>0901-П3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</si>
  <si>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</si>
  <si>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</si>
  <si>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</si>
  <si>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</si>
  <si>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</si>
  <si>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</si>
  <si>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</si>
  <si>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</si>
  <si>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</si>
  <si>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</si>
  <si>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</si>
  <si>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</si>
  <si>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</si>
  <si>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</si>
  <si>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</si>
  <si>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</si>
  <si>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</si>
  <si>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</si>
  <si>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</si>
  <si>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</si>
  <si>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</si>
  <si>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</si>
  <si>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</si>
  <si>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</si>
  <si>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</si>
  <si>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</si>
  <si>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</si>
  <si>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1801-П2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</si>
  <si>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</si>
  <si>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</si>
  <si>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</si>
  <si>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</si>
  <si>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</si>
  <si>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</si>
  <si>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</si>
  <si>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</si>
  <si>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</si>
  <si>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</si>
  <si>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</si>
  <si>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</si>
  <si>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</si>
  <si>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</si>
  <si>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</si>
  <si>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</si>
  <si>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</si>
  <si>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</si>
  <si>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</si>
  <si>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</si>
  <si>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</si>
  <si>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</si>
  <si>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</si>
  <si>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</si>
  <si>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</si>
  <si>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</si>
  <si>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</si>
  <si>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</si>
  <si>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</si>
  <si>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</si>
  <si>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</si>
  <si>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</si>
  <si>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</si>
  <si>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</si>
  <si>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</si>
  <si>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</si>
  <si>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</si>
  <si>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</si>
  <si>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</si>
  <si>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</si>
  <si>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</si>
  <si>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</si>
  <si>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</si>
  <si>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</si>
  <si>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</si>
  <si>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</si>
  <si>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</si>
  <si>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</si>
  <si>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</si>
  <si>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</si>
  <si>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</si>
  <si>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</si>
  <si>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</si>
  <si>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</si>
  <si>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</si>
  <si>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</si>
  <si>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</si>
  <si>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</si>
  <si>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</si>
  <si>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</si>
  <si>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</si>
  <si>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</si>
  <si>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</si>
  <si>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</si>
  <si>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</si>
  <si>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</si>
  <si>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</si>
  <si>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</si>
  <si>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</si>
  <si>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</si>
  <si>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</si>
  <si>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</si>
  <si>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</si>
  <si>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</si>
  <si>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</si>
  <si>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</si>
  <si>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1301-П1</t>
  </si>
  <si>
    <t>1301-П2</t>
  </si>
  <si>
    <t>1301-П3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</si>
  <si>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</si>
  <si>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</si>
  <si>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</si>
  <si>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</si>
  <si>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</si>
  <si>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</si>
  <si>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</si>
  <si>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</si>
  <si>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</si>
  <si>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</si>
  <si>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</si>
  <si>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</si>
  <si>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</si>
  <si>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</si>
  <si>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</si>
  <si>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</si>
  <si>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</si>
  <si>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</si>
  <si>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</si>
  <si>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</si>
  <si>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</si>
  <si>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</si>
  <si>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</si>
  <si>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</si>
  <si>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</si>
  <si>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</si>
  <si>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</si>
  <si>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</si>
  <si>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</si>
  <si>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</si>
  <si>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</si>
  <si>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</si>
  <si>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</si>
  <si>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</si>
  <si>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</si>
  <si>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</si>
  <si>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</si>
  <si>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</si>
  <si>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</si>
  <si>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</si>
  <si>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</si>
  <si>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</si>
  <si>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</si>
  <si>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</si>
  <si>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</si>
  <si>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</si>
  <si>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</si>
  <si>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0602-П1</t>
  </si>
  <si>
    <t>0602-П3</t>
  </si>
  <si>
    <t>0602-П4</t>
  </si>
  <si>
    <t>0602-П6</t>
  </si>
  <si>
    <t>0602-П7</t>
  </si>
  <si>
    <t>0602-П8</t>
  </si>
  <si>
    <t>0602-П9</t>
  </si>
  <si>
    <t>0602-П10</t>
  </si>
  <si>
    <t>0602-П11</t>
  </si>
  <si>
    <t>0602-П12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</si>
  <si>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</si>
  <si>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</si>
  <si>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</si>
  <si>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</si>
  <si>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</si>
  <si>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</si>
  <si>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</si>
  <si>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</si>
  <si>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</si>
  <si>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</si>
  <si>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</si>
  <si>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</si>
  <si>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</si>
  <si>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</si>
  <si>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</si>
  <si>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</si>
  <si>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</si>
  <si>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</si>
  <si>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</si>
  <si>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</si>
  <si>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</si>
  <si>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</si>
  <si>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</si>
  <si>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</si>
  <si>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</si>
  <si>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</si>
  <si>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</si>
  <si>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</si>
  <si>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</si>
  <si>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</si>
  <si>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</si>
  <si>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</si>
  <si>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</si>
  <si>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</si>
  <si>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</si>
  <si>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</si>
  <si>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</si>
  <si>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</si>
  <si>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</si>
  <si>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</si>
  <si>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</si>
  <si>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</si>
  <si>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</si>
  <si>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</si>
  <si>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</si>
  <si>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</si>
  <si>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</si>
  <si>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</si>
  <si>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</si>
  <si>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</si>
  <si>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</si>
  <si>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</si>
  <si>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</si>
  <si>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</si>
  <si>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</si>
  <si>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</si>
  <si>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</si>
  <si>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</si>
  <si>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>1501</t>
  </si>
  <si>
    <t>1502</t>
  </si>
  <si>
    <t>Шифра</t>
  </si>
  <si>
    <t xml:space="preserve">       ОПШТИ ДЕО - ПРОГРАМСКА КЛАСИФИКАЦИЈА РАСХОДА</t>
  </si>
  <si>
    <t>Програм</t>
  </si>
  <si>
    <t>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</si>
  <si>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</si>
  <si>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</si>
  <si>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</si>
  <si>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</si>
  <si>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</si>
  <si>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</si>
  <si>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</si>
  <si>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</si>
  <si>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</si>
  <si>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0601-0011</t>
  </si>
  <si>
    <t>0601-0013</t>
  </si>
  <si>
    <t>Ауто-такси превоз путника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</si>
  <si>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</si>
  <si>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</si>
  <si>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</si>
  <si>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</si>
  <si>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</si>
  <si>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</si>
  <si>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Управљање развојем туризма</t>
  </si>
  <si>
    <t>Туристичка промоција</t>
  </si>
  <si>
    <t>0401-0003</t>
  </si>
  <si>
    <t>Праћење квалитета елемената животне средине</t>
  </si>
  <si>
    <t>0401-0004</t>
  </si>
  <si>
    <t>Управљање саобраћајном инфраструктуром</t>
  </si>
  <si>
    <t>1502-0001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</si>
  <si>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</si>
  <si>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</si>
  <si>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</si>
  <si>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</si>
  <si>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1301-0003</t>
  </si>
  <si>
    <t>Одржавање спортске инфраструктуре</t>
  </si>
  <si>
    <t>Функционисање локалне самоуправе и градских општина</t>
  </si>
  <si>
    <t>0602-0003</t>
  </si>
  <si>
    <t>Управљање јавним дугом</t>
  </si>
  <si>
    <t>0602-0004</t>
  </si>
  <si>
    <t>0602-0005</t>
  </si>
  <si>
    <t>0602-0007</t>
  </si>
  <si>
    <t>0602-0009</t>
  </si>
  <si>
    <t>Правна помоћ</t>
  </si>
  <si>
    <t>0701-0001</t>
  </si>
  <si>
    <t>Остале некретнина и опреме</t>
  </si>
  <si>
    <t xml:space="preserve"> Програмска активност/  Пројекат</t>
  </si>
  <si>
    <t>Назив</t>
  </si>
  <si>
    <t xml:space="preserve">УКУПНИ ПРОГРАМСКИ ЈАВНИ РАСХОДИ </t>
  </si>
  <si>
    <t>Надлежан орган/особа</t>
  </si>
  <si>
    <t>1502-0002</t>
  </si>
  <si>
    <t>1101-0002</t>
  </si>
  <si>
    <t>1101-П1</t>
  </si>
  <si>
    <t>1101-П2</t>
  </si>
  <si>
    <t>1101-П3</t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</si>
  <si>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</si>
  <si>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</si>
  <si>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</si>
  <si>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</si>
  <si>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</si>
  <si>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</si>
  <si>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</si>
  <si>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</si>
  <si>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</si>
  <si>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</si>
  <si>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</si>
  <si>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</si>
  <si>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</si>
  <si>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</si>
  <si>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</si>
  <si>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</si>
  <si>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</si>
  <si>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</si>
  <si>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</si>
  <si>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</si>
  <si>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</si>
  <si>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</si>
  <si>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</si>
  <si>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</si>
  <si>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</si>
  <si>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</si>
  <si>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</si>
  <si>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</si>
  <si>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</si>
  <si>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</si>
  <si>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</si>
  <si>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</si>
  <si>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</si>
  <si>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</si>
  <si>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</si>
  <si>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</si>
  <si>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</si>
  <si>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</si>
  <si>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</si>
  <si>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</si>
  <si>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</si>
  <si>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</si>
  <si>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</si>
  <si>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</si>
  <si>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</si>
  <si>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</si>
  <si>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</si>
  <si>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</si>
  <si>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</si>
  <si>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</si>
  <si>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</si>
  <si>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</si>
  <si>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</si>
  <si>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</si>
  <si>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</si>
  <si>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</si>
  <si>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</si>
  <si>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</si>
  <si>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</si>
  <si>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</si>
  <si>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</si>
  <si>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</si>
  <si>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</si>
  <si>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</si>
  <si>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</si>
  <si>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</si>
  <si>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</si>
  <si>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</si>
  <si>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</si>
  <si>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</si>
  <si>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</si>
  <si>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</si>
  <si>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</si>
  <si>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</si>
  <si>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</si>
  <si>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</si>
  <si>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</si>
  <si>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</si>
  <si>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</si>
  <si>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</si>
  <si>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</si>
  <si>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</si>
  <si>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</si>
  <si>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</si>
  <si>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</si>
  <si>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</si>
  <si>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</si>
  <si>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</si>
  <si>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</si>
  <si>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</si>
  <si>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</si>
  <si>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1502-П1</t>
  </si>
  <si>
    <t>1502-П2</t>
  </si>
  <si>
    <t>1502-П3</t>
  </si>
  <si>
    <t>1502-П4</t>
  </si>
  <si>
    <t>1502-П5</t>
  </si>
  <si>
    <t>1502-П6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</si>
  <si>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</si>
  <si>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</si>
  <si>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</si>
  <si>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</si>
  <si>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</si>
  <si>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</si>
  <si>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</si>
  <si>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</si>
  <si>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</si>
  <si>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</si>
  <si>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</si>
  <si>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</si>
  <si>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</si>
  <si>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</si>
  <si>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</si>
  <si>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</si>
  <si>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</si>
  <si>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</si>
  <si>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</si>
  <si>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</si>
  <si>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</si>
  <si>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</si>
  <si>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</si>
  <si>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</si>
  <si>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</si>
  <si>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</si>
  <si>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</si>
  <si>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</si>
  <si>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</si>
  <si>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</si>
  <si>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</si>
  <si>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</si>
  <si>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</si>
  <si>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</si>
  <si>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</si>
  <si>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</si>
  <si>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</si>
  <si>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</si>
  <si>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</si>
  <si>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</si>
  <si>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</si>
  <si>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</si>
  <si>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</si>
  <si>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</si>
  <si>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</si>
  <si>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</si>
  <si>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</si>
  <si>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</si>
  <si>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</si>
  <si>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0701-П1</t>
  </si>
  <si>
    <t>0701-П2</t>
  </si>
  <si>
    <t>0701-П3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</si>
  <si>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</si>
  <si>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</si>
  <si>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</si>
  <si>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</si>
  <si>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</si>
  <si>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</si>
  <si>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</si>
  <si>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</si>
  <si>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</si>
  <si>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</si>
  <si>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</si>
  <si>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</si>
  <si>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</si>
  <si>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</si>
  <si>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</si>
  <si>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</si>
  <si>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</si>
  <si>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</si>
  <si>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</si>
  <si>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</si>
  <si>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</si>
  <si>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</si>
  <si>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</si>
  <si>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</si>
  <si>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</si>
  <si>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</si>
  <si>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</si>
  <si>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</si>
  <si>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</si>
  <si>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</si>
  <si>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</si>
  <si>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</si>
  <si>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</si>
  <si>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</si>
  <si>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</si>
  <si>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</si>
  <si>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</si>
  <si>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</si>
  <si>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</si>
  <si>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</si>
  <si>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</si>
  <si>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</si>
  <si>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</si>
  <si>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</si>
  <si>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</si>
  <si>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</si>
  <si>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</si>
  <si>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</si>
  <si>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</si>
  <si>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</si>
  <si>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</si>
  <si>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</si>
  <si>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</si>
  <si>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</si>
  <si>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</si>
  <si>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</si>
  <si>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</si>
  <si>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</si>
  <si>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</si>
  <si>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</si>
  <si>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</si>
  <si>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</si>
  <si>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</si>
  <si>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</si>
  <si>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</si>
  <si>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</si>
  <si>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</si>
  <si>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</si>
  <si>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</si>
  <si>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</si>
  <si>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</si>
  <si>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</si>
  <si>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</si>
  <si>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</si>
  <si>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</si>
  <si>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</si>
  <si>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</si>
  <si>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</si>
  <si>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</si>
  <si>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</si>
  <si>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</si>
  <si>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</si>
  <si>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</si>
  <si>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</si>
  <si>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</si>
  <si>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</si>
  <si>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</si>
  <si>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</si>
  <si>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</si>
  <si>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</si>
  <si>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</si>
  <si>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</si>
  <si>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</si>
  <si>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</si>
  <si>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</si>
  <si>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</si>
  <si>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</si>
  <si>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</si>
  <si>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</si>
  <si>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</si>
  <si>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</si>
  <si>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</si>
  <si>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</si>
  <si>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</si>
  <si>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</si>
  <si>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</si>
  <si>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2003-П1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</si>
  <si>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</si>
  <si>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</si>
  <si>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</si>
  <si>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</si>
  <si>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</si>
  <si>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</si>
  <si>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</si>
  <si>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</si>
  <si>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</si>
  <si>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</si>
  <si>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</si>
  <si>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</si>
  <si>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</si>
  <si>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</si>
  <si>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</si>
  <si>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</si>
  <si>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</si>
  <si>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</si>
  <si>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</si>
  <si>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</si>
  <si>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</si>
  <si>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</si>
  <si>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</si>
  <si>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</si>
  <si>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</si>
  <si>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</si>
  <si>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Канцеларија за младе</t>
  </si>
  <si>
    <t>Заштитник грађана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</si>
  <si>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</si>
  <si>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</si>
  <si>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</si>
  <si>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</si>
  <si>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422 Трошкови путовања</t>
  </si>
  <si>
    <t>ОУ</t>
  </si>
  <si>
    <t>ОУ и КОЦ</t>
  </si>
  <si>
    <t>КОЦ</t>
  </si>
  <si>
    <t xml:space="preserve">Пројекат: Подршка спровођењу пројеката локалне самоуптаве, НВО, привредних и друштвених организација </t>
  </si>
  <si>
    <t>НАБАВКА ФИНАНСИЈСКЕ ИМОВИНЕ</t>
  </si>
  <si>
    <t>1.5</t>
  </si>
  <si>
    <t>9.</t>
  </si>
  <si>
    <t>Судови</t>
  </si>
  <si>
    <t>Ukupni rashodi:</t>
  </si>
  <si>
    <t>Ukupni prihodi:</t>
  </si>
  <si>
    <t>16</t>
  </si>
  <si>
    <t>УКУПНО ЗА ИЗВОР 16</t>
  </si>
  <si>
    <t>Приходи:</t>
  </si>
  <si>
    <t>Машине и опрема - за ванредне ситуације</t>
  </si>
  <si>
    <t>Текуће поправке и одрж.-громобрани код МК</t>
  </si>
  <si>
    <t>ИЗВОРИ 04+06+07+13+15+16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</si>
  <si>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</si>
  <si>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</si>
  <si>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411+412</t>
  </si>
  <si>
    <t>poreski prihodi</t>
  </si>
  <si>
    <t>pol.stranke:</t>
  </si>
  <si>
    <t>fin.kampanje:</t>
  </si>
  <si>
    <t>UKUPNO ZA POL. PARTIJE</t>
  </si>
  <si>
    <t>фисклал. дефицит</t>
  </si>
  <si>
    <t>Родитељски динар за ваннаставне активности</t>
  </si>
  <si>
    <t>Родитељски динар за 
ваннаставне активности</t>
  </si>
  <si>
    <t>74</t>
  </si>
  <si>
    <t>ОПШТИНСКО  ПРАВОБРАНИЛАШТВО</t>
  </si>
  <si>
    <t>Извршни и законодавни органи, фин. и фиск.посл.
 и спољ.послови</t>
  </si>
  <si>
    <t>ПРОГРАМ 16 ПОЛИТИЧКИ СИСТЕМ ЛС</t>
  </si>
  <si>
    <t>2101</t>
  </si>
  <si>
    <t>2101-0001</t>
  </si>
  <si>
    <t>Функционисање Скупштине</t>
  </si>
  <si>
    <t>Програм 16.  Политички систем ЛС</t>
  </si>
  <si>
    <t>2101--0002</t>
  </si>
  <si>
    <t>Функционисање извршних органа</t>
  </si>
  <si>
    <t>2101-0002</t>
  </si>
  <si>
    <t>Текућа буџетска резерва</t>
  </si>
  <si>
    <t>Стална буџетска резерва</t>
  </si>
  <si>
    <t>0602-0014</t>
  </si>
  <si>
    <t>5.2</t>
  </si>
  <si>
    <t>Функционисање установа примарне здравствене заштите -Дом здравља Чока</t>
  </si>
  <si>
    <t>ПУ "Радост"</t>
  </si>
  <si>
    <t>ПЛАН ЗА  ИЗВОР ФИН. 
06</t>
  </si>
  <si>
    <t>ПЛАН ЗА ИЗВОР ФИН.
 07</t>
  </si>
  <si>
    <t>ПЛАН ЗА  ИЗВОР ФИН. 
13</t>
  </si>
  <si>
    <t xml:space="preserve">ПЛАН ЗА. ИЗВОР ФИН.
 15 </t>
  </si>
  <si>
    <t>ПЛАН ЗА  ИЗВОР ФИН. 16</t>
  </si>
  <si>
    <t>Извршни и законодавни органи, фин. и фиск.посл. 
и спољ.послови</t>
  </si>
  <si>
    <t>1201-0004</t>
  </si>
  <si>
    <t>Оставривање и унапређивање јавног интереса у области јавног информисања</t>
  </si>
  <si>
    <t>ПРОГРАМ 13: РАЗВОЈ КУЛТУРЕ И ИНФОРМИСАЊА</t>
  </si>
  <si>
    <t>Услуге емитовања и штампања</t>
  </si>
  <si>
    <t>Подршка деци и породица са децом</t>
  </si>
  <si>
    <t>Подршка реализацији програма Црвеног крста</t>
  </si>
  <si>
    <t>ПРОГРАМ 12  ЗДРАВСТВЕНА ЗАШТИТА</t>
  </si>
  <si>
    <t>Програм 12.  Здравствена заштита</t>
  </si>
  <si>
    <t>1801-0002</t>
  </si>
  <si>
    <t>Мртвозорство</t>
  </si>
  <si>
    <t>ПРОГРАМ 5: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</si>
  <si>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</si>
  <si>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</si>
  <si>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</si>
  <si>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Управљање заштитом животне средине</t>
  </si>
  <si>
    <t>Управљање  отпадом</t>
  </si>
  <si>
    <t>Заштита жив.средине некласиф.на другом месту</t>
  </si>
  <si>
    <t>Одржавање јавних зелених површина</t>
  </si>
  <si>
    <t>Зоохигијена</t>
  </si>
  <si>
    <t>1102-0001</t>
  </si>
  <si>
    <t>1102-0002</t>
  </si>
  <si>
    <t>1102-0003</t>
  </si>
  <si>
    <t>1102-0008</t>
  </si>
  <si>
    <t>1102-0004</t>
  </si>
  <si>
    <t>1102</t>
  </si>
  <si>
    <t>Програм 1. Урбанизам и просторно планирање</t>
  </si>
  <si>
    <t>Просторно и урбанистичко планирање</t>
  </si>
  <si>
    <t>Мере активне политике запошљавања</t>
  </si>
  <si>
    <t>1101-0003</t>
  </si>
  <si>
    <t>Управљањем грађевинским земљиштем</t>
  </si>
  <si>
    <t>0501</t>
  </si>
  <si>
    <t>0501-0001</t>
  </si>
  <si>
    <t>0602-П-1</t>
  </si>
  <si>
    <t>Цивилна одбрана</t>
  </si>
  <si>
    <t>Заштита биљног и жив.света и крајолика</t>
  </si>
  <si>
    <t>200</t>
  </si>
  <si>
    <t>ОДБРАНА</t>
  </si>
  <si>
    <t>220</t>
  </si>
  <si>
    <t>Цивилна заштита</t>
  </si>
  <si>
    <t>ПРОГРАМ 15 ОПШТЕ УСЛУГЕ ЛОК.САМОУПРАВЕ</t>
  </si>
  <si>
    <t>Општинско правобранилаштво</t>
  </si>
  <si>
    <t>Функционисање нац.савета национал.мањина</t>
  </si>
  <si>
    <t>Управљање у ванредним ситуацијама</t>
  </si>
  <si>
    <t>Одржавање чист.на површ.јавне намене -  ЈКП Чока</t>
  </si>
  <si>
    <t>1501-П-5</t>
  </si>
  <si>
    <t>ПРОГРАМ 13 РАЗВОЈ КУЛТУРЕ И ИНФОРМИСАЊА</t>
  </si>
  <si>
    <t>Пројекат:Унапређење безбедности саобраћаја у 2017.години</t>
  </si>
  <si>
    <t>Програм 13.  Развој културе и информисања</t>
  </si>
  <si>
    <t>Јачање културне продукције и уметничког стваралаштва</t>
  </si>
  <si>
    <t>Подршка за спровођење пољопривредне политике у лок. зај.</t>
  </si>
  <si>
    <t xml:space="preserve">Управљање заштитом животне средине </t>
  </si>
  <si>
    <t>Програм 17.  Енерг. ефикас. и обновљиви извори енергије</t>
  </si>
  <si>
    <t>Функционисање лок.установа културе</t>
  </si>
  <si>
    <t>Управљање грађевинским земљиштем</t>
  </si>
  <si>
    <t>ЈКП</t>
  </si>
  <si>
    <t>Центар за соц.рад</t>
  </si>
  <si>
    <t>ОШ "Ј.Поповић"
ОШ "С.Михаљ" и
 ОШ "Т.Остојић"</t>
  </si>
  <si>
    <t>Јачање културне продукције и умет.стваралаш.</t>
  </si>
  <si>
    <t>Дот.орг.за обав.соц.осиг.</t>
  </si>
  <si>
    <t>Приходи од продаје добара и услуга</t>
  </si>
  <si>
    <t>Приходи од продаје добара и услуга у корист нивоа општина</t>
  </si>
  <si>
    <t>Капитални трансф.од других нивоа власти</t>
  </si>
  <si>
    <t xml:space="preserve">ОУ </t>
  </si>
  <si>
    <t>Дом здравља</t>
  </si>
  <si>
    <t>Оставривање и унапр. јавног интереса у области јавног инф.</t>
  </si>
  <si>
    <t>Пројекат: Сред.за реш.стамб.потреба и
 др.прог.за интег.избег.</t>
  </si>
  <si>
    <t>СО</t>
  </si>
  <si>
    <t>О.Веће и Председ.</t>
  </si>
  <si>
    <t>Хем.прех.средња шк.</t>
  </si>
  <si>
    <t>083</t>
  </si>
  <si>
    <t>084</t>
  </si>
  <si>
    <t>5.1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</si>
  <si>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</si>
  <si>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</si>
  <si>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</si>
  <si>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</si>
  <si>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</si>
  <si>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</si>
  <si>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</si>
  <si>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</si>
  <si>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 xml:space="preserve">СУБВЕНЦИЈЕ </t>
  </si>
  <si>
    <t>Субвенције јав.нефинансијским пред.</t>
  </si>
  <si>
    <t>Спец.усл.(одрж.пруж.прелаза)</t>
  </si>
  <si>
    <t>Спец.усл.(зимско одржавање)</t>
  </si>
  <si>
    <t>Приходи од продаје доб. и усл. или закупа од стране трж. орг.</t>
  </si>
  <si>
    <t>ПРИМАЊА ОД ПРОДАЈЕ НЕФИНАСИЈСКЕ ИМОВИНЕ</t>
  </si>
  <si>
    <t>Примања од продаје непокретностиу корист нивоа општина</t>
  </si>
  <si>
    <t>81</t>
  </si>
  <si>
    <t>Примања од продаје непокретности</t>
  </si>
  <si>
    <t>УКУПНО ЗА ИЗВОР 13:</t>
  </si>
  <si>
    <t>УКУПНО ЗА ИЗВОР 16:</t>
  </si>
  <si>
    <t>ПЛАН ЗА  ИЗВОР ФИН. 
04</t>
  </si>
  <si>
    <t>Текуће донације од међ.организација</t>
  </si>
  <si>
    <t>Текуће донације од међ.организација у корист нивоа општина</t>
  </si>
  <si>
    <t>Једнократне помоћи и др.облици помоћи -Центар за социјални рад</t>
  </si>
  <si>
    <t>Једнократне помоћи и др.облици помоћи</t>
  </si>
  <si>
    <t>Дневне услуге у заједници</t>
  </si>
  <si>
    <t>Дневне услуге у заједници - Организ.јединица Центра за социјални рад</t>
  </si>
  <si>
    <t xml:space="preserve">Управљање/одржавање јавним осветљењем </t>
  </si>
  <si>
    <t>Управљање/одржавање јавним осветљењем</t>
  </si>
  <si>
    <t>Управљање и снабдевање водом за пиће</t>
  </si>
  <si>
    <t>Енергетски менаџмент</t>
  </si>
  <si>
    <t>Подшка економском развоју и промоцији предузетништва</t>
  </si>
  <si>
    <t>Програм 7.  Организ.саобаћ.и саобр.инфраструк.</t>
  </si>
  <si>
    <t>Управљање и одржавање саоб.инфраструк.</t>
  </si>
  <si>
    <t>Управљање и одржавање саобраћајне инфраструктуре</t>
  </si>
  <si>
    <t>Функц. и остваривање  предш.васп.и образ</t>
  </si>
  <si>
    <t>Јачање културне продукције и умет.стварал.</t>
  </si>
  <si>
    <t>Функционисање месних заједница</t>
  </si>
  <si>
    <t>ПРОГРАМ 15 ОПШТЕ УСЛУГЕ ЛОКАЛНЕ САМОУР.</t>
  </si>
  <si>
    <t>483 Новчане казне и пенали</t>
  </si>
  <si>
    <t>Подршка деци и породици са децом</t>
  </si>
  <si>
    <t>Спец.усл.(кошење банкина)</t>
  </si>
  <si>
    <t>Спец.усл.(постављање сигнализација)</t>
  </si>
  <si>
    <t>Текуће попр.и одрж.-крпљење ударних рупа</t>
  </si>
  <si>
    <t>Тек. поп.и одрж. (тротоари, клупе,. и др)</t>
  </si>
  <si>
    <t xml:space="preserve">ПРОГРАМ 1: СТАНОВАЊЕ, УРБАНИЗАМ И ПРОСТОРНО ПЛАНИРАЊЕ
</t>
  </si>
  <si>
    <t>Управљање отпадним водама</t>
  </si>
  <si>
    <t>520</t>
  </si>
  <si>
    <t>Упраљање отпадним водама</t>
  </si>
  <si>
    <t>Приходи од имовине који припада имаоцима полисе осигурања општина</t>
  </si>
  <si>
    <t xml:space="preserve">Приходи од имовине који припада имаоцима полисе осигурања </t>
  </si>
  <si>
    <t>Накнада по основу конверзије права коришћ.у право својине у корист Републике</t>
  </si>
  <si>
    <t>ПРОГРАМ 7: ОРГАНИЗ. САОБ.И САОБ.ИНФРАСТ.</t>
  </si>
  <si>
    <t>515 Нематеријална имовина</t>
  </si>
  <si>
    <t>ПРИМАЊА ОД ПРОДАЈЕ ЗЕМЉИШТА</t>
  </si>
  <si>
    <t>Примања од продаје земљишта</t>
  </si>
  <si>
    <t>Примања од продаје земљишта у корист нивоа општина</t>
  </si>
  <si>
    <t>Текући трансф.од других нивоа власти</t>
  </si>
  <si>
    <t>Меморандумске ставке за рефундацију расхода из претх.године</t>
  </si>
  <si>
    <t>Спец.усл.(набавка знакова)</t>
  </si>
  <si>
    <t>Услуге по уговору - накнада за одборнике</t>
  </si>
  <si>
    <t xml:space="preserve">Услуге по уговору - комисије </t>
  </si>
  <si>
    <t>Услуге по уговору - комисије</t>
  </si>
  <si>
    <t>Услуге по уговору - међународна сарадња</t>
  </si>
  <si>
    <t>Услуге по уговору - обука у вези послова одбране</t>
  </si>
  <si>
    <t>Услуге по уговору - средства за рад интерресорне комисије</t>
  </si>
  <si>
    <t>Услуге по уговору  - услуге ревизије</t>
  </si>
  <si>
    <t>Накнаде за соц.заштиту из буџета -дошколовавање запослених</t>
  </si>
  <si>
    <t>Дотац,невладиним орг -чланарине</t>
  </si>
  <si>
    <t>Услуге по уговору -учешће и предфин.прој.</t>
  </si>
  <si>
    <t>Материјал - учешће и предфин.прој</t>
  </si>
  <si>
    <t>Стални трошкови-учешће и предфин.прој.</t>
  </si>
  <si>
    <t>Транф.ост. нивоима власти - средства за едукацију</t>
  </si>
  <si>
    <t>Услуге по уговору - семинари, обука и израда плана за ван. сит.</t>
  </si>
  <si>
    <t>Специјализоване услуге -финан.припр.и реаг.у ванред.ситуацијама</t>
  </si>
  <si>
    <t>421 Стални трошкови - днев.усл. у лок.зај.</t>
  </si>
  <si>
    <t>423 Услуге по уговору - днев.усл. у лок.зај.</t>
  </si>
  <si>
    <t>425 Текуће поправке и одржавање - днев.усл. у лок.зај.</t>
  </si>
  <si>
    <t>426 Материјал - днев.усл. у лок.зај.</t>
  </si>
  <si>
    <t>512 Машине и опрема - днев.усл. у лок.зај.</t>
  </si>
  <si>
    <t>426 Материјал - мед. и лаб.</t>
  </si>
  <si>
    <t>Специјализоване услуге - мртвозорство</t>
  </si>
  <si>
    <t xml:space="preserve">Услуге по уговору - пољочуварска служба </t>
  </si>
  <si>
    <t>Материјал - пољочув. и противг.служ.(по програму)</t>
  </si>
  <si>
    <t>Материјал -поступак издав.у зак.и комас. (по програму)</t>
  </si>
  <si>
    <t>Субвенције јавним нефин,пред.- за уређ.канала.(по програму)</t>
  </si>
  <si>
    <t>Субвенције јавним нефин,пред - средства за рурални развој</t>
  </si>
  <si>
    <t>Специјализоване услуге -геодетске усл.(по програму)</t>
  </si>
  <si>
    <t>Специјализоване услуге -испитивање  земљишта (по програму)</t>
  </si>
  <si>
    <t>Специјализоване услуге - спр.прог.ком.Чока.(по програму)</t>
  </si>
  <si>
    <t>Специјализовне услуге - сузбијање комараца</t>
  </si>
  <si>
    <t>Текуће поправке и одржавање канализације</t>
  </si>
  <si>
    <t>Усл.по уговору - уклањ. угин.животиња</t>
  </si>
  <si>
    <t>Накн.за соц.заш.из буџета-грађ.материјал</t>
  </si>
  <si>
    <t>Накн.за соц.заш.из буџета-наб.сеоских кућа</t>
  </si>
  <si>
    <t>Пратећи трошкови задуживања - казне</t>
  </si>
  <si>
    <t xml:space="preserve">Дотација невладиним организацијама - Црвеном крсту </t>
  </si>
  <si>
    <t>Накнаде за соц.заштиту из буџета - Народна кухиња</t>
  </si>
  <si>
    <t>Накнаде за соц.заштиту из буџета-исхрана и смештај ученика</t>
  </si>
  <si>
    <t>Накнаде за соц.заштиту из буџета-једокр.помоћ за породиље</t>
  </si>
  <si>
    <t>Накнаде за соц.заштиту из буџета-пакетићи</t>
  </si>
  <si>
    <t>Накнаде за соц.заштиту из буџета- за образовање, културу, науку</t>
  </si>
  <si>
    <t>472 Накнаде за соц.заштиту из буџета - у случају смрти</t>
  </si>
  <si>
    <t xml:space="preserve">511 Зграде и грађ.обј.-капитално одржавање </t>
  </si>
  <si>
    <t>414 Социјална давања запосленима-помоћ у медицинском лечењу</t>
  </si>
  <si>
    <t>Дотације невладиним орг.-спортским организацијама</t>
  </si>
  <si>
    <t>Дотације невлад.орг.- традиц. црквама и верским заједницама</t>
  </si>
  <si>
    <t>Дотације невлад.орг.- удружењима грађана из области културе</t>
  </si>
  <si>
    <t>Услуге по уговору - накнада за заменика пред.Скупштине</t>
  </si>
  <si>
    <t>Услуге по уговору - накнада за чланове Општинског већа</t>
  </si>
  <si>
    <t>Зграде и грађ.обј. (кап.одрж.улица)</t>
  </si>
  <si>
    <t>472 Накнаде за соц.заштиту из буџета - за становање и живот</t>
  </si>
  <si>
    <t>472 Накнаде за соц.заштиту из буџета - једнократна помоћ</t>
  </si>
  <si>
    <t>Накнаде за соц.заштиту из буџета - превоз ученика сред.школа</t>
  </si>
  <si>
    <t>Спец.усл.-санац.технич.биолош.регулат.деград.прост.</t>
  </si>
  <si>
    <t>Специј. услуге -  одрж. зелених повр. (кошење, одрж.)</t>
  </si>
  <si>
    <t>Специј. услуге -  одрж. зелених повр. (орезивање дрвећа)</t>
  </si>
  <si>
    <t>Зграде и грађ.обј. (кап.одржав. улица)</t>
  </si>
  <si>
    <t>Остале дотације и трансфери - средства за одржавање железнице</t>
  </si>
  <si>
    <t>Оптплата домаћих камата</t>
  </si>
  <si>
    <t>ПРОГРАМ 17: ЕНЕРГЕТСКА ЕФИКАСНОСТ И ОБНОВЉИВИ ИЗВОРИ ЕНЕРГИЈЕ</t>
  </si>
  <si>
    <t>Специјализовне услуге - Фонд за заштиту живот. средине</t>
  </si>
  <si>
    <t>Спец. Усл. -рад. на обнови прем. грађ.реона у Чоки</t>
  </si>
  <si>
    <t xml:space="preserve">512 Машине и опрема </t>
  </si>
  <si>
    <t>Дотац.орг.са обавезно соц.осигурање - средства активне мере 
запошљавања-Буџетски фонд</t>
  </si>
  <si>
    <t>082</t>
  </si>
  <si>
    <t>Финансирање Спортског савеза општине Чока</t>
  </si>
  <si>
    <t>Дотац.невл.орг.-сред.за заштиту од пожара(Општ.ватр.сав. и др.)</t>
  </si>
  <si>
    <t>Порез на приходе од самосталних делатности који се плаћа према стварно оствареном нето приходу</t>
  </si>
  <si>
    <t xml:space="preserve">Порез на прих. од сам.дел. који се плаћа према паушалу одређ.нето приходу  </t>
  </si>
  <si>
    <t xml:space="preserve">Порез на прих. од сам.дел. који се плаћа према стварно оств.прих.самоопорез.  </t>
  </si>
  <si>
    <t>Порез на прих.од давања у закуп покр.ствари</t>
  </si>
  <si>
    <t>Порез на земљиште</t>
  </si>
  <si>
    <t xml:space="preserve">Самодопринос према зарадама зап.на тер.општ.  </t>
  </si>
  <si>
    <t xml:space="preserve">Самодопринос  из прих.земљорадника  </t>
  </si>
  <si>
    <t>Самодопринос из прих.лица која се баве сам.дел.</t>
  </si>
  <si>
    <t>Порез на остале приходе</t>
  </si>
  <si>
    <t>Порез на приходе проф.спортиста</t>
  </si>
  <si>
    <t>Порез на имовину од физичких лица</t>
  </si>
  <si>
    <t>Порез на имовину од правних лица</t>
  </si>
  <si>
    <t>Порез на пренос апсолутних права код продаје стеч.дужника</t>
  </si>
  <si>
    <t>Боравишна такса</t>
  </si>
  <si>
    <t>Посебна накнада за заштиту и унапређење животне средине</t>
  </si>
  <si>
    <t>Комунална такса за истицање фирме на пословном простору</t>
  </si>
  <si>
    <t>Текући наменски трансф.од Републике</t>
  </si>
  <si>
    <t xml:space="preserve">Текући наменски трансф.од АПВ </t>
  </si>
  <si>
    <t>Капитални трансф.од Републике у корист нивоа општина</t>
  </si>
  <si>
    <t>Капитални трансфери од АП Војводина у корист нивоа општина</t>
  </si>
  <si>
    <t xml:space="preserve">Приходи буџета општине од камата на средства буџета </t>
  </si>
  <si>
    <t xml:space="preserve">Накнада за коришћење пољопривр. земљишта </t>
  </si>
  <si>
    <t>Накнада за коришћење шума и шумског земљишта</t>
  </si>
  <si>
    <t>Накнада за коришћење градског грађевинског земљишта</t>
  </si>
  <si>
    <t>Допринос за уређивање грађевинског земљишта</t>
  </si>
  <si>
    <t>Приходи од давања у узакуп, односно од коришћења непокретности у др.свој.</t>
  </si>
  <si>
    <t>Накнада по основу конверзије права коришћ.у право својине у корист нив.општ.</t>
  </si>
  <si>
    <t>Приходи остварени по основу пруж. услуга боравка деце у пред.уст.у кор.опш.</t>
  </si>
  <si>
    <t>Општинске административне таксе</t>
  </si>
  <si>
    <t>Такса за озакоњење објеката у корист нивоа општина</t>
  </si>
  <si>
    <t xml:space="preserve">Приходи индиректних корисника буџетских средстава који се оствар.дод.акт. </t>
  </si>
  <si>
    <t>Остали приходи у корист нивоа општина</t>
  </si>
  <si>
    <t>Део добити ЈП, према одлуци управног одбора ЈП у корист нивоа општина</t>
  </si>
  <si>
    <t>Закупнина за стан у општинској својини у корист нивоа општине</t>
  </si>
  <si>
    <t>Примања од отплате станова у корист нивоа општина</t>
  </si>
  <si>
    <t>ПЛАН ЗА ИЗВОР ФИН.:
15</t>
  </si>
  <si>
    <t>Приходи од продаје доб. и усл. или закупа од стране трж. орг.у кор.нивоа опш.</t>
  </si>
  <si>
    <t>Тек.попр. и одржавање - уређ.атарских пут.и отресишта (по прог)</t>
  </si>
  <si>
    <t>Накнаде за соц.заштиту из буџета-једнократне помоћи-поп.полит.</t>
  </si>
  <si>
    <t>Зграде и грађ.обј. (прој.пл.-Мост на Злат., ПДР за Бан.магист.,ПДР за траседр.пута2ареда104 на делуБ.Аран.Ц.Бара и др.)</t>
  </si>
  <si>
    <t xml:space="preserve">Зграде и грађевински објекти </t>
  </si>
  <si>
    <t xml:space="preserve">Приходи од давања у закуп ,односно на коришћење непокретности у општинској својини </t>
  </si>
  <si>
    <t>Накнада за коришћење дрвета</t>
  </si>
  <si>
    <t>1801-П-1</t>
  </si>
  <si>
    <t>Машине и опрема (ултразвук)</t>
  </si>
  <si>
    <t>054A</t>
  </si>
  <si>
    <t>Услуге по уговору- бесплатна правна помоћ</t>
  </si>
  <si>
    <t>Комунална такса за истицање и исписивање фирме ван пословног простора, на објектима и просторијама који припадају општини</t>
  </si>
  <si>
    <t xml:space="preserve">Комунална такса за држање моторних друмских и прикључних возила осим пољоп.машина возила  и машина </t>
  </si>
  <si>
    <t xml:space="preserve">Порез на пренос апсолутних права на непокретности </t>
  </si>
  <si>
    <t xml:space="preserve">Порез на пренос апсолутних права на полов.мот.возилима </t>
  </si>
  <si>
    <t>Пројекат:Реализац.рачун.и језич.курсева</t>
  </si>
  <si>
    <t>УКУПАН ПЛАН ЗА 2022.</t>
  </si>
  <si>
    <t>ПЛАН ЗА 2022.Г.</t>
  </si>
  <si>
    <t>Спец.усл.(обележавање саобраћ.сигнал.хориз.)</t>
  </si>
  <si>
    <t>Зграде и грађ.обј.-док.легал.бун. у Падеју, елаб. 
за санит.заш.зону за бун. у нас.Чока, елаб. подзем.вода</t>
  </si>
  <si>
    <t>Специј.усл.-хем.бак.анал.воде,хидрод.тест.,евид.вода</t>
  </si>
  <si>
    <t>Енергетски менанџмент</t>
  </si>
  <si>
    <t>Субвенције јавним нефин.пр.Регион.деп. ДОО Суб.-текућ.расх.</t>
  </si>
  <si>
    <t>Накнаде за социјалну заштиту-једнократне помоћи</t>
  </si>
  <si>
    <t>НАЦРТ</t>
  </si>
  <si>
    <t>Набавка остале некретнине о опрема</t>
  </si>
  <si>
    <t>Дотација невлад.орг.-Саветима националних мањина</t>
  </si>
  <si>
    <t>Машине и опрема .(по програму-рачунар,штампач)</t>
  </si>
  <si>
    <t>Спецализоване услуге (дерат.хемиј.зашт.)</t>
  </si>
  <si>
    <t>Текуће поправке и одрж.уређ.јавне повр.(атм.кан.и ост.)</t>
  </si>
  <si>
    <t xml:space="preserve">Одржавање чист.на површ.јавне намене </t>
  </si>
  <si>
    <t>Накнада за промену намене пољопривредног земљишта</t>
  </si>
  <si>
    <t>Накнада од емисије SO2, NO2, прешкастих материја и одложеног отпада</t>
  </si>
  <si>
    <t>Накнада за коришћење јавне површине у пословне и друге сврхе</t>
  </si>
  <si>
    <t>УКУПАН ПЛАН ЗА 2023.</t>
  </si>
  <si>
    <t>0701-005</t>
  </si>
  <si>
    <t xml:space="preserve"> Унапређење безбедности саобраћаја</t>
  </si>
  <si>
    <t>0701-0005</t>
  </si>
  <si>
    <t>Унапређење безбедности саобраћаја</t>
  </si>
  <si>
    <t>Опште јавне услуге некласификоване на другом месту</t>
  </si>
  <si>
    <t>Субвенције приватним предузећима</t>
  </si>
  <si>
    <t>У</t>
  </si>
  <si>
    <t>485 Накнада штете за повр. или штету нанету од ст.др.орг</t>
  </si>
  <si>
    <t>Субвенције за ЈКП Чока</t>
  </si>
  <si>
    <t>Специјализоване услуге - трош.руш.обј.</t>
  </si>
  <si>
    <t>0602-00010</t>
  </si>
  <si>
    <t>Спецализоване услуге (хватање паса и приврем.збрињ.)</t>
  </si>
  <si>
    <t>076</t>
  </si>
  <si>
    <t>078</t>
  </si>
  <si>
    <t>077</t>
  </si>
  <si>
    <t>079</t>
  </si>
  <si>
    <t>081</t>
  </si>
  <si>
    <t>УКУПНИ ПРИХОДИ ЗА 2021. годину:</t>
  </si>
  <si>
    <t>014</t>
  </si>
  <si>
    <t>Текуће поправке и одрж. -водоводa</t>
  </si>
  <si>
    <t>159</t>
  </si>
  <si>
    <t>161</t>
  </si>
  <si>
    <t>165</t>
  </si>
  <si>
    <t>166</t>
  </si>
  <si>
    <t>167</t>
  </si>
  <si>
    <t>228</t>
  </si>
  <si>
    <t>229</t>
  </si>
  <si>
    <t>230</t>
  </si>
  <si>
    <t>215A</t>
  </si>
  <si>
    <t>176А</t>
  </si>
  <si>
    <t>512 Машине опрема</t>
  </si>
  <si>
    <t>211A</t>
  </si>
  <si>
    <t>Зграде и грађ.обј.-Изград.зелене пијаце у насељ. месту Падеј</t>
  </si>
  <si>
    <t>ПЛАН ЗА 2024.Г.</t>
  </si>
  <si>
    <t>ПЛАН РАСХОДА БУЏЕТА ОПШТИНЕ ЧОКА ЗА 2022, СА ПРОЈЕКЦИЈАМА ЗА 2023. И 2024.ГОДИНУ</t>
  </si>
  <si>
    <t>УКУПАН ПЛАН ЗА 2024.</t>
  </si>
  <si>
    <t>УКУПАН ПЛАН БУЏЕТА ЗА 2022.Г.</t>
  </si>
  <si>
    <t>УКУПАН ПЛАН ЗА 2022.Г.</t>
  </si>
  <si>
    <t>2. РАСХОДИ ПО ОСНОВНИМ НАМЕНАМА БУЏЕТА ОПШТИНЕ ЧОКА ЗА 2022. година</t>
  </si>
  <si>
    <t>ПРОГРАМ 9 ОСНОВНО ОБРАЗОВАЊЕ</t>
  </si>
  <si>
    <t>Реализација делатности основног образовања - ОШ "Серво Михаљ"</t>
  </si>
  <si>
    <t>Реализација делатности основног образовања -  ОШ "Јован Поповић"</t>
  </si>
  <si>
    <t xml:space="preserve">ПРОГРАМ 10 СРЕДЊЕ ОБРАЗОВАЊЕ </t>
  </si>
  <si>
    <t>Реализација делатности средњег образовања Хемијско-прехрамбена средња школа</t>
  </si>
  <si>
    <t>2004</t>
  </si>
  <si>
    <t>2004-0001</t>
  </si>
  <si>
    <t>Реализација делатности основног образовања - ОШ "Др.Тихомир Остојић"</t>
  </si>
  <si>
    <t xml:space="preserve">ПРОГРАМ 8 ПРЕДШКОЛСКО ВАСПИТАЊЕ </t>
  </si>
  <si>
    <t>Функц. и остваривање  предш.васп.и образовања</t>
  </si>
  <si>
    <t>2002-0002</t>
  </si>
  <si>
    <t xml:space="preserve">Реализација делатности основног образовања </t>
  </si>
  <si>
    <t xml:space="preserve">Програм 9.  Основно образовање </t>
  </si>
  <si>
    <t xml:space="preserve">Програм 10. Средње образовање </t>
  </si>
  <si>
    <t>Реализација делатности основног образовања</t>
  </si>
  <si>
    <t>Реализација делатности  средњег образовања</t>
  </si>
  <si>
    <t>0902</t>
  </si>
  <si>
    <t>0902-0001</t>
  </si>
  <si>
    <t>0902-0016</t>
  </si>
  <si>
    <t>0902-0018</t>
  </si>
  <si>
    <t>0902-0019</t>
  </si>
  <si>
    <t>ПЛАН            2022                    01</t>
  </si>
  <si>
    <t>ПЛАН            2021                    01</t>
  </si>
  <si>
    <t xml:space="preserve">Машине и опрема </t>
  </si>
  <si>
    <t>Накнаде за соц.заштиту из буџета - услуге помоћи у кући</t>
  </si>
  <si>
    <t>Подршка реализацији програма - услуге помоћи у кући</t>
  </si>
  <si>
    <t>Спец.услуге -укл.неадек.одлож.отпад.изн.смећа</t>
  </si>
  <si>
    <t>511 Зграде и грађебински објекти</t>
  </si>
  <si>
    <t xml:space="preserve">Набавка остале некретнине </t>
  </si>
  <si>
    <t>Услуге по уговору- избори</t>
  </si>
  <si>
    <t>Услуге по уговору- новине</t>
  </si>
  <si>
    <t>Машине и опрема- црпна пумпа за канализацију</t>
  </si>
  <si>
    <t>424 Специјализоване услуге( дерат. и дезинфекција.)</t>
  </si>
  <si>
    <t xml:space="preserve">Зграде и грађ. објект- изградња паркинга у Чоки </t>
  </si>
  <si>
    <t>Субвенције за покретање приватних предузећа</t>
  </si>
  <si>
    <t>Зграде и грађ.обј. (кап.одржав. улица- Косовска и др.)</t>
  </si>
  <si>
    <t>Зграде и грађ. објект- изградња дечијих игралишта</t>
  </si>
  <si>
    <t>Машине и опрема- трeјлер</t>
  </si>
  <si>
    <t>Услуге по уговру- новине</t>
  </si>
  <si>
    <t>Зграде и грађ. објекти- изградња дечијих игралишта</t>
  </si>
  <si>
    <t>Зграде и грађ. Објекти- изградња паркинга у Чоки</t>
  </si>
  <si>
    <t>015</t>
  </si>
  <si>
    <t>085</t>
  </si>
  <si>
    <t>ПЛАН ЗА 2023.Г.</t>
  </si>
  <si>
    <t>Порез на име акције и уделе</t>
  </si>
  <si>
    <t>Други периодични порези на имовину</t>
  </si>
  <si>
    <t>ПЛАН ЗА 2022.ГОД.</t>
  </si>
  <si>
    <t>086</t>
  </si>
  <si>
    <t>087</t>
  </si>
  <si>
    <t>163</t>
  </si>
  <si>
    <t>158</t>
  </si>
  <si>
    <t>164</t>
  </si>
  <si>
    <t>511 Зграде и грађевински објекти</t>
  </si>
  <si>
    <t>Тек. поп.и одрж.- посип. ул. струг. асфалтом</t>
  </si>
  <si>
    <t>162</t>
  </si>
  <si>
    <t>168</t>
  </si>
  <si>
    <t>238</t>
  </si>
  <si>
    <t>239</t>
  </si>
  <si>
    <t>169</t>
  </si>
  <si>
    <t>240</t>
  </si>
  <si>
    <t>045A</t>
  </si>
  <si>
    <t>Izvršenje 2022</t>
  </si>
  <si>
    <t>Plan 2022</t>
  </si>
  <si>
    <t>221A</t>
  </si>
  <si>
    <t>299А</t>
  </si>
  <si>
    <t>Награде запосленима и остали посебни расходи</t>
  </si>
  <si>
    <t>Порез на пренос апсолутних права на употребљаваним моторним возилима</t>
  </si>
  <si>
    <t>Накнаде за коришћење јавне површине за оглашавање за сопствене потребе</t>
  </si>
  <si>
    <t>Текуће донације од међународних организација</t>
  </si>
  <si>
    <t>Текуће донације од међународних организација у корист нивоа општине</t>
  </si>
  <si>
    <t>Текући трансфери од Републике у корист нивоа општине</t>
  </si>
  <si>
    <t>Текући наменски трансфер од АПВ у корист нивоа општине</t>
  </si>
  <si>
    <t>289A</t>
  </si>
  <si>
    <t xml:space="preserve">Порези, обавезне таксе и казне </t>
  </si>
  <si>
    <t>128А</t>
  </si>
  <si>
    <t>Једнократне помоћи</t>
  </si>
  <si>
    <t>254A</t>
  </si>
  <si>
    <t>255A</t>
  </si>
  <si>
    <t>Зграде и грађeвински објekti</t>
  </si>
  <si>
    <t>511 Пројектно планирање</t>
  </si>
  <si>
    <t>Спецализоване услуге (дерат.дезинцек.хемиј.зашт.)</t>
  </si>
  <si>
    <t>Дотације невлад.орг.- удруж. грађана из обл. културе</t>
  </si>
  <si>
    <t>113A</t>
  </si>
  <si>
    <t>465 Остале текуће дотације и трансфери</t>
  </si>
  <si>
    <t>ПЛАН ЗА  ИЗВОР ФИН. 
01</t>
  </si>
  <si>
    <t>ИЗМЕНА И ДОПУНА ПЛАНА РАСХОДА БУЏЕТА ОПШТИНЕ ЧОКА ЗА 2022, СА ПРОЈЕКЦИЈАМА ЗА 2023. И 2024.ГОДИНУ</t>
  </si>
  <si>
    <t xml:space="preserve">ИЗМЕНА ПЛАНА ПРИХОДА  БУЏЕТА ОПШТИНЕ ЧОКА ЗА  2022. СА ПРОЈЕКЦИЈАМА ЗА  2023. и за 2024. ГОДИНУ </t>
  </si>
  <si>
    <t>ПЛАН ЗА  ИЗВОР ФИН.
01</t>
  </si>
  <si>
    <t>ПЛАН ЗА  ИЗВОР ФИН.
04</t>
  </si>
  <si>
    <t>ПЛАН ЗА  ИЗВОР ФИН. 06</t>
  </si>
  <si>
    <t>ПЛАН ЗА  ИЗВОР ФИН.
07</t>
  </si>
  <si>
    <t>ПЛАН ЗА  ИЗВОР ФИН.
 13</t>
  </si>
  <si>
    <t>ПЛАН ЗА  ИЗВОР ФИН.
16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</si>
</sst>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??,???,??0.00"/>
    <numFmt numFmtId="181" formatCode="?,???,??0.00"/>
    <numFmt numFmtId="182" formatCode="???"/>
    <numFmt numFmtId="183" formatCode="000"/>
    <numFmt numFmtId="184" formatCode="???,??0.00"/>
    <numFmt numFmtId="185" formatCode="??,??0.00"/>
    <numFmt numFmtId="186" formatCode="???,???,??0.00"/>
    <numFmt numFmtId="187" formatCode="#,##0.00;[Red]#,##0.00"/>
    <numFmt numFmtId="188" formatCode="?"/>
    <numFmt numFmtId="189" formatCode="????"/>
    <numFmt numFmtId="190" formatCode="?????"/>
    <numFmt numFmtId="191" formatCode="??????"/>
    <numFmt numFmtId="192" formatCode="_-* #,##0\ _d_i_n_._-;\-* #,##0\ _d_i_n_._-;_-* &quot;-&quot;\ _d_i_n_._-;_-@_-"/>
    <numFmt numFmtId="193" formatCode="_(* #,##0.00_);_(* \(#,##0.00\);_(* \-??_);_(@_)"/>
    <numFmt numFmtId="194" formatCode="_-* #,##0.00\ _D_i_n_._-;\-* #,##0.00\ _D_i_n_._-;_-* \-??\ _D_i_n_._-;_-@_-"/>
    <numFmt numFmtId="195" formatCode="0.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9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4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5" applyFont="1" applyBorder="1">
      <alignment/>
      <protection/>
    </xf>
    <xf numFmtId="0" fontId="0" fillId="0" borderId="16" xfId="45" applyFont="1" applyFill="1" applyBorder="1" applyAlignment="1">
      <alignment/>
      <protection/>
    </xf>
    <xf numFmtId="0" fontId="6" fillId="0" borderId="17" xfId="45" applyFont="1" applyBorder="1">
      <alignment/>
      <protection/>
    </xf>
    <xf numFmtId="0" fontId="6" fillId="0" borderId="0" xfId="0" applyFont="1" applyAlignment="1">
      <alignment/>
    </xf>
    <xf numFmtId="0" fontId="4" fillId="0" borderId="17" xfId="45" applyFont="1" applyBorder="1">
      <alignment/>
      <protection/>
    </xf>
    <xf numFmtId="0" fontId="7" fillId="0" borderId="17" xfId="45" applyFont="1" applyBorder="1">
      <alignment/>
      <protection/>
    </xf>
    <xf numFmtId="0" fontId="0" fillId="0" borderId="17" xfId="45" applyFont="1" applyBorder="1">
      <alignment/>
      <protection/>
    </xf>
    <xf numFmtId="0" fontId="0" fillId="0" borderId="17" xfId="45" applyFont="1" applyFill="1" applyBorder="1">
      <alignment/>
      <protection/>
    </xf>
    <xf numFmtId="187" fontId="4" fillId="0" borderId="18" xfId="45" applyNumberFormat="1" applyFont="1" applyBorder="1" applyAlignment="1">
      <alignment horizontal="right" vertical="top"/>
      <protection/>
    </xf>
    <xf numFmtId="187" fontId="0" fillId="0" borderId="18" xfId="45" applyNumberFormat="1" applyFont="1" applyBorder="1">
      <alignment/>
      <protection/>
    </xf>
    <xf numFmtId="0" fontId="4" fillId="0" borderId="19" xfId="45" applyFont="1" applyBorder="1">
      <alignment/>
      <protection/>
    </xf>
    <xf numFmtId="186" fontId="4" fillId="0" borderId="20" xfId="45" applyNumberFormat="1" applyFont="1" applyBorder="1">
      <alignment/>
      <protection/>
    </xf>
    <xf numFmtId="187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0" xfId="42" applyNumberFormat="1" applyFont="1" applyBorder="1" applyAlignment="1">
      <alignment horizontal="left" vertical="top"/>
      <protection/>
    </xf>
    <xf numFmtId="49" fontId="4" fillId="0" borderId="0" xfId="42" applyNumberFormat="1" applyFont="1" applyBorder="1" applyAlignment="1">
      <alignment horizontal="center" vertical="top"/>
      <protection/>
    </xf>
    <xf numFmtId="49" fontId="7" fillId="0" borderId="0" xfId="42" applyNumberFormat="1" applyFont="1" applyAlignment="1">
      <alignment horizontal="left" vertical="top"/>
      <protection/>
    </xf>
    <xf numFmtId="0" fontId="4" fillId="0" borderId="0" xfId="42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9" fontId="4" fillId="0" borderId="0" xfId="42" applyNumberFormat="1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49" fontId="4" fillId="33" borderId="21" xfId="42" applyNumberFormat="1" applyFont="1" applyFill="1" applyBorder="1" applyAlignment="1">
      <alignment horizontal="center"/>
      <protection/>
    </xf>
    <xf numFmtId="49" fontId="4" fillId="33" borderId="22" xfId="42" applyNumberFormat="1" applyFont="1" applyFill="1" applyBorder="1" applyAlignment="1">
      <alignment horizontal="center" vertical="top"/>
      <protection/>
    </xf>
    <xf numFmtId="0" fontId="4" fillId="33" borderId="22" xfId="42" applyFont="1" applyFill="1" applyBorder="1" applyAlignment="1">
      <alignment horizontal="center"/>
      <protection/>
    </xf>
    <xf numFmtId="182" fontId="4" fillId="34" borderId="22" xfId="42" applyNumberFormat="1" applyFont="1" applyFill="1" applyBorder="1" applyAlignment="1">
      <alignment horizontal="center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182" fontId="4" fillId="0" borderId="22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right" vertical="top"/>
      <protection/>
    </xf>
    <xf numFmtId="49" fontId="4" fillId="34" borderId="22" xfId="42" applyNumberFormat="1" applyFont="1" applyFill="1" applyBorder="1" applyAlignment="1">
      <alignment horizontal="center" vertical="top"/>
      <protection/>
    </xf>
    <xf numFmtId="49" fontId="7" fillId="0" borderId="22" xfId="42" applyNumberFormat="1" applyFont="1" applyFill="1" applyBorder="1" applyAlignment="1">
      <alignment horizontal="center" vertical="top"/>
      <protection/>
    </xf>
    <xf numFmtId="182" fontId="4" fillId="0" borderId="23" xfId="42" applyNumberFormat="1" applyFont="1" applyFill="1" applyBorder="1" applyAlignment="1">
      <alignment horizontal="center" vertical="top"/>
      <protection/>
    </xf>
    <xf numFmtId="182" fontId="4" fillId="0" borderId="16" xfId="42" applyNumberFormat="1" applyFont="1" applyFill="1" applyBorder="1" applyAlignment="1">
      <alignment horizontal="center" vertical="top"/>
      <protection/>
    </xf>
    <xf numFmtId="182" fontId="4" fillId="0" borderId="24" xfId="42" applyNumberFormat="1" applyFont="1" applyFill="1" applyBorder="1" applyAlignment="1">
      <alignment horizontal="center" vertical="top"/>
      <protection/>
    </xf>
    <xf numFmtId="4" fontId="4" fillId="0" borderId="0" xfId="0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4" fontId="4" fillId="0" borderId="26" xfId="42" applyNumberFormat="1" applyFont="1" applyFill="1" applyBorder="1" applyAlignment="1">
      <alignment horizontal="right" vertical="top"/>
      <protection/>
    </xf>
    <xf numFmtId="0" fontId="4" fillId="33" borderId="27" xfId="42" applyFont="1" applyFill="1" applyBorder="1" applyAlignment="1">
      <alignment horizontal="center"/>
      <protection/>
    </xf>
    <xf numFmtId="4" fontId="4" fillId="33" borderId="26" xfId="42" applyNumberFormat="1" applyFont="1" applyFill="1" applyBorder="1" applyAlignment="1">
      <alignment horizontal="right" vertical="top"/>
      <protection/>
    </xf>
    <xf numFmtId="4" fontId="4" fillId="34" borderId="26" xfId="42" applyNumberFormat="1" applyFont="1" applyFill="1" applyBorder="1" applyAlignment="1">
      <alignment horizontal="right" vertical="top"/>
      <protection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 wrapText="1"/>
    </xf>
    <xf numFmtId="4" fontId="4" fillId="0" borderId="30" xfId="42" applyNumberFormat="1" applyFont="1" applyBorder="1" applyAlignment="1">
      <alignment horizontal="right" vertical="center"/>
      <protection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186" fontId="5" fillId="0" borderId="32" xfId="45" applyNumberFormat="1" applyFont="1" applyBorder="1" applyAlignment="1">
      <alignment horizontal="right" vertical="center"/>
      <protection/>
    </xf>
    <xf numFmtId="186" fontId="0" fillId="0" borderId="0" xfId="0" applyNumberFormat="1" applyFont="1" applyFill="1" applyAlignment="1">
      <alignment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9" fillId="35" borderId="33" xfId="0" applyFont="1" applyFill="1" applyBorder="1" applyAlignment="1">
      <alignment vertical="top"/>
    </xf>
    <xf numFmtId="0" fontId="5" fillId="0" borderId="0" xfId="45" applyFont="1" applyAlignment="1">
      <alignment horizontal="left" vertical="top"/>
      <protection/>
    </xf>
    <xf numFmtId="0" fontId="10" fillId="0" borderId="0" xfId="45" applyFont="1" applyAlignment="1">
      <alignment horizontal="left" vertical="top"/>
      <protection/>
    </xf>
    <xf numFmtId="0" fontId="5" fillId="0" borderId="0" xfId="45" applyFont="1" applyBorder="1" applyAlignment="1">
      <alignment horizontal="left" vertical="center"/>
      <protection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4" fillId="0" borderId="10" xfId="45" applyFont="1" applyFill="1" applyBorder="1" applyAlignment="1">
      <alignment horizontal="center" vertical="center" wrapText="1"/>
      <protection/>
    </xf>
    <xf numFmtId="49" fontId="5" fillId="36" borderId="17" xfId="45" applyNumberFormat="1" applyFont="1" applyFill="1" applyBorder="1" applyAlignment="1">
      <alignment horizontal="center" vertical="top"/>
      <protection/>
    </xf>
    <xf numFmtId="188" fontId="9" fillId="35" borderId="16" xfId="45" applyNumberFormat="1" applyFont="1" applyFill="1" applyBorder="1" applyAlignment="1">
      <alignment horizontal="left" vertical="top"/>
      <protection/>
    </xf>
    <xf numFmtId="0" fontId="6" fillId="35" borderId="16" xfId="45" applyFont="1" applyFill="1" applyBorder="1">
      <alignment/>
      <protection/>
    </xf>
    <xf numFmtId="0" fontId="6" fillId="35" borderId="34" xfId="45" applyFont="1" applyFill="1" applyBorder="1">
      <alignment/>
      <protection/>
    </xf>
    <xf numFmtId="0" fontId="9" fillId="35" borderId="25" xfId="0" applyFont="1" applyFill="1" applyBorder="1" applyAlignment="1">
      <alignment vertical="top"/>
    </xf>
    <xf numFmtId="186" fontId="9" fillId="35" borderId="18" xfId="45" applyNumberFormat="1" applyFont="1" applyFill="1" applyBorder="1" applyAlignment="1">
      <alignment horizontal="right" vertical="top"/>
      <protection/>
    </xf>
    <xf numFmtId="0" fontId="4" fillId="33" borderId="16" xfId="45" applyFont="1" applyFill="1" applyBorder="1">
      <alignment/>
      <protection/>
    </xf>
    <xf numFmtId="182" fontId="11" fillId="33" borderId="16" xfId="45" applyNumberFormat="1" applyFont="1" applyFill="1" applyBorder="1" applyAlignment="1">
      <alignment horizontal="left" vertical="top"/>
      <protection/>
    </xf>
    <xf numFmtId="0" fontId="4" fillId="33" borderId="34" xfId="45" applyFont="1" applyFill="1" applyBorder="1">
      <alignment/>
      <protection/>
    </xf>
    <xf numFmtId="0" fontId="11" fillId="33" borderId="34" xfId="0" applyFont="1" applyFill="1" applyBorder="1" applyAlignment="1">
      <alignment vertical="top"/>
    </xf>
    <xf numFmtId="180" fontId="8" fillId="33" borderId="18" xfId="45" applyNumberFormat="1" applyFont="1" applyFill="1" applyBorder="1" applyAlignment="1">
      <alignment horizontal="right" vertical="top"/>
      <protection/>
    </xf>
    <xf numFmtId="0" fontId="7" fillId="0" borderId="16" xfId="45" applyFont="1" applyBorder="1">
      <alignment/>
      <protection/>
    </xf>
    <xf numFmtId="189" fontId="10" fillId="0" borderId="16" xfId="45" applyNumberFormat="1" applyFont="1" applyBorder="1" applyAlignment="1">
      <alignment horizontal="left" vertical="top"/>
      <protection/>
    </xf>
    <xf numFmtId="0" fontId="7" fillId="0" borderId="34" xfId="45" applyFont="1" applyBorder="1">
      <alignment/>
      <protection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180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Border="1">
      <alignment/>
      <protection/>
    </xf>
    <xf numFmtId="0" fontId="0" fillId="0" borderId="34" xfId="45" applyFont="1" applyBorder="1">
      <alignment/>
      <protection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0" fillId="0" borderId="33" xfId="0" applyFont="1" applyBorder="1" applyAlignment="1">
      <alignment/>
    </xf>
    <xf numFmtId="0" fontId="12" fillId="0" borderId="33" xfId="0" applyFont="1" applyBorder="1" applyAlignment="1">
      <alignment vertical="top"/>
    </xf>
    <xf numFmtId="0" fontId="4" fillId="33" borderId="33" xfId="0" applyFont="1" applyFill="1" applyBorder="1" applyAlignment="1">
      <alignment/>
    </xf>
    <xf numFmtId="184" fontId="8" fillId="33" borderId="18" xfId="45" applyNumberFormat="1" applyFont="1" applyFill="1" applyBorder="1" applyAlignment="1">
      <alignment horizontal="right" vertical="top"/>
      <protection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/>
    </xf>
    <xf numFmtId="184" fontId="10" fillId="0" borderId="18" xfId="45" applyNumberFormat="1" applyFont="1" applyBorder="1" applyAlignment="1">
      <alignment horizontal="right" vertical="top"/>
      <protection/>
    </xf>
    <xf numFmtId="184" fontId="7" fillId="0" borderId="18" xfId="45" applyNumberFormat="1" applyFont="1" applyBorder="1" applyAlignment="1">
      <alignment horizontal="right" vertical="top"/>
      <protection/>
    </xf>
    <xf numFmtId="0" fontId="4" fillId="33" borderId="25" xfId="0" applyFont="1" applyFill="1" applyBorder="1" applyAlignment="1">
      <alignment/>
    </xf>
    <xf numFmtId="181" fontId="7" fillId="0" borderId="18" xfId="45" applyNumberFormat="1" applyFont="1" applyBorder="1" applyAlignment="1">
      <alignment horizontal="right" vertical="top"/>
      <protection/>
    </xf>
    <xf numFmtId="181" fontId="8" fillId="33" borderId="18" xfId="45" applyNumberFormat="1" applyFont="1" applyFill="1" applyBorder="1" applyAlignment="1">
      <alignment horizontal="right" vertical="top"/>
      <protection/>
    </xf>
    <xf numFmtId="185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Fill="1" applyBorder="1">
      <alignment/>
      <protection/>
    </xf>
    <xf numFmtId="191" fontId="12" fillId="0" borderId="34" xfId="45" applyNumberFormat="1" applyFont="1" applyFill="1" applyBorder="1" applyAlignment="1">
      <alignment horizontal="left" vertical="top"/>
      <protection/>
    </xf>
    <xf numFmtId="0" fontId="9" fillId="35" borderId="34" xfId="0" applyFont="1" applyFill="1" applyBorder="1" applyAlignment="1">
      <alignment vertical="top"/>
    </xf>
    <xf numFmtId="189" fontId="12" fillId="0" borderId="16" xfId="45" applyNumberFormat="1" applyFont="1" applyBorder="1" applyAlignment="1">
      <alignment horizontal="left" vertical="top"/>
      <protection/>
    </xf>
    <xf numFmtId="0" fontId="7" fillId="0" borderId="16" xfId="45" applyFont="1" applyBorder="1" applyAlignment="1">
      <alignment horizontal="left"/>
      <protection/>
    </xf>
    <xf numFmtId="184" fontId="9" fillId="35" borderId="18" xfId="45" applyNumberFormat="1" applyFont="1" applyFill="1" applyBorder="1" applyAlignment="1">
      <alignment horizontal="right" vertical="top"/>
      <protection/>
    </xf>
    <xf numFmtId="0" fontId="4" fillId="0" borderId="16" xfId="45" applyFont="1" applyBorder="1">
      <alignment/>
      <protection/>
    </xf>
    <xf numFmtId="182" fontId="11" fillId="0" borderId="16" xfId="45" applyNumberFormat="1" applyFont="1" applyBorder="1" applyAlignment="1">
      <alignment horizontal="center" vertical="top"/>
      <protection/>
    </xf>
    <xf numFmtId="182" fontId="11" fillId="0" borderId="34" xfId="45" applyNumberFormat="1" applyFont="1" applyBorder="1" applyAlignment="1">
      <alignment horizontal="center" vertical="top"/>
      <protection/>
    </xf>
    <xf numFmtId="182" fontId="13" fillId="0" borderId="17" xfId="45" applyNumberFormat="1" applyFont="1" applyBorder="1" applyAlignment="1">
      <alignment horizontal="center" vertical="top"/>
      <protection/>
    </xf>
    <xf numFmtId="0" fontId="6" fillId="35" borderId="16" xfId="45" applyFont="1" applyFill="1" applyBorder="1" applyAlignment="1">
      <alignment horizontal="center"/>
      <protection/>
    </xf>
    <xf numFmtId="182" fontId="13" fillId="35" borderId="16" xfId="45" applyNumberFormat="1" applyFont="1" applyFill="1" applyBorder="1" applyAlignment="1">
      <alignment horizontal="center" vertical="top"/>
      <protection/>
    </xf>
    <xf numFmtId="0" fontId="6" fillId="35" borderId="34" xfId="45" applyFont="1" applyFill="1" applyBorder="1" applyAlignment="1">
      <alignment horizontal="center"/>
      <protection/>
    </xf>
    <xf numFmtId="187" fontId="9" fillId="35" borderId="18" xfId="45" applyNumberFormat="1" applyFont="1" applyFill="1" applyBorder="1" applyAlignment="1">
      <alignment horizontal="right" vertical="top"/>
      <protection/>
    </xf>
    <xf numFmtId="182" fontId="10" fillId="0" borderId="17" xfId="45" applyNumberFormat="1" applyFont="1" applyBorder="1" applyAlignment="1">
      <alignment horizontal="center" vertical="top"/>
      <protection/>
    </xf>
    <xf numFmtId="182" fontId="10" fillId="0" borderId="16" xfId="45" applyNumberFormat="1" applyFont="1" applyBorder="1" applyAlignment="1">
      <alignment horizontal="center" vertical="top"/>
      <protection/>
    </xf>
    <xf numFmtId="189" fontId="12" fillId="0" borderId="34" xfId="45" applyNumberFormat="1" applyFont="1" applyBorder="1" applyAlignment="1">
      <alignment horizontal="left" vertical="top"/>
      <protection/>
    </xf>
    <xf numFmtId="0" fontId="4" fillId="0" borderId="34" xfId="45" applyFont="1" applyBorder="1">
      <alignment/>
      <protection/>
    </xf>
    <xf numFmtId="0" fontId="4" fillId="0" borderId="35" xfId="45" applyFont="1" applyBorder="1">
      <alignment/>
      <protection/>
    </xf>
    <xf numFmtId="0" fontId="4" fillId="0" borderId="36" xfId="45" applyFont="1" applyBorder="1">
      <alignment/>
      <protection/>
    </xf>
    <xf numFmtId="182" fontId="13" fillId="0" borderId="17" xfId="45" applyNumberFormat="1" applyFont="1" applyFill="1" applyBorder="1" applyAlignment="1">
      <alignment horizontal="center" vertical="top"/>
      <protection/>
    </xf>
    <xf numFmtId="188" fontId="9" fillId="0" borderId="16" xfId="45" applyNumberFormat="1" applyFont="1" applyFill="1" applyBorder="1" applyAlignment="1">
      <alignment horizontal="left" vertical="top"/>
      <protection/>
    </xf>
    <xf numFmtId="0" fontId="6" fillId="0" borderId="16" xfId="45" applyFont="1" applyFill="1" applyBorder="1" applyAlignment="1">
      <alignment horizontal="center"/>
      <protection/>
    </xf>
    <xf numFmtId="182" fontId="13" fillId="0" borderId="16" xfId="45" applyNumberFormat="1" applyFont="1" applyFill="1" applyBorder="1" applyAlignment="1">
      <alignment horizontal="center" vertical="top"/>
      <protection/>
    </xf>
    <xf numFmtId="0" fontId="6" fillId="0" borderId="34" xfId="45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6" xfId="45" applyFont="1" applyFill="1" applyBorder="1" applyAlignment="1">
      <alignment horizontal="center"/>
      <protection/>
    </xf>
    <xf numFmtId="188" fontId="4" fillId="0" borderId="16" xfId="45" applyNumberFormat="1" applyFont="1" applyFill="1" applyBorder="1" applyAlignment="1">
      <alignment horizontal="left" vertical="top"/>
      <protection/>
    </xf>
    <xf numFmtId="0" fontId="4" fillId="0" borderId="34" xfId="45" applyFont="1" applyFill="1" applyBorder="1" applyAlignment="1">
      <alignment horizontal="center"/>
      <protection/>
    </xf>
    <xf numFmtId="182" fontId="4" fillId="0" borderId="17" xfId="45" applyNumberFormat="1" applyFont="1" applyFill="1" applyBorder="1" applyAlignment="1">
      <alignment horizontal="center" vertical="top"/>
      <protection/>
    </xf>
    <xf numFmtId="182" fontId="4" fillId="0" borderId="16" xfId="45" applyNumberFormat="1" applyFont="1" applyFill="1" applyBorder="1" applyAlignment="1">
      <alignment horizontal="center" vertical="top"/>
      <protection/>
    </xf>
    <xf numFmtId="0" fontId="4" fillId="0" borderId="17" xfId="45" applyFont="1" applyFill="1" applyBorder="1">
      <alignment/>
      <protection/>
    </xf>
    <xf numFmtId="49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horizontal="right"/>
    </xf>
    <xf numFmtId="182" fontId="7" fillId="0" borderId="17" xfId="45" applyNumberFormat="1" applyFont="1" applyFill="1" applyBorder="1" applyAlignment="1">
      <alignment horizontal="center" vertical="top"/>
      <protection/>
    </xf>
    <xf numFmtId="0" fontId="0" fillId="0" borderId="16" xfId="45" applyFont="1" applyFill="1" applyBorder="1" applyAlignment="1">
      <alignment horizontal="center"/>
      <protection/>
    </xf>
    <xf numFmtId="182" fontId="7" fillId="0" borderId="16" xfId="45" applyNumberFormat="1" applyFont="1" applyFill="1" applyBorder="1" applyAlignment="1">
      <alignment horizontal="center" vertical="top"/>
      <protection/>
    </xf>
    <xf numFmtId="0" fontId="0" fillId="0" borderId="34" xfId="45" applyFont="1" applyFill="1" applyBorder="1" applyAlignment="1">
      <alignment horizontal="center"/>
      <protection/>
    </xf>
    <xf numFmtId="186" fontId="4" fillId="0" borderId="18" xfId="45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45" applyFont="1" applyFill="1" applyBorder="1" applyAlignment="1">
      <alignment horizontal="left"/>
      <protection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182" fontId="11" fillId="37" borderId="16" xfId="45" applyNumberFormat="1" applyFont="1" applyFill="1" applyBorder="1" applyAlignment="1">
      <alignment horizontal="left" vertical="top"/>
      <protection/>
    </xf>
    <xf numFmtId="4" fontId="4" fillId="34" borderId="27" xfId="42" applyNumberFormat="1" applyFont="1" applyFill="1" applyBorder="1" applyAlignment="1">
      <alignment horizontal="right" vertical="top"/>
      <protection/>
    </xf>
    <xf numFmtId="4" fontId="0" fillId="0" borderId="0" xfId="0" applyNumberFormat="1" applyFont="1" applyAlignment="1">
      <alignment horizontal="right"/>
    </xf>
    <xf numFmtId="49" fontId="4" fillId="0" borderId="22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9" xfId="45" applyFont="1" applyBorder="1">
      <alignment/>
      <protection/>
    </xf>
    <xf numFmtId="0" fontId="0" fillId="0" borderId="24" xfId="45" applyFont="1" applyBorder="1">
      <alignment/>
      <protection/>
    </xf>
    <xf numFmtId="0" fontId="0" fillId="0" borderId="40" xfId="45" applyFont="1" applyBorder="1">
      <alignment/>
      <protection/>
    </xf>
    <xf numFmtId="49" fontId="5" fillId="0" borderId="17" xfId="45" applyNumberFormat="1" applyFont="1" applyFill="1" applyBorder="1" applyAlignment="1">
      <alignment horizontal="center" vertical="top"/>
      <protection/>
    </xf>
    <xf numFmtId="4" fontId="4" fillId="0" borderId="1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45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82" fontId="11" fillId="0" borderId="16" xfId="45" applyNumberFormat="1" applyFont="1" applyFill="1" applyBorder="1" applyAlignment="1">
      <alignment horizontal="left" vertical="top"/>
      <protection/>
    </xf>
    <xf numFmtId="3" fontId="0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8" fillId="38" borderId="42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wrapText="1"/>
    </xf>
    <xf numFmtId="3" fontId="21" fillId="40" borderId="16" xfId="0" applyNumberFormat="1" applyFont="1" applyFill="1" applyBorder="1" applyAlignment="1" applyProtection="1">
      <alignment wrapText="1"/>
      <protection/>
    </xf>
    <xf numFmtId="3" fontId="21" fillId="0" borderId="16" xfId="0" applyNumberFormat="1" applyFont="1" applyFill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 locked="0"/>
    </xf>
    <xf numFmtId="3" fontId="22" fillId="0" borderId="16" xfId="0" applyNumberFormat="1" applyFont="1" applyBorder="1" applyAlignment="1" applyProtection="1">
      <alignment wrapText="1"/>
      <protection locked="0"/>
    </xf>
    <xf numFmtId="3" fontId="16" fillId="40" borderId="16" xfId="0" applyNumberFormat="1" applyFont="1" applyFill="1" applyBorder="1" applyAlignment="1" applyProtection="1">
      <alignment wrapText="1"/>
      <protection locked="0"/>
    </xf>
    <xf numFmtId="3" fontId="23" fillId="40" borderId="16" xfId="0" applyNumberFormat="1" applyFont="1" applyFill="1" applyBorder="1" applyAlignment="1">
      <alignment wrapText="1"/>
    </xf>
    <xf numFmtId="3" fontId="18" fillId="39" borderId="16" xfId="0" applyNumberFormat="1" applyFont="1" applyFill="1" applyBorder="1" applyAlignment="1" applyProtection="1">
      <alignment wrapText="1"/>
      <protection locked="0"/>
    </xf>
    <xf numFmtId="3" fontId="23" fillId="0" borderId="16" xfId="0" applyNumberFormat="1" applyFont="1" applyFill="1" applyBorder="1" applyAlignment="1">
      <alignment wrapText="1"/>
    </xf>
    <xf numFmtId="0" fontId="20" fillId="37" borderId="16" xfId="0" applyFont="1" applyFill="1" applyBorder="1" applyAlignment="1">
      <alignment wrapText="1"/>
    </xf>
    <xf numFmtId="3" fontId="20" fillId="41" borderId="16" xfId="0" applyNumberFormat="1" applyFont="1" applyFill="1" applyBorder="1" applyAlignment="1" applyProtection="1">
      <alignment wrapText="1"/>
      <protection locked="0"/>
    </xf>
    <xf numFmtId="0" fontId="20" fillId="37" borderId="43" xfId="0" applyFont="1" applyFill="1" applyBorder="1" applyAlignment="1">
      <alignment wrapText="1"/>
    </xf>
    <xf numFmtId="0" fontId="18" fillId="37" borderId="44" xfId="0" applyFont="1" applyFill="1" applyBorder="1" applyAlignment="1">
      <alignment horizontal="center"/>
    </xf>
    <xf numFmtId="3" fontId="16" fillId="39" borderId="16" xfId="0" applyNumberFormat="1" applyFont="1" applyFill="1" applyBorder="1" applyAlignment="1">
      <alignment horizontal="right"/>
    </xf>
    <xf numFmtId="3" fontId="16" fillId="4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6" xfId="0" applyNumberFormat="1" applyFont="1" applyBorder="1" applyAlignment="1" applyProtection="1">
      <alignment/>
      <protection locked="0"/>
    </xf>
    <xf numFmtId="3" fontId="16" fillId="39" borderId="16" xfId="0" applyNumberFormat="1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3" fontId="20" fillId="41" borderId="1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38" borderId="4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37" borderId="43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20" fillId="41" borderId="16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16" fillId="4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/>
    </xf>
    <xf numFmtId="49" fontId="19" fillId="37" borderId="16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" fontId="18" fillId="38" borderId="42" xfId="0" applyNumberFormat="1" applyFont="1" applyFill="1" applyBorder="1" applyAlignment="1">
      <alignment horizontal="center" vertical="center" wrapText="1"/>
    </xf>
    <xf numFmtId="1" fontId="20" fillId="37" borderId="45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>
      <alignment horizontal="center" wrapText="1"/>
    </xf>
    <xf numFmtId="1" fontId="21" fillId="4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Border="1" applyAlignment="1" applyProtection="1">
      <alignment horizontal="center" wrapText="1"/>
      <protection locked="0"/>
    </xf>
    <xf numFmtId="1" fontId="22" fillId="0" borderId="16" xfId="0" applyNumberFormat="1" applyFont="1" applyBorder="1" applyAlignment="1" applyProtection="1">
      <alignment horizontal="center" wrapText="1"/>
      <protection locked="0"/>
    </xf>
    <xf numFmtId="1" fontId="16" fillId="40" borderId="16" xfId="0" applyNumberFormat="1" applyFont="1" applyFill="1" applyBorder="1" applyAlignment="1" applyProtection="1">
      <alignment horizontal="center" wrapText="1"/>
      <protection locked="0"/>
    </xf>
    <xf numFmtId="1" fontId="23" fillId="40" borderId="1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 applyProtection="1">
      <alignment horizontal="center" wrapText="1"/>
      <protection locked="0"/>
    </xf>
    <xf numFmtId="1" fontId="23" fillId="0" borderId="16" xfId="0" applyNumberFormat="1" applyFont="1" applyFill="1" applyBorder="1" applyAlignment="1">
      <alignment horizontal="center" wrapText="1"/>
    </xf>
    <xf numFmtId="1" fontId="20" fillId="37" borderId="16" xfId="0" applyNumberFormat="1" applyFont="1" applyFill="1" applyBorder="1" applyAlignment="1">
      <alignment horizontal="center" wrapText="1"/>
    </xf>
    <xf numFmtId="1" fontId="20" fillId="41" borderId="16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NumberFormat="1" applyFont="1" applyAlignment="1">
      <alignment/>
    </xf>
    <xf numFmtId="1" fontId="18" fillId="40" borderId="16" xfId="0" applyNumberFormat="1" applyFont="1" applyFill="1" applyBorder="1" applyAlignment="1" applyProtection="1">
      <alignment horizontal="center" wrapText="1"/>
      <protection locked="0"/>
    </xf>
    <xf numFmtId="3" fontId="18" fillId="40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5" xfId="0" applyFont="1" applyBorder="1" applyAlignment="1">
      <alignment horizontal="left" vertical="top"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" fillId="0" borderId="29" xfId="0" applyNumberFormat="1" applyFont="1" applyBorder="1" applyAlignment="1">
      <alignment horizontal="center" textRotation="90" wrapText="1"/>
    </xf>
    <xf numFmtId="49" fontId="4" fillId="33" borderId="22" xfId="42" applyNumberFormat="1" applyFont="1" applyFill="1" applyBorder="1" applyAlignment="1">
      <alignment horizontal="center"/>
      <protection/>
    </xf>
    <xf numFmtId="49" fontId="4" fillId="0" borderId="47" xfId="42" applyNumberFormat="1" applyFont="1" applyFill="1" applyBorder="1" applyAlignment="1">
      <alignment horizontal="center" vertical="top"/>
      <protection/>
    </xf>
    <xf numFmtId="49" fontId="4" fillId="42" borderId="48" xfId="42" applyNumberFormat="1" applyFont="1" applyFill="1" applyBorder="1" applyAlignment="1">
      <alignment horizontal="center" vertical="top"/>
      <protection/>
    </xf>
    <xf numFmtId="49" fontId="4" fillId="42" borderId="23" xfId="42" applyNumberFormat="1" applyFont="1" applyFill="1" applyBorder="1" applyAlignment="1">
      <alignment horizontal="center"/>
      <protection/>
    </xf>
    <xf numFmtId="4" fontId="4" fillId="42" borderId="49" xfId="42" applyNumberFormat="1" applyFont="1" applyFill="1" applyBorder="1" applyAlignment="1">
      <alignment horizontal="right" vertical="top"/>
      <protection/>
    </xf>
    <xf numFmtId="49" fontId="4" fillId="34" borderId="50" xfId="42" applyNumberFormat="1" applyFont="1" applyFill="1" applyBorder="1" applyAlignment="1">
      <alignment horizontal="center" vertical="top"/>
      <protection/>
    </xf>
    <xf numFmtId="49" fontId="4" fillId="0" borderId="50" xfId="42" applyNumberFormat="1" applyFont="1" applyFill="1" applyBorder="1" applyAlignment="1">
      <alignment horizontal="center" vertical="top"/>
      <protection/>
    </xf>
    <xf numFmtId="4" fontId="4" fillId="42" borderId="49" xfId="42" applyNumberFormat="1" applyFont="1" applyFill="1" applyBorder="1" applyAlignment="1">
      <alignment vertical="center"/>
      <protection/>
    </xf>
    <xf numFmtId="4" fontId="4" fillId="42" borderId="49" xfId="42" applyNumberFormat="1" applyFont="1" applyFill="1" applyBorder="1" applyAlignment="1">
      <alignment horizontal="right" vertical="center"/>
      <protection/>
    </xf>
    <xf numFmtId="4" fontId="4" fillId="0" borderId="51" xfId="4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 shrinkToFit="1"/>
    </xf>
    <xf numFmtId="49" fontId="0" fillId="0" borderId="52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 vertical="center"/>
    </xf>
    <xf numFmtId="0" fontId="5" fillId="44" borderId="53" xfId="0" applyFont="1" applyFill="1" applyBorder="1" applyAlignment="1">
      <alignment/>
    </xf>
    <xf numFmtId="192" fontId="4" fillId="44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wrapText="1"/>
    </xf>
    <xf numFmtId="192" fontId="0" fillId="0" borderId="53" xfId="0" applyNumberFormat="1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/>
    </xf>
    <xf numFmtId="0" fontId="4" fillId="44" borderId="53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0" fontId="5" fillId="44" borderId="5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4" fillId="39" borderId="53" xfId="0" applyFont="1" applyFill="1" applyBorder="1" applyAlignment="1">
      <alignment horizontal="center"/>
    </xf>
    <xf numFmtId="0" fontId="5" fillId="39" borderId="53" xfId="0" applyFont="1" applyFill="1" applyBorder="1" applyAlignment="1">
      <alignment wrapText="1"/>
    </xf>
    <xf numFmtId="192" fontId="4" fillId="39" borderId="53" xfId="0" applyNumberFormat="1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94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92" fontId="12" fillId="0" borderId="0" xfId="42" applyNumberFormat="1" applyFont="1" applyAlignment="1">
      <alignment horizontal="right"/>
      <protection/>
    </xf>
    <xf numFmtId="192" fontId="12" fillId="0" borderId="0" xfId="0" applyNumberFormat="1" applyFont="1" applyAlignment="1">
      <alignment/>
    </xf>
    <xf numFmtId="192" fontId="12" fillId="0" borderId="0" xfId="42" applyNumberFormat="1" applyFont="1">
      <alignment/>
      <protection/>
    </xf>
    <xf numFmtId="4" fontId="12" fillId="0" borderId="0" xfId="42" applyNumberFormat="1" applyFont="1">
      <alignment/>
      <protection/>
    </xf>
    <xf numFmtId="0" fontId="5" fillId="39" borderId="16" xfId="0" applyFont="1" applyFill="1" applyBorder="1" applyAlignment="1" applyProtection="1">
      <alignment vertical="top"/>
      <protection/>
    </xf>
    <xf numFmtId="0" fontId="5" fillId="39" borderId="16" xfId="0" applyFont="1" applyFill="1" applyBorder="1" applyAlignment="1">
      <alignment/>
    </xf>
    <xf numFmtId="49" fontId="4" fillId="0" borderId="48" xfId="42" applyNumberFormat="1" applyFont="1" applyFill="1" applyBorder="1" applyAlignment="1">
      <alignment horizontal="center" vertical="top"/>
      <protection/>
    </xf>
    <xf numFmtId="49" fontId="4" fillId="0" borderId="23" xfId="42" applyNumberFormat="1" applyFont="1" applyFill="1" applyBorder="1" applyAlignment="1">
      <alignment horizontal="center"/>
      <protection/>
    </xf>
    <xf numFmtId="4" fontId="4" fillId="0" borderId="49" xfId="42" applyNumberFormat="1" applyFont="1" applyFill="1" applyBorder="1" applyAlignment="1">
      <alignment horizontal="right" vertical="center"/>
      <protection/>
    </xf>
    <xf numFmtId="4" fontId="4" fillId="0" borderId="0" xfId="42" applyNumberFormat="1" applyFont="1" applyBorder="1" applyAlignment="1">
      <alignment vertical="top"/>
      <protection/>
    </xf>
    <xf numFmtId="0" fontId="4" fillId="0" borderId="23" xfId="42" applyFont="1" applyFill="1" applyBorder="1" applyAlignment="1">
      <alignment horizontal="center"/>
      <protection/>
    </xf>
    <xf numFmtId="49" fontId="7" fillId="0" borderId="23" xfId="42" applyNumberFormat="1" applyFont="1" applyFill="1" applyBorder="1" applyAlignment="1">
      <alignment horizontal="center" vertical="top"/>
      <protection/>
    </xf>
    <xf numFmtId="4" fontId="4" fillId="42" borderId="54" xfId="42" applyNumberFormat="1" applyFont="1" applyFill="1" applyBorder="1" applyAlignment="1">
      <alignment horizontal="right" vertical="top"/>
      <protection/>
    </xf>
    <xf numFmtId="4" fontId="4" fillId="42" borderId="5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top"/>
    </xf>
    <xf numFmtId="4" fontId="4" fillId="33" borderId="31" xfId="42" applyNumberFormat="1" applyFont="1" applyFill="1" applyBorder="1" applyAlignment="1">
      <alignment horizontal="right" vertical="top"/>
      <protection/>
    </xf>
    <xf numFmtId="4" fontId="4" fillId="34" borderId="31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right" vertical="top"/>
      <protection/>
    </xf>
    <xf numFmtId="4" fontId="4" fillId="0" borderId="54" xfId="42" applyNumberFormat="1" applyFont="1" applyFill="1" applyBorder="1" applyAlignment="1">
      <alignment horizontal="right" vertical="center"/>
      <protection/>
    </xf>
    <xf numFmtId="4" fontId="4" fillId="42" borderId="54" xfId="42" applyNumberFormat="1" applyFont="1" applyFill="1" applyBorder="1" applyAlignment="1">
      <alignment vertical="center"/>
      <protection/>
    </xf>
    <xf numFmtId="180" fontId="0" fillId="0" borderId="0" xfId="0" applyNumberFormat="1" applyFont="1" applyAlignment="1">
      <alignment/>
    </xf>
    <xf numFmtId="4" fontId="4" fillId="45" borderId="55" xfId="42" applyNumberFormat="1" applyFont="1" applyFill="1" applyBorder="1" applyAlignment="1">
      <alignment horizontal="right" vertical="center"/>
      <protection/>
    </xf>
    <xf numFmtId="43" fontId="12" fillId="0" borderId="0" xfId="0" applyNumberFormat="1" applyFont="1" applyAlignment="1">
      <alignment/>
    </xf>
    <xf numFmtId="49" fontId="0" fillId="46" borderId="23" xfId="4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7" xfId="0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21" xfId="42" applyNumberFormat="1" applyFont="1" applyFill="1" applyBorder="1" applyAlignment="1">
      <alignment horizontal="center"/>
      <protection/>
    </xf>
    <xf numFmtId="49" fontId="0" fillId="0" borderId="22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 applyAlignment="1">
      <alignment horizontal="center"/>
      <protection/>
    </xf>
    <xf numFmtId="0" fontId="0" fillId="0" borderId="27" xfId="42" applyFont="1" applyFill="1" applyBorder="1" applyAlignment="1">
      <alignment horizontal="center"/>
      <protection/>
    </xf>
    <xf numFmtId="4" fontId="0" fillId="0" borderId="26" xfId="42" applyNumberFormat="1" applyFont="1" applyFill="1" applyBorder="1" applyAlignment="1">
      <alignment horizontal="right" vertical="top"/>
      <protection/>
    </xf>
    <xf numFmtId="4" fontId="0" fillId="0" borderId="31" xfId="4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9" fontId="0" fillId="0" borderId="22" xfId="42" applyNumberFormat="1" applyFont="1" applyFill="1" applyBorder="1" applyAlignment="1">
      <alignment horizontal="center"/>
      <protection/>
    </xf>
    <xf numFmtId="182" fontId="0" fillId="0" borderId="22" xfId="42" applyNumberFormat="1" applyFont="1" applyFill="1" applyBorder="1" applyAlignment="1">
      <alignment horizontal="center" vertical="top"/>
      <protection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48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/>
      <protection/>
    </xf>
    <xf numFmtId="0" fontId="0" fillId="0" borderId="23" xfId="42" applyFont="1" applyFill="1" applyBorder="1" applyAlignment="1">
      <alignment horizontal="center"/>
      <protection/>
    </xf>
    <xf numFmtId="0" fontId="0" fillId="0" borderId="56" xfId="42" applyFont="1" applyFill="1" applyBorder="1" applyAlignment="1">
      <alignment horizontal="center"/>
      <protection/>
    </xf>
    <xf numFmtId="4" fontId="0" fillId="0" borderId="49" xfId="42" applyNumberFormat="1" applyFont="1" applyFill="1" applyBorder="1" applyAlignment="1">
      <alignment horizontal="right" vertical="center"/>
      <protection/>
    </xf>
    <xf numFmtId="4" fontId="0" fillId="0" borderId="54" xfId="42" applyNumberFormat="1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horizontal="left" vertical="top"/>
    </xf>
    <xf numFmtId="183" fontId="0" fillId="0" borderId="22" xfId="42" applyNumberFormat="1" applyFont="1" applyFill="1" applyBorder="1" applyAlignment="1">
      <alignment horizontal="center" vertical="top"/>
      <protection/>
    </xf>
    <xf numFmtId="49" fontId="0" fillId="0" borderId="48" xfId="42" applyNumberFormat="1" applyFont="1" applyFill="1" applyBorder="1" applyAlignment="1">
      <alignment horizontal="center"/>
      <protection/>
    </xf>
    <xf numFmtId="182" fontId="0" fillId="0" borderId="23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 vertical="top"/>
      <protection/>
    </xf>
    <xf numFmtId="4" fontId="0" fillId="0" borderId="49" xfId="0" applyNumberFormat="1" applyFont="1" applyFill="1" applyBorder="1" applyAlignment="1">
      <alignment horizontal="right" vertical="top"/>
    </xf>
    <xf numFmtId="4" fontId="0" fillId="0" borderId="54" xfId="0" applyNumberFormat="1" applyFont="1" applyFill="1" applyBorder="1" applyAlignment="1">
      <alignment horizontal="right" vertical="top"/>
    </xf>
    <xf numFmtId="4" fontId="4" fillId="34" borderId="25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Fill="1" applyBorder="1" applyAlignment="1">
      <alignment horizontal="right" vertical="center"/>
      <protection/>
    </xf>
    <xf numFmtId="4" fontId="0" fillId="0" borderId="16" xfId="42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4" fillId="45" borderId="57" xfId="0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right"/>
    </xf>
    <xf numFmtId="0" fontId="0" fillId="0" borderId="27" xfId="0" applyFont="1" applyBorder="1" applyAlignment="1">
      <alignment vertical="top"/>
    </xf>
    <xf numFmtId="0" fontId="10" fillId="0" borderId="34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4" fontId="4" fillId="33" borderId="16" xfId="45" applyNumberFormat="1" applyFont="1" applyFill="1" applyBorder="1">
      <alignment/>
      <protection/>
    </xf>
    <xf numFmtId="4" fontId="11" fillId="0" borderId="25" xfId="0" applyNumberFormat="1" applyFont="1" applyBorder="1" applyAlignment="1">
      <alignment horizontal="right" vertical="top"/>
    </xf>
    <xf numFmtId="4" fontId="0" fillId="0" borderId="0" xfId="61" applyNumberFormat="1" applyFont="1" applyAlignment="1">
      <alignment horizontal="right"/>
      <protection/>
    </xf>
    <xf numFmtId="4" fontId="0" fillId="0" borderId="0" xfId="45" applyNumberFormat="1" applyFont="1" applyBorder="1" applyAlignment="1">
      <alignment horizontal="right"/>
      <protection/>
    </xf>
    <xf numFmtId="4" fontId="0" fillId="0" borderId="25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 vertical="top"/>
    </xf>
    <xf numFmtId="4" fontId="7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11" fillId="0" borderId="25" xfId="0" applyNumberFormat="1" applyFont="1" applyFill="1" applyBorder="1" applyAlignment="1">
      <alignment horizontal="right" vertical="top"/>
    </xf>
    <xf numFmtId="4" fontId="14" fillId="0" borderId="25" xfId="0" applyNumberFormat="1" applyFont="1" applyFill="1" applyBorder="1" applyAlignment="1">
      <alignment horizontal="right" vertical="top"/>
    </xf>
    <xf numFmtId="187" fontId="0" fillId="0" borderId="18" xfId="45" applyNumberFormat="1" applyFont="1" applyBorder="1" applyAlignment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183" fontId="0" fillId="0" borderId="58" xfId="42" applyNumberFormat="1" applyFont="1" applyFill="1" applyBorder="1" applyAlignment="1">
      <alignment horizontal="center" vertical="top"/>
      <protection/>
    </xf>
    <xf numFmtId="4" fontId="12" fillId="47" borderId="25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/>
    </xf>
    <xf numFmtId="0" fontId="0" fillId="0" borderId="0" xfId="61" applyFont="1" applyBorder="1">
      <alignment/>
      <protection/>
    </xf>
    <xf numFmtId="0" fontId="0" fillId="0" borderId="27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26" xfId="46" applyNumberFormat="1" applyFont="1" applyFill="1" applyBorder="1" applyAlignment="1" applyProtection="1">
      <alignment horizontal="right" vertical="top"/>
      <protection locked="0"/>
    </xf>
    <xf numFmtId="4" fontId="0" fillId="0" borderId="49" xfId="46" applyNumberFormat="1" applyFont="1" applyFill="1" applyBorder="1" applyAlignment="1" applyProtection="1">
      <alignment horizontal="right" vertical="top"/>
      <protection locked="0"/>
    </xf>
    <xf numFmtId="4" fontId="0" fillId="0" borderId="26" xfId="46" applyNumberFormat="1" applyFont="1" applyFill="1" applyBorder="1" applyAlignment="1">
      <alignment horizontal="right" vertical="top"/>
      <protection/>
    </xf>
    <xf numFmtId="4" fontId="0" fillId="0" borderId="49" xfId="42" applyNumberFormat="1" applyFont="1" applyFill="1" applyBorder="1" applyAlignment="1">
      <alignment horizontal="right" vertical="top"/>
      <protection/>
    </xf>
    <xf numFmtId="4" fontId="0" fillId="0" borderId="27" xfId="46" applyNumberFormat="1" applyFont="1" applyFill="1" applyBorder="1" applyAlignment="1">
      <alignment horizontal="right" vertical="top"/>
      <protection/>
    </xf>
    <xf numFmtId="4" fontId="0" fillId="0" borderId="31" xfId="46" applyNumberFormat="1" applyFont="1" applyFill="1" applyBorder="1" applyAlignment="1">
      <alignment horizontal="right" vertical="top"/>
      <protection/>
    </xf>
    <xf numFmtId="4" fontId="0" fillId="39" borderId="59" xfId="42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0" fillId="0" borderId="27" xfId="46" applyNumberFormat="1" applyFont="1" applyFill="1" applyBorder="1" applyAlignment="1" applyProtection="1">
      <alignment horizontal="right" vertical="top"/>
      <protection locked="0"/>
    </xf>
    <xf numFmtId="4" fontId="0" fillId="0" borderId="56" xfId="46" applyNumberFormat="1" applyFont="1" applyFill="1" applyBorder="1" applyAlignment="1" applyProtection="1">
      <alignment horizontal="right" vertical="top"/>
      <protection locked="0"/>
    </xf>
    <xf numFmtId="4" fontId="0" fillId="47" borderId="27" xfId="46" applyNumberFormat="1" applyFont="1" applyFill="1" applyBorder="1" applyAlignment="1" applyProtection="1">
      <alignment horizontal="right" vertical="top"/>
      <protection locked="0"/>
    </xf>
    <xf numFmtId="4" fontId="0" fillId="0" borderId="31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top"/>
      <protection/>
    </xf>
    <xf numFmtId="4" fontId="0" fillId="34" borderId="27" xfId="42" applyNumberFormat="1" applyFont="1" applyFill="1" applyBorder="1" applyAlignment="1">
      <alignment horizontal="right" vertical="top"/>
      <protection/>
    </xf>
    <xf numFmtId="4" fontId="0" fillId="0" borderId="54" xfId="46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>
      <alignment horizontal="right" vertical="top"/>
      <protection/>
    </xf>
    <xf numFmtId="4" fontId="0" fillId="0" borderId="54" xfId="46" applyNumberFormat="1" applyFont="1" applyFill="1" applyBorder="1" applyAlignment="1" applyProtection="1">
      <alignment horizontal="right" vertical="top"/>
      <protection locked="0"/>
    </xf>
    <xf numFmtId="4" fontId="0" fillId="39" borderId="22" xfId="42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/>
    </xf>
    <xf numFmtId="49" fontId="0" fillId="0" borderId="0" xfId="42" applyNumberFormat="1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>
      <alignment/>
      <protection/>
    </xf>
    <xf numFmtId="0" fontId="0" fillId="42" borderId="23" xfId="42" applyFont="1" applyFill="1" applyBorder="1" applyAlignment="1">
      <alignment horizontal="center"/>
      <protection/>
    </xf>
    <xf numFmtId="0" fontId="0" fillId="42" borderId="56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/>
      <protection/>
    </xf>
    <xf numFmtId="0" fontId="0" fillId="34" borderId="22" xfId="42" applyFont="1" applyFill="1" applyBorder="1" applyAlignment="1">
      <alignment horizontal="center"/>
      <protection/>
    </xf>
    <xf numFmtId="0" fontId="0" fillId="34" borderId="27" xfId="42" applyFont="1" applyFill="1" applyBorder="1" applyAlignment="1">
      <alignment horizontal="center"/>
      <protection/>
    </xf>
    <xf numFmtId="183" fontId="0" fillId="47" borderId="27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4" fontId="0" fillId="0" borderId="23" xfId="46" applyNumberFormat="1" applyFont="1" applyFill="1" applyBorder="1" applyAlignment="1" applyProtection="1">
      <alignment horizontal="right" vertical="top"/>
      <protection locked="0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183" fontId="0" fillId="0" borderId="27" xfId="42" applyNumberFormat="1" applyFont="1" applyFill="1" applyBorder="1" applyAlignment="1">
      <alignment horizontal="center" vertical="top"/>
      <protection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47" borderId="27" xfId="42" applyFont="1" applyFill="1" applyBorder="1" applyAlignment="1">
      <alignment horizontal="center"/>
      <protection/>
    </xf>
    <xf numFmtId="0" fontId="0" fillId="0" borderId="31" xfId="0" applyFont="1" applyFill="1" applyBorder="1" applyAlignment="1">
      <alignment/>
    </xf>
    <xf numFmtId="4" fontId="0" fillId="0" borderId="22" xfId="42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 applyProtection="1">
      <alignment horizontal="right" vertical="top"/>
      <protection locked="0"/>
    </xf>
    <xf numFmtId="49" fontId="0" fillId="47" borderId="22" xfId="42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16" xfId="46" applyNumberFormat="1" applyFont="1" applyFill="1" applyBorder="1" applyAlignment="1" applyProtection="1">
      <alignment horizontal="right" vertical="top"/>
      <protection locked="0"/>
    </xf>
    <xf numFmtId="49" fontId="0" fillId="39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right" vertical="top"/>
      <protection/>
    </xf>
    <xf numFmtId="4" fontId="0" fillId="34" borderId="31" xfId="42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>
      <alignment horizontal="right" vertical="top"/>
      <protection/>
    </xf>
    <xf numFmtId="183" fontId="0" fillId="0" borderId="23" xfId="42" applyNumberFormat="1" applyFont="1" applyFill="1" applyBorder="1" applyAlignment="1">
      <alignment horizontal="center" vertical="top"/>
      <protection/>
    </xf>
    <xf numFmtId="183" fontId="0" fillId="0" borderId="56" xfId="42" applyNumberFormat="1" applyFont="1" applyFill="1" applyBorder="1" applyAlignment="1">
      <alignment horizontal="center" vertical="top"/>
      <protection/>
    </xf>
    <xf numFmtId="49" fontId="0" fillId="39" borderId="22" xfId="42" applyNumberFormat="1" applyFont="1" applyFill="1" applyBorder="1" applyAlignment="1">
      <alignment horizontal="center" vertical="top"/>
      <protection/>
    </xf>
    <xf numFmtId="0" fontId="0" fillId="39" borderId="22" xfId="42" applyFont="1" applyFill="1" applyBorder="1" applyAlignment="1">
      <alignment horizontal="center"/>
      <protection/>
    </xf>
    <xf numFmtId="49" fontId="0" fillId="39" borderId="22" xfId="42" applyNumberFormat="1" applyFont="1" applyFill="1" applyBorder="1" applyAlignment="1">
      <alignment horizontal="center"/>
      <protection/>
    </xf>
    <xf numFmtId="0" fontId="0" fillId="39" borderId="27" xfId="42" applyFont="1" applyFill="1" applyBorder="1" applyAlignment="1">
      <alignment horizontal="center"/>
      <protection/>
    </xf>
    <xf numFmtId="4" fontId="0" fillId="39" borderId="61" xfId="42" applyNumberFormat="1" applyFont="1" applyFill="1" applyBorder="1" applyAlignment="1">
      <alignment horizontal="right" vertical="top"/>
      <protection/>
    </xf>
    <xf numFmtId="4" fontId="0" fillId="39" borderId="31" xfId="42" applyNumberFormat="1" applyFont="1" applyFill="1" applyBorder="1" applyAlignment="1">
      <alignment horizontal="right" vertical="top"/>
      <protection/>
    </xf>
    <xf numFmtId="4" fontId="0" fillId="39" borderId="27" xfId="42" applyNumberFormat="1" applyFont="1" applyFill="1" applyBorder="1" applyAlignment="1">
      <alignment horizontal="right" vertical="top"/>
      <protection/>
    </xf>
    <xf numFmtId="49" fontId="0" fillId="0" borderId="62" xfId="42" applyNumberFormat="1" applyFont="1" applyFill="1" applyBorder="1" applyAlignment="1">
      <alignment horizontal="center"/>
      <protection/>
    </xf>
    <xf numFmtId="49" fontId="0" fillId="0" borderId="58" xfId="42" applyNumberFormat="1" applyFont="1" applyFill="1" applyBorder="1" applyAlignment="1">
      <alignment horizontal="center"/>
      <protection/>
    </xf>
    <xf numFmtId="0" fontId="0" fillId="0" borderId="58" xfId="42" applyFont="1" applyFill="1" applyBorder="1" applyAlignment="1">
      <alignment horizontal="center"/>
      <protection/>
    </xf>
    <xf numFmtId="183" fontId="0" fillId="0" borderId="63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/>
    </xf>
    <xf numFmtId="0" fontId="0" fillId="0" borderId="64" xfId="0" applyFont="1" applyBorder="1" applyAlignment="1">
      <alignment vertical="top"/>
    </xf>
    <xf numFmtId="0" fontId="0" fillId="0" borderId="54" xfId="0" applyFont="1" applyBorder="1" applyAlignment="1">
      <alignment/>
    </xf>
    <xf numFmtId="49" fontId="0" fillId="34" borderId="65" xfId="42" applyNumberFormat="1" applyFont="1" applyFill="1" applyBorder="1" applyAlignment="1">
      <alignment horizontal="center"/>
      <protection/>
    </xf>
    <xf numFmtId="49" fontId="0" fillId="34" borderId="16" xfId="42" applyNumberFormat="1" applyFont="1" applyFill="1" applyBorder="1" applyAlignment="1">
      <alignment horizontal="center"/>
      <protection/>
    </xf>
    <xf numFmtId="0" fontId="0" fillId="34" borderId="16" xfId="42" applyFont="1" applyFill="1" applyBorder="1" applyAlignment="1">
      <alignment horizontal="center"/>
      <protection/>
    </xf>
    <xf numFmtId="183" fontId="0" fillId="0" borderId="16" xfId="42" applyNumberFormat="1" applyFont="1" applyFill="1" applyBorder="1" applyAlignment="1">
      <alignment horizontal="center" vertical="top"/>
      <protection/>
    </xf>
    <xf numFmtId="49" fontId="0" fillId="0" borderId="66" xfId="42" applyNumberFormat="1" applyFont="1" applyFill="1" applyBorder="1" applyAlignment="1">
      <alignment horizontal="center"/>
      <protection/>
    </xf>
    <xf numFmtId="49" fontId="0" fillId="0" borderId="65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>
      <alignment horizontal="center"/>
      <protection/>
    </xf>
    <xf numFmtId="49" fontId="0" fillId="0" borderId="67" xfId="42" applyNumberFormat="1" applyFont="1" applyFill="1" applyBorder="1" applyAlignment="1">
      <alignment horizontal="center"/>
      <protection/>
    </xf>
    <xf numFmtId="49" fontId="0" fillId="0" borderId="24" xfId="4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186" fontId="0" fillId="0" borderId="0" xfId="0" applyNumberFormat="1" applyFont="1" applyAlignment="1">
      <alignment/>
    </xf>
    <xf numFmtId="49" fontId="67" fillId="35" borderId="68" xfId="42" applyNumberFormat="1" applyFont="1" applyFill="1" applyBorder="1" applyAlignment="1">
      <alignment horizontal="center" vertical="top"/>
      <protection/>
    </xf>
    <xf numFmtId="49" fontId="67" fillId="35" borderId="69" xfId="42" applyNumberFormat="1" applyFont="1" applyFill="1" applyBorder="1" applyAlignment="1">
      <alignment horizontal="center"/>
      <protection/>
    </xf>
    <xf numFmtId="0" fontId="68" fillId="35" borderId="69" xfId="42" applyFont="1" applyFill="1" applyBorder="1" applyAlignment="1">
      <alignment horizontal="center"/>
      <protection/>
    </xf>
    <xf numFmtId="49" fontId="68" fillId="35" borderId="69" xfId="42" applyNumberFormat="1" applyFont="1" applyFill="1" applyBorder="1" applyAlignment="1">
      <alignment horizontal="center"/>
      <protection/>
    </xf>
    <xf numFmtId="4" fontId="67" fillId="35" borderId="69" xfId="42" applyNumberFormat="1" applyFont="1" applyFill="1" applyBorder="1" applyAlignment="1">
      <alignment horizontal="right" vertical="top"/>
      <protection/>
    </xf>
    <xf numFmtId="4" fontId="67" fillId="35" borderId="70" xfId="42" applyNumberFormat="1" applyFont="1" applyFill="1" applyBorder="1" applyAlignment="1">
      <alignment horizontal="right" vertical="top"/>
      <protection/>
    </xf>
    <xf numFmtId="0" fontId="68" fillId="0" borderId="0" xfId="0" applyFont="1" applyAlignment="1">
      <alignment/>
    </xf>
    <xf numFmtId="49" fontId="67" fillId="35" borderId="21" xfId="42" applyNumberFormat="1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 vertical="top"/>
      <protection/>
    </xf>
    <xf numFmtId="0" fontId="67" fillId="35" borderId="22" xfId="42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/>
      <protection/>
    </xf>
    <xf numFmtId="4" fontId="67" fillId="35" borderId="26" xfId="42" applyNumberFormat="1" applyFont="1" applyFill="1" applyBorder="1" applyAlignment="1">
      <alignment horizontal="right" vertical="top"/>
      <protection/>
    </xf>
    <xf numFmtId="4" fontId="67" fillId="35" borderId="49" xfId="0" applyNumberFormat="1" applyFont="1" applyFill="1" applyBorder="1" applyAlignment="1">
      <alignment vertical="center"/>
    </xf>
    <xf numFmtId="4" fontId="67" fillId="35" borderId="54" xfId="0" applyNumberFormat="1" applyFont="1" applyFill="1" applyBorder="1" applyAlignment="1">
      <alignment vertical="center"/>
    </xf>
    <xf numFmtId="4" fontId="67" fillId="35" borderId="23" xfId="42" applyNumberFormat="1" applyFont="1" applyFill="1" applyBorder="1" applyAlignment="1">
      <alignment horizontal="right" vertical="top"/>
      <protection/>
    </xf>
    <xf numFmtId="4" fontId="67" fillId="35" borderId="56" xfId="42" applyNumberFormat="1" applyFont="1" applyFill="1" applyBorder="1" applyAlignment="1">
      <alignment horizontal="right" vertical="top"/>
      <protection/>
    </xf>
    <xf numFmtId="0" fontId="0" fillId="47" borderId="0" xfId="0" applyFont="1" applyFill="1" applyAlignment="1">
      <alignment/>
    </xf>
    <xf numFmtId="49" fontId="0" fillId="47" borderId="21" xfId="42" applyNumberFormat="1" applyFont="1" applyFill="1" applyBorder="1" applyAlignment="1">
      <alignment horizontal="center"/>
      <protection/>
    </xf>
    <xf numFmtId="0" fontId="0" fillId="47" borderId="22" xfId="42" applyFont="1" applyFill="1" applyBorder="1" applyAlignment="1">
      <alignment horizontal="center"/>
      <protection/>
    </xf>
    <xf numFmtId="4" fontId="0" fillId="47" borderId="22" xfId="46" applyNumberFormat="1" applyFont="1" applyFill="1" applyBorder="1" applyAlignment="1" applyProtection="1">
      <alignment horizontal="right" vertical="top"/>
      <protection locked="0"/>
    </xf>
    <xf numFmtId="4" fontId="0" fillId="47" borderId="31" xfId="46" applyNumberFormat="1" applyFont="1" applyFill="1" applyBorder="1" applyAlignment="1" applyProtection="1">
      <alignment horizontal="right" vertical="top"/>
      <protection locked="0"/>
    </xf>
    <xf numFmtId="0" fontId="0" fillId="47" borderId="23" xfId="42" applyFont="1" applyFill="1" applyBorder="1" applyAlignment="1">
      <alignment horizontal="center"/>
      <protection/>
    </xf>
    <xf numFmtId="49" fontId="0" fillId="47" borderId="48" xfId="42" applyNumberFormat="1" applyFont="1" applyFill="1" applyBorder="1" applyAlignment="1">
      <alignment horizontal="center"/>
      <protection/>
    </xf>
    <xf numFmtId="49" fontId="4" fillId="47" borderId="23" xfId="42" applyNumberFormat="1" applyFont="1" applyFill="1" applyBorder="1" applyAlignment="1">
      <alignment horizontal="center" vertical="top"/>
      <protection/>
    </xf>
    <xf numFmtId="18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16" fillId="46" borderId="0" xfId="0" applyFont="1" applyFill="1" applyAlignment="1">
      <alignment/>
    </xf>
    <xf numFmtId="3" fontId="16" fillId="46" borderId="0" xfId="0" applyNumberFormat="1" applyFont="1" applyFill="1" applyAlignment="1">
      <alignment horizontal="center"/>
    </xf>
    <xf numFmtId="4" fontId="0" fillId="0" borderId="49" xfId="0" applyNumberFormat="1" applyFont="1" applyFill="1" applyBorder="1" applyAlignment="1">
      <alignment horizontal="right"/>
    </xf>
    <xf numFmtId="0" fontId="68" fillId="35" borderId="23" xfId="42" applyFont="1" applyFill="1" applyBorder="1" applyAlignment="1">
      <alignment horizontal="center"/>
      <protection/>
    </xf>
    <xf numFmtId="183" fontId="0" fillId="47" borderId="16" xfId="42" applyNumberFormat="1" applyFont="1" applyFill="1" applyBorder="1" applyAlignment="1">
      <alignment horizontal="center" vertical="top"/>
      <protection/>
    </xf>
    <xf numFmtId="49" fontId="0" fillId="0" borderId="56" xfId="42" applyNumberFormat="1" applyFont="1" applyFill="1" applyBorder="1" applyAlignment="1">
      <alignment horizontal="center"/>
      <protection/>
    </xf>
    <xf numFmtId="0" fontId="4" fillId="33" borderId="23" xfId="42" applyFont="1" applyFill="1" applyBorder="1" applyAlignment="1">
      <alignment horizontal="center"/>
      <protection/>
    </xf>
    <xf numFmtId="0" fontId="4" fillId="33" borderId="56" xfId="42" applyFont="1" applyFill="1" applyBorder="1" applyAlignment="1">
      <alignment horizontal="center"/>
      <protection/>
    </xf>
    <xf numFmtId="183" fontId="0" fillId="0" borderId="66" xfId="42" applyNumberFormat="1" applyFont="1" applyFill="1" applyBorder="1" applyAlignment="1">
      <alignment horizontal="center" vertical="top"/>
      <protection/>
    </xf>
    <xf numFmtId="183" fontId="0" fillId="47" borderId="60" xfId="42" applyNumberFormat="1" applyFont="1" applyFill="1" applyBorder="1" applyAlignment="1">
      <alignment horizontal="center" vertical="top"/>
      <protection/>
    </xf>
    <xf numFmtId="4" fontId="0" fillId="0" borderId="66" xfId="46" applyNumberFormat="1" applyFont="1" applyFill="1" applyBorder="1" applyAlignment="1" applyProtection="1">
      <alignment horizontal="right" vertical="top"/>
      <protection locked="0"/>
    </xf>
    <xf numFmtId="0" fontId="0" fillId="0" borderId="16" xfId="42" applyFont="1" applyFill="1" applyBorder="1" applyAlignment="1">
      <alignment horizontal="center"/>
      <protection/>
    </xf>
    <xf numFmtId="183" fontId="0" fillId="0" borderId="60" xfId="42" applyNumberFormat="1" applyFont="1" applyFill="1" applyBorder="1" applyAlignment="1">
      <alignment horizontal="center" vertical="top"/>
      <protection/>
    </xf>
    <xf numFmtId="49" fontId="68" fillId="35" borderId="23" xfId="42" applyNumberFormat="1" applyFont="1" applyFill="1" applyBorder="1" applyAlignment="1">
      <alignment horizontal="center"/>
      <protection/>
    </xf>
    <xf numFmtId="0" fontId="0" fillId="0" borderId="60" xfId="42" applyFont="1" applyFill="1" applyBorder="1" applyAlignment="1">
      <alignment horizontal="center"/>
      <protection/>
    </xf>
    <xf numFmtId="49" fontId="4" fillId="0" borderId="23" xfId="42" applyNumberFormat="1" applyFont="1" applyFill="1" applyBorder="1" applyAlignment="1">
      <alignment horizontal="center" vertical="top"/>
      <protection/>
    </xf>
    <xf numFmtId="4" fontId="0" fillId="0" borderId="71" xfId="42" applyNumberFormat="1" applyFont="1" applyFill="1" applyBorder="1" applyAlignment="1">
      <alignment horizontal="right" vertical="center"/>
      <protection/>
    </xf>
    <xf numFmtId="49" fontId="4" fillId="0" borderId="16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60" xfId="0" applyFont="1" applyFill="1" applyBorder="1" applyAlignment="1">
      <alignment vertical="top"/>
    </xf>
    <xf numFmtId="49" fontId="0" fillId="46" borderId="16" xfId="42" applyNumberFormat="1" applyFont="1" applyFill="1" applyBorder="1" applyAlignment="1">
      <alignment horizontal="center"/>
      <protection/>
    </xf>
    <xf numFmtId="0" fontId="0" fillId="42" borderId="54" xfId="42" applyFont="1" applyFill="1" applyBorder="1" applyAlignment="1">
      <alignment horizontal="center"/>
      <protection/>
    </xf>
    <xf numFmtId="0" fontId="0" fillId="42" borderId="72" xfId="42" applyFont="1" applyFill="1" applyBorder="1" applyAlignment="1">
      <alignment horizontal="center"/>
      <protection/>
    </xf>
    <xf numFmtId="0" fontId="0" fillId="42" borderId="16" xfId="42" applyFont="1" applyFill="1" applyBorder="1" applyAlignment="1">
      <alignment horizontal="center"/>
      <protection/>
    </xf>
    <xf numFmtId="49" fontId="4" fillId="34" borderId="21" xfId="42" applyNumberFormat="1" applyFont="1" applyFill="1" applyBorder="1" applyAlignment="1">
      <alignment horizontal="center"/>
      <protection/>
    </xf>
    <xf numFmtId="49" fontId="4" fillId="34" borderId="22" xfId="42" applyNumberFormat="1" applyFont="1" applyFill="1" applyBorder="1" applyAlignment="1">
      <alignment horizontal="center"/>
      <protection/>
    </xf>
    <xf numFmtId="0" fontId="4" fillId="34" borderId="22" xfId="42" applyFont="1" applyFill="1" applyBorder="1" applyAlignment="1">
      <alignment horizontal="center"/>
      <protection/>
    </xf>
    <xf numFmtId="0" fontId="4" fillId="34" borderId="27" xfId="42" applyFont="1" applyFill="1" applyBorder="1" applyAlignment="1">
      <alignment horizontal="center"/>
      <protection/>
    </xf>
    <xf numFmtId="4" fontId="4" fillId="0" borderId="26" xfId="46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48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/>
    </xf>
    <xf numFmtId="186" fontId="4" fillId="0" borderId="0" xfId="0" applyNumberFormat="1" applyFont="1" applyAlignment="1">
      <alignment/>
    </xf>
    <xf numFmtId="0" fontId="0" fillId="46" borderId="0" xfId="0" applyFont="1" applyFill="1" applyAlignment="1">
      <alignment/>
    </xf>
    <xf numFmtId="4" fontId="4" fillId="46" borderId="0" xfId="0" applyNumberFormat="1" applyFont="1" applyFill="1" applyAlignment="1">
      <alignment/>
    </xf>
    <xf numFmtId="4" fontId="4" fillId="48" borderId="0" xfId="0" applyNumberFormat="1" applyFont="1" applyFill="1" applyAlignment="1">
      <alignment/>
    </xf>
    <xf numFmtId="49" fontId="0" fillId="0" borderId="73" xfId="42" applyNumberFormat="1" applyFont="1" applyFill="1" applyBorder="1" applyAlignment="1">
      <alignment horizontal="center"/>
      <protection/>
    </xf>
    <xf numFmtId="0" fontId="0" fillId="0" borderId="66" xfId="42" applyFont="1" applyFill="1" applyBorder="1" applyAlignment="1">
      <alignment horizontal="center"/>
      <protection/>
    </xf>
    <xf numFmtId="186" fontId="0" fillId="0" borderId="0" xfId="0" applyNumberFormat="1" applyFont="1" applyAlignment="1">
      <alignment horizontal="right"/>
    </xf>
    <xf numFmtId="0" fontId="5" fillId="0" borderId="74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42" applyFont="1" applyBorder="1" applyAlignment="1">
      <alignment horizontal="left"/>
      <protection/>
    </xf>
    <xf numFmtId="4" fontId="4" fillId="0" borderId="75" xfId="42" applyNumberFormat="1" applyFont="1" applyFill="1" applyBorder="1" applyAlignment="1">
      <alignment horizontal="right" vertical="top"/>
      <protection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49" fontId="4" fillId="42" borderId="76" xfId="42" applyNumberFormat="1" applyFont="1" applyFill="1" applyBorder="1" applyAlignment="1">
      <alignment horizontal="center" vertical="top"/>
      <protection/>
    </xf>
    <xf numFmtId="49" fontId="4" fillId="42" borderId="72" xfId="42" applyNumberFormat="1" applyFont="1" applyFill="1" applyBorder="1" applyAlignment="1">
      <alignment horizontal="center"/>
      <protection/>
    </xf>
    <xf numFmtId="49" fontId="0" fillId="34" borderId="23" xfId="42" applyNumberFormat="1" applyFont="1" applyFill="1" applyBorder="1" applyAlignment="1">
      <alignment horizontal="center"/>
      <protection/>
    </xf>
    <xf numFmtId="49" fontId="4" fillId="42" borderId="16" xfId="42" applyNumberFormat="1" applyFont="1" applyFill="1" applyBorder="1" applyAlignment="1">
      <alignment horizontal="center" vertical="top"/>
      <protection/>
    </xf>
    <xf numFmtId="49" fontId="4" fillId="42" borderId="16" xfId="42" applyNumberFormat="1" applyFont="1" applyFill="1" applyBorder="1" applyAlignment="1">
      <alignment horizontal="center"/>
      <protection/>
    </xf>
    <xf numFmtId="4" fontId="4" fillId="47" borderId="26" xfId="42" applyNumberFormat="1" applyFont="1" applyFill="1" applyBorder="1" applyAlignment="1">
      <alignment horizontal="right" vertical="top"/>
      <protection/>
    </xf>
    <xf numFmtId="49" fontId="4" fillId="47" borderId="48" xfId="42" applyNumberFormat="1" applyFont="1" applyFill="1" applyBorder="1" applyAlignment="1">
      <alignment horizontal="center"/>
      <protection/>
    </xf>
    <xf numFmtId="49" fontId="4" fillId="34" borderId="23" xfId="42" applyNumberFormat="1" applyFont="1" applyFill="1" applyBorder="1" applyAlignment="1">
      <alignment horizontal="center"/>
      <protection/>
    </xf>
    <xf numFmtId="0" fontId="4" fillId="47" borderId="23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 vertical="center"/>
      <protection/>
    </xf>
    <xf numFmtId="49" fontId="0" fillId="34" borderId="22" xfId="42" applyNumberFormat="1" applyFont="1" applyFill="1" applyBorder="1" applyAlignment="1">
      <alignment horizontal="center" vertical="center"/>
      <protection/>
    </xf>
    <xf numFmtId="49" fontId="4" fillId="34" borderId="22" xfId="42" applyNumberFormat="1" applyFont="1" applyFill="1" applyBorder="1" applyAlignment="1">
      <alignment horizontal="center" vertical="center"/>
      <protection/>
    </xf>
    <xf numFmtId="0" fontId="0" fillId="34" borderId="22" xfId="42" applyFont="1" applyFill="1" applyBorder="1" applyAlignment="1">
      <alignment horizontal="center" vertical="center"/>
      <protection/>
    </xf>
    <xf numFmtId="0" fontId="0" fillId="34" borderId="27" xfId="4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4" fontId="0" fillId="39" borderId="23" xfId="42" applyNumberFormat="1" applyFont="1" applyFill="1" applyBorder="1" applyAlignment="1">
      <alignment horizontal="right" vertical="top"/>
      <protection/>
    </xf>
    <xf numFmtId="4" fontId="4" fillId="0" borderId="64" xfId="42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/>
    </xf>
    <xf numFmtId="4" fontId="0" fillId="0" borderId="22" xfId="46" applyNumberFormat="1" applyFont="1" applyFill="1" applyBorder="1" applyAlignment="1">
      <alignment horizontal="right" vertical="center"/>
      <protection/>
    </xf>
    <xf numFmtId="49" fontId="0" fillId="46" borderId="21" xfId="42" applyNumberFormat="1" applyFont="1" applyFill="1" applyBorder="1" applyAlignment="1">
      <alignment horizontal="center"/>
      <protection/>
    </xf>
    <xf numFmtId="49" fontId="0" fillId="46" borderId="22" xfId="42" applyNumberFormat="1" applyFont="1" applyFill="1" applyBorder="1" applyAlignment="1">
      <alignment horizontal="center"/>
      <protection/>
    </xf>
    <xf numFmtId="0" fontId="0" fillId="46" borderId="27" xfId="42" applyFont="1" applyFill="1" applyBorder="1" applyAlignment="1">
      <alignment horizontal="center"/>
      <protection/>
    </xf>
    <xf numFmtId="0" fontId="0" fillId="46" borderId="23" xfId="42" applyFont="1" applyFill="1" applyBorder="1" applyAlignment="1">
      <alignment horizontal="center"/>
      <protection/>
    </xf>
    <xf numFmtId="0" fontId="0" fillId="46" borderId="56" xfId="42" applyFont="1" applyFill="1" applyBorder="1" applyAlignment="1">
      <alignment horizontal="center"/>
      <protection/>
    </xf>
    <xf numFmtId="4" fontId="4" fillId="46" borderId="49" xfId="42" applyNumberFormat="1" applyFont="1" applyFill="1" applyBorder="1" applyAlignment="1">
      <alignment horizontal="right" vertical="top"/>
      <protection/>
    </xf>
    <xf numFmtId="4" fontId="0" fillId="46" borderId="27" xfId="46" applyNumberFormat="1" applyFont="1" applyFill="1" applyBorder="1" applyAlignment="1" applyProtection="1">
      <alignment horizontal="right" vertical="top"/>
      <protection locked="0"/>
    </xf>
    <xf numFmtId="49" fontId="0" fillId="0" borderId="77" xfId="42" applyNumberFormat="1" applyFont="1" applyFill="1" applyBorder="1" applyAlignment="1">
      <alignment horizontal="center"/>
      <protection/>
    </xf>
    <xf numFmtId="183" fontId="0" fillId="0" borderId="78" xfId="42" applyNumberFormat="1" applyFont="1" applyFill="1" applyBorder="1" applyAlignment="1">
      <alignment horizontal="center" vertical="top"/>
      <protection/>
    </xf>
    <xf numFmtId="183" fontId="0" fillId="0" borderId="79" xfId="42" applyNumberFormat="1" applyFont="1" applyFill="1" applyBorder="1" applyAlignment="1">
      <alignment horizontal="center" vertical="top"/>
      <protection/>
    </xf>
    <xf numFmtId="4" fontId="0" fillId="0" borderId="75" xfId="46" applyNumberFormat="1" applyFont="1" applyFill="1" applyBorder="1" applyAlignment="1" applyProtection="1">
      <alignment horizontal="right" vertical="top"/>
      <protection locked="0"/>
    </xf>
    <xf numFmtId="4" fontId="0" fillId="0" borderId="16" xfId="42" applyNumberFormat="1" applyFont="1" applyFill="1" applyBorder="1" applyAlignment="1" applyProtection="1">
      <alignment horizontal="right" vertical="center"/>
      <protection locked="0"/>
    </xf>
    <xf numFmtId="183" fontId="0" fillId="47" borderId="78" xfId="42" applyNumberFormat="1" applyFont="1" applyFill="1" applyBorder="1" applyAlignment="1">
      <alignment horizontal="center" vertical="top"/>
      <protection/>
    </xf>
    <xf numFmtId="49" fontId="69" fillId="46" borderId="23" xfId="42" applyNumberFormat="1" applyFont="1" applyFill="1" applyBorder="1" applyAlignment="1">
      <alignment horizontal="center"/>
      <protection/>
    </xf>
    <xf numFmtId="0" fontId="69" fillId="42" borderId="23" xfId="42" applyFont="1" applyFill="1" applyBorder="1" applyAlignment="1">
      <alignment horizontal="center"/>
      <protection/>
    </xf>
    <xf numFmtId="0" fontId="69" fillId="42" borderId="56" xfId="42" applyFont="1" applyFill="1" applyBorder="1" applyAlignment="1">
      <alignment horizontal="center"/>
      <protection/>
    </xf>
    <xf numFmtId="49" fontId="69" fillId="46" borderId="72" xfId="42" applyNumberFormat="1" applyFont="1" applyFill="1" applyBorder="1" applyAlignment="1">
      <alignment horizontal="center"/>
      <protection/>
    </xf>
    <xf numFmtId="4" fontId="0" fillId="0" borderId="16" xfId="46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>
      <alignment horizontal="right" vertical="center"/>
      <protection/>
    </xf>
    <xf numFmtId="4" fontId="4" fillId="34" borderId="26" xfId="42" applyNumberFormat="1" applyFont="1" applyFill="1" applyBorder="1" applyAlignment="1">
      <alignment horizontal="right" vertical="center"/>
      <protection/>
    </xf>
    <xf numFmtId="4" fontId="4" fillId="34" borderId="31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top"/>
      <protection/>
    </xf>
    <xf numFmtId="49" fontId="4" fillId="0" borderId="21" xfId="42" applyNumberFormat="1" applyFont="1" applyFill="1" applyBorder="1" applyAlignment="1">
      <alignment horizontal="center"/>
      <protection/>
    </xf>
    <xf numFmtId="49" fontId="8" fillId="0" borderId="22" xfId="42" applyNumberFormat="1" applyFont="1" applyFill="1" applyBorder="1" applyAlignment="1">
      <alignment horizontal="center" vertical="top"/>
      <protection/>
    </xf>
    <xf numFmtId="0" fontId="4" fillId="0" borderId="22" xfId="42" applyFont="1" applyFill="1" applyBorder="1" applyAlignment="1">
      <alignment horizontal="center"/>
      <protection/>
    </xf>
    <xf numFmtId="0" fontId="4" fillId="0" borderId="27" xfId="42" applyFont="1" applyFill="1" applyBorder="1" applyAlignment="1">
      <alignment horizontal="center"/>
      <protection/>
    </xf>
    <xf numFmtId="4" fontId="4" fillId="0" borderId="71" xfId="0" applyNumberFormat="1" applyFont="1" applyFill="1" applyBorder="1" applyAlignment="1">
      <alignment horizontal="right"/>
    </xf>
    <xf numFmtId="4" fontId="0" fillId="0" borderId="34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right" vertical="top"/>
      <protection/>
    </xf>
    <xf numFmtId="4" fontId="0" fillId="0" borderId="66" xfId="42" applyNumberFormat="1" applyFont="1" applyFill="1" applyBorder="1" applyAlignment="1">
      <alignment horizontal="right" vertical="top"/>
      <protection/>
    </xf>
    <xf numFmtId="4" fontId="0" fillId="0" borderId="49" xfId="46" applyNumberFormat="1" applyFont="1" applyFill="1" applyBorder="1" applyAlignment="1">
      <alignment horizontal="right" vertical="top"/>
      <protection/>
    </xf>
    <xf numFmtId="49" fontId="0" fillId="0" borderId="72" xfId="42" applyNumberFormat="1" applyFont="1" applyFill="1" applyBorder="1" applyAlignment="1">
      <alignment horizontal="center"/>
      <protection/>
    </xf>
    <xf numFmtId="4" fontId="0" fillId="0" borderId="80" xfId="42" applyNumberFormat="1" applyFont="1" applyFill="1" applyBorder="1" applyAlignment="1">
      <alignment horizontal="right" vertical="center"/>
      <protection/>
    </xf>
    <xf numFmtId="4" fontId="0" fillId="0" borderId="80" xfId="46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right" vertical="center"/>
      <protection/>
    </xf>
    <xf numFmtId="49" fontId="69" fillId="46" borderId="22" xfId="42" applyNumberFormat="1" applyFont="1" applyFill="1" applyBorder="1" applyAlignment="1">
      <alignment horizontal="center"/>
      <protection/>
    </xf>
    <xf numFmtId="0" fontId="0" fillId="42" borderId="22" xfId="42" applyFont="1" applyFill="1" applyBorder="1" applyAlignment="1">
      <alignment horizontal="center"/>
      <protection/>
    </xf>
    <xf numFmtId="49" fontId="70" fillId="42" borderId="48" xfId="42" applyNumberFormat="1" applyFont="1" applyFill="1" applyBorder="1" applyAlignment="1">
      <alignment horizontal="center" vertical="top"/>
      <protection/>
    </xf>
    <xf numFmtId="49" fontId="70" fillId="42" borderId="23" xfId="42" applyNumberFormat="1" applyFont="1" applyFill="1" applyBorder="1" applyAlignment="1">
      <alignment horizontal="center"/>
      <protection/>
    </xf>
    <xf numFmtId="4" fontId="70" fillId="42" borderId="49" xfId="42" applyNumberFormat="1" applyFont="1" applyFill="1" applyBorder="1" applyAlignment="1">
      <alignment horizontal="right" vertical="top"/>
      <protection/>
    </xf>
    <xf numFmtId="4" fontId="70" fillId="42" borderId="54" xfId="42" applyNumberFormat="1" applyFont="1" applyFill="1" applyBorder="1" applyAlignment="1">
      <alignment horizontal="right" vertical="top"/>
      <protection/>
    </xf>
    <xf numFmtId="0" fontId="69" fillId="0" borderId="0" xfId="0" applyFont="1" applyFill="1" applyAlignment="1">
      <alignment/>
    </xf>
    <xf numFmtId="183" fontId="0" fillId="47" borderId="24" xfId="42" applyNumberFormat="1" applyFont="1" applyFill="1" applyBorder="1" applyAlignment="1">
      <alignment horizontal="center" vertical="top"/>
      <protection/>
    </xf>
    <xf numFmtId="0" fontId="68" fillId="35" borderId="56" xfId="42" applyFont="1" applyFill="1" applyBorder="1" applyAlignment="1">
      <alignment horizontal="center"/>
      <protection/>
    </xf>
    <xf numFmtId="0" fontId="0" fillId="0" borderId="79" xfId="42" applyFont="1" applyFill="1" applyBorder="1" applyAlignment="1">
      <alignment horizontal="center"/>
      <protection/>
    </xf>
    <xf numFmtId="0" fontId="0" fillId="0" borderId="78" xfId="4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right" vertical="top"/>
      <protection locked="0"/>
    </xf>
    <xf numFmtId="4" fontId="0" fillId="0" borderId="24" xfId="46" applyNumberFormat="1" applyFont="1" applyFill="1" applyBorder="1" applyAlignment="1" applyProtection="1">
      <alignment horizontal="right" vertical="top"/>
      <protection locked="0"/>
    </xf>
    <xf numFmtId="182" fontId="4" fillId="0" borderId="22" xfId="42" applyNumberFormat="1" applyFont="1" applyFill="1" applyBorder="1" applyAlignment="1">
      <alignment horizontal="center" vertical="center"/>
      <protection/>
    </xf>
    <xf numFmtId="49" fontId="0" fillId="0" borderId="81" xfId="42" applyNumberFormat="1" applyFont="1" applyFill="1" applyBorder="1" applyAlignment="1">
      <alignment horizontal="center"/>
      <protection/>
    </xf>
    <xf numFmtId="49" fontId="0" fillId="0" borderId="60" xfId="42" applyNumberFormat="1" applyFont="1" applyFill="1" applyBorder="1" applyAlignment="1">
      <alignment horizontal="center"/>
      <protection/>
    </xf>
    <xf numFmtId="49" fontId="4" fillId="42" borderId="56" xfId="42" applyNumberFormat="1" applyFont="1" applyFill="1" applyBorder="1" applyAlignment="1">
      <alignment horizontal="center"/>
      <protection/>
    </xf>
    <xf numFmtId="4" fontId="4" fillId="42" borderId="71" xfId="42" applyNumberFormat="1" applyFont="1" applyFill="1" applyBorder="1" applyAlignment="1">
      <alignment horizontal="right" vertical="top"/>
      <protection/>
    </xf>
    <xf numFmtId="4" fontId="4" fillId="42" borderId="0" xfId="42" applyNumberFormat="1" applyFont="1" applyFill="1" applyBorder="1" applyAlignment="1">
      <alignment horizontal="right" vertical="top"/>
      <protection/>
    </xf>
    <xf numFmtId="4" fontId="4" fillId="42" borderId="16" xfId="42" applyNumberFormat="1" applyFont="1" applyFill="1" applyBorder="1" applyAlignment="1">
      <alignment horizontal="right" vertical="center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49" fontId="0" fillId="0" borderId="53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4" fontId="0" fillId="0" borderId="64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center"/>
      <protection/>
    </xf>
    <xf numFmtId="4" fontId="0" fillId="0" borderId="82" xfId="42" applyNumberFormat="1" applyFont="1" applyFill="1" applyBorder="1" applyAlignment="1">
      <alignment horizontal="right" vertical="center"/>
      <protection/>
    </xf>
    <xf numFmtId="4" fontId="0" fillId="0" borderId="40" xfId="42" applyNumberFormat="1" applyFont="1" applyFill="1" applyBorder="1" applyAlignment="1">
      <alignment horizontal="right" vertical="center"/>
      <protection/>
    </xf>
    <xf numFmtId="49" fontId="4" fillId="42" borderId="48" xfId="42" applyNumberFormat="1" applyFont="1" applyFill="1" applyBorder="1" applyAlignment="1">
      <alignment horizontal="center" vertical="center"/>
      <protection/>
    </xf>
    <xf numFmtId="49" fontId="4" fillId="42" borderId="23" xfId="42" applyNumberFormat="1" applyFont="1" applyFill="1" applyBorder="1" applyAlignment="1">
      <alignment horizontal="center" vertical="center"/>
      <protection/>
    </xf>
    <xf numFmtId="0" fontId="0" fillId="42" borderId="23" xfId="42" applyFont="1" applyFill="1" applyBorder="1" applyAlignment="1">
      <alignment horizontal="center" vertical="center"/>
      <protection/>
    </xf>
    <xf numFmtId="49" fontId="0" fillId="46" borderId="23" xfId="42" applyNumberFormat="1" applyFont="1" applyFill="1" applyBorder="1" applyAlignment="1">
      <alignment horizontal="center" vertical="center"/>
      <protection/>
    </xf>
    <xf numFmtId="0" fontId="0" fillId="42" borderId="56" xfId="42" applyFont="1" applyFill="1" applyBorder="1" applyAlignment="1">
      <alignment horizontal="center" vertical="center"/>
      <protection/>
    </xf>
    <xf numFmtId="10" fontId="12" fillId="0" borderId="0" xfId="0" applyNumberFormat="1" applyFont="1" applyAlignment="1">
      <alignment/>
    </xf>
    <xf numFmtId="49" fontId="0" fillId="0" borderId="77" xfId="42" applyNumberFormat="1" applyFont="1" applyFill="1" applyBorder="1" applyAlignment="1">
      <alignment horizontal="center" vertical="top"/>
      <protection/>
    </xf>
    <xf numFmtId="49" fontId="0" fillId="0" borderId="16" xfId="42" applyNumberFormat="1" applyFont="1" applyFill="1" applyBorder="1" applyAlignment="1">
      <alignment horizontal="center" vertical="top"/>
      <protection/>
    </xf>
    <xf numFmtId="195" fontId="0" fillId="0" borderId="0" xfId="0" applyNumberFormat="1" applyFont="1" applyAlignment="1">
      <alignment/>
    </xf>
    <xf numFmtId="182" fontId="10" fillId="0" borderId="16" xfId="45" applyNumberFormat="1" applyFont="1" applyFill="1" applyBorder="1" applyAlignment="1">
      <alignment horizontal="left" vertical="top"/>
      <protection/>
    </xf>
    <xf numFmtId="182" fontId="10" fillId="0" borderId="34" xfId="45" applyNumberFormat="1" applyFont="1" applyBorder="1" applyAlignment="1">
      <alignment horizontal="center" vertical="top"/>
      <protection/>
    </xf>
    <xf numFmtId="0" fontId="10" fillId="0" borderId="25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/>
    </xf>
    <xf numFmtId="0" fontId="12" fillId="0" borderId="34" xfId="0" applyFont="1" applyFill="1" applyBorder="1" applyAlignment="1">
      <alignment vertical="top"/>
    </xf>
    <xf numFmtId="10" fontId="4" fillId="43" borderId="16" xfId="0" applyNumberFormat="1" applyFont="1" applyFill="1" applyBorder="1" applyAlignment="1">
      <alignment horizontal="center" vertical="center" wrapText="1" shrinkToFit="1"/>
    </xf>
    <xf numFmtId="10" fontId="0" fillId="0" borderId="52" xfId="0" applyNumberFormat="1" applyFont="1" applyFill="1" applyBorder="1" applyAlignment="1">
      <alignment horizontal="center" vertical="center" wrapText="1"/>
    </xf>
    <xf numFmtId="10" fontId="4" fillId="44" borderId="53" xfId="64" applyNumberFormat="1" applyFont="1" applyFill="1" applyBorder="1" applyAlignment="1">
      <alignment horizontal="center" vertical="center" wrapText="1"/>
      <protection/>
    </xf>
    <xf numFmtId="10" fontId="0" fillId="0" borderId="0" xfId="44" applyNumberFormat="1" applyFont="1" applyFill="1" applyBorder="1" applyAlignment="1" applyProtection="1">
      <alignment horizontal="right" vertical="center" wrapText="1"/>
      <protection/>
    </xf>
    <xf numFmtId="14" fontId="0" fillId="39" borderId="22" xfId="42" applyNumberFormat="1" applyFont="1" applyFill="1" applyBorder="1" applyAlignment="1">
      <alignment horizontal="center"/>
      <protection/>
    </xf>
    <xf numFmtId="49" fontId="70" fillId="42" borderId="16" xfId="42" applyNumberFormat="1" applyFont="1" applyFill="1" applyBorder="1" applyAlignment="1">
      <alignment horizontal="center" vertical="top"/>
      <protection/>
    </xf>
    <xf numFmtId="49" fontId="70" fillId="42" borderId="16" xfId="42" applyNumberFormat="1" applyFont="1" applyFill="1" applyBorder="1" applyAlignment="1">
      <alignment horizontal="center"/>
      <protection/>
    </xf>
    <xf numFmtId="0" fontId="69" fillId="42" borderId="16" xfId="42" applyFont="1" applyFill="1" applyBorder="1" applyAlignment="1">
      <alignment horizontal="center"/>
      <protection/>
    </xf>
    <xf numFmtId="49" fontId="69" fillId="46" borderId="16" xfId="42" applyNumberFormat="1" applyFont="1" applyFill="1" applyBorder="1" applyAlignment="1">
      <alignment horizontal="center"/>
      <protection/>
    </xf>
    <xf numFmtId="4" fontId="70" fillId="42" borderId="16" xfId="42" applyNumberFormat="1" applyFont="1" applyFill="1" applyBorder="1" applyAlignment="1">
      <alignment horizontal="right" vertical="top"/>
      <protection/>
    </xf>
    <xf numFmtId="0" fontId="69" fillId="0" borderId="0" xfId="0" applyFont="1" applyAlignment="1">
      <alignment/>
    </xf>
    <xf numFmtId="0" fontId="0" fillId="0" borderId="16" xfId="0" applyFont="1" applyBorder="1" applyAlignment="1">
      <alignment/>
    </xf>
    <xf numFmtId="0" fontId="67" fillId="35" borderId="83" xfId="0" applyFont="1" applyFill="1" applyBorder="1" applyAlignment="1">
      <alignment vertical="top"/>
    </xf>
    <xf numFmtId="0" fontId="67" fillId="35" borderId="0" xfId="0" applyFont="1" applyFill="1" applyBorder="1" applyAlignment="1">
      <alignment vertical="top"/>
    </xf>
    <xf numFmtId="0" fontId="67" fillId="35" borderId="71" xfId="0" applyFont="1" applyFill="1" applyBorder="1" applyAlignment="1">
      <alignment vertical="top"/>
    </xf>
    <xf numFmtId="49" fontId="67" fillId="35" borderId="48" xfId="42" applyNumberFormat="1" applyFont="1" applyFill="1" applyBorder="1" applyAlignment="1">
      <alignment horizontal="center" vertical="top"/>
      <protection/>
    </xf>
    <xf numFmtId="49" fontId="67" fillId="35" borderId="23" xfId="4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vertical="top"/>
    </xf>
    <xf numFmtId="49" fontId="0" fillId="39" borderId="80" xfId="42" applyNumberFormat="1" applyFont="1" applyFill="1" applyBorder="1" applyAlignment="1">
      <alignment horizontal="center"/>
      <protection/>
    </xf>
    <xf numFmtId="49" fontId="0" fillId="39" borderId="80" xfId="42" applyNumberFormat="1" applyFont="1" applyFill="1" applyBorder="1" applyAlignment="1">
      <alignment horizontal="center" vertical="top"/>
      <protection/>
    </xf>
    <xf numFmtId="0" fontId="0" fillId="39" borderId="80" xfId="42" applyFont="1" applyFill="1" applyBorder="1" applyAlignment="1">
      <alignment horizontal="center"/>
      <protection/>
    </xf>
    <xf numFmtId="4" fontId="0" fillId="39" borderId="80" xfId="42" applyNumberFormat="1" applyFont="1" applyFill="1" applyBorder="1" applyAlignment="1">
      <alignment horizontal="right" vertical="top"/>
      <protection/>
    </xf>
    <xf numFmtId="4" fontId="0" fillId="39" borderId="84" xfId="42" applyNumberFormat="1" applyFont="1" applyFill="1" applyBorder="1" applyAlignment="1">
      <alignment horizontal="right" vertical="top"/>
      <protection/>
    </xf>
    <xf numFmtId="4" fontId="0" fillId="39" borderId="85" xfId="42" applyNumberFormat="1" applyFont="1" applyFill="1" applyBorder="1" applyAlignment="1">
      <alignment horizontal="right" vertical="top"/>
      <protection/>
    </xf>
    <xf numFmtId="4" fontId="0" fillId="39" borderId="86" xfId="42" applyNumberFormat="1" applyFont="1" applyFill="1" applyBorder="1" applyAlignment="1">
      <alignment horizontal="right" vertical="top"/>
      <protection/>
    </xf>
    <xf numFmtId="4" fontId="0" fillId="39" borderId="87" xfId="42" applyNumberFormat="1" applyFont="1" applyFill="1" applyBorder="1" applyAlignment="1">
      <alignment horizontal="right" vertical="top"/>
      <protection/>
    </xf>
    <xf numFmtId="4" fontId="4" fillId="0" borderId="27" xfId="0" applyNumberFormat="1" applyFont="1" applyFill="1" applyBorder="1" applyAlignment="1">
      <alignment horizontal="right"/>
    </xf>
    <xf numFmtId="4" fontId="0" fillId="0" borderId="64" xfId="42" applyNumberFormat="1" applyFont="1" applyFill="1" applyBorder="1" applyAlignment="1">
      <alignment horizontal="right" vertical="top"/>
      <protection/>
    </xf>
    <xf numFmtId="0" fontId="0" fillId="0" borderId="60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4" fillId="0" borderId="26" xfId="0" applyFont="1" applyFill="1" applyBorder="1" applyAlignment="1">
      <alignment vertical="top"/>
    </xf>
    <xf numFmtId="4" fontId="0" fillId="39" borderId="56" xfId="42" applyNumberFormat="1" applyFont="1" applyFill="1" applyBorder="1" applyAlignment="1">
      <alignment horizontal="right" vertical="top"/>
      <protection/>
    </xf>
    <xf numFmtId="4" fontId="0" fillId="39" borderId="54" xfId="42" applyNumberFormat="1" applyFont="1" applyFill="1" applyBorder="1" applyAlignment="1">
      <alignment horizontal="right" vertical="top"/>
      <protection/>
    </xf>
    <xf numFmtId="4" fontId="10" fillId="0" borderId="25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5" fillId="0" borderId="0" xfId="45" applyFont="1" applyBorder="1" applyAlignment="1">
      <alignment horizontal="center" vertical="top"/>
      <protection/>
    </xf>
    <xf numFmtId="0" fontId="0" fillId="0" borderId="64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42" borderId="80" xfId="42" applyFont="1" applyFill="1" applyBorder="1" applyAlignment="1">
      <alignment horizontal="center"/>
      <protection/>
    </xf>
    <xf numFmtId="4" fontId="4" fillId="42" borderId="71" xfId="42" applyNumberFormat="1" applyFont="1" applyFill="1" applyBorder="1" applyAlignment="1">
      <alignment horizontal="right" vertical="center"/>
      <protection/>
    </xf>
    <xf numFmtId="4" fontId="0" fillId="0" borderId="66" xfId="46" applyNumberFormat="1" applyFont="1" applyFill="1" applyBorder="1" applyAlignment="1">
      <alignment horizontal="right" vertical="top"/>
      <protection/>
    </xf>
    <xf numFmtId="4" fontId="0" fillId="0" borderId="75" xfId="42" applyNumberFormat="1" applyFont="1" applyFill="1" applyBorder="1" applyAlignment="1">
      <alignment horizontal="right" vertical="top"/>
      <protection/>
    </xf>
    <xf numFmtId="0" fontId="0" fillId="0" borderId="56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4" fontId="0" fillId="0" borderId="54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vertical="top"/>
    </xf>
    <xf numFmtId="0" fontId="4" fillId="0" borderId="26" xfId="0" applyFont="1" applyFill="1" applyBorder="1" applyAlignment="1">
      <alignment/>
    </xf>
    <xf numFmtId="4" fontId="4" fillId="0" borderId="54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>
      <alignment horizontal="right" vertical="top"/>
      <protection/>
    </xf>
    <xf numFmtId="4" fontId="0" fillId="0" borderId="86" xfId="46" applyNumberFormat="1" applyFont="1" applyFill="1" applyBorder="1" applyAlignment="1">
      <alignment horizontal="right" vertical="top"/>
      <protection/>
    </xf>
    <xf numFmtId="4" fontId="0" fillId="0" borderId="34" xfId="46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33" xfId="46" applyNumberFormat="1" applyFont="1" applyFill="1" applyBorder="1" applyAlignment="1" applyProtection="1">
      <alignment horizontal="right" vertical="top"/>
      <protection locked="0"/>
    </xf>
    <xf numFmtId="4" fontId="4" fillId="33" borderId="49" xfId="42" applyNumberFormat="1" applyFont="1" applyFill="1" applyBorder="1" applyAlignment="1">
      <alignment horizontal="right" vertical="top"/>
      <protection/>
    </xf>
    <xf numFmtId="0" fontId="0" fillId="0" borderId="49" xfId="0" applyFont="1" applyFill="1" applyBorder="1" applyAlignment="1">
      <alignment horizontal="left" vertical="top"/>
    </xf>
    <xf numFmtId="4" fontId="4" fillId="0" borderId="49" xfId="42" applyNumberFormat="1" applyFont="1" applyFill="1" applyBorder="1" applyAlignment="1">
      <alignment horizontal="right" vertical="top"/>
      <protection/>
    </xf>
    <xf numFmtId="4" fontId="0" fillId="0" borderId="24" xfId="46" applyNumberFormat="1" applyFont="1" applyFill="1" applyBorder="1" applyAlignment="1">
      <alignment horizontal="right" vertical="top"/>
      <protection/>
    </xf>
    <xf numFmtId="183" fontId="0" fillId="47" borderId="56" xfId="42" applyNumberFormat="1" applyFont="1" applyFill="1" applyBorder="1" applyAlignment="1">
      <alignment horizontal="center" vertical="top"/>
      <protection/>
    </xf>
    <xf numFmtId="183" fontId="0" fillId="47" borderId="0" xfId="42" applyNumberFormat="1" applyFont="1" applyFill="1" applyBorder="1" applyAlignment="1">
      <alignment horizontal="center" vertical="top"/>
      <protection/>
    </xf>
    <xf numFmtId="183" fontId="0" fillId="47" borderId="34" xfId="42" applyNumberFormat="1" applyFont="1" applyFill="1" applyBorder="1" applyAlignment="1">
      <alignment horizontal="center" vertical="top"/>
      <protection/>
    </xf>
    <xf numFmtId="4" fontId="0" fillId="0" borderId="26" xfId="0" applyNumberFormat="1" applyFont="1" applyFill="1" applyBorder="1" applyAlignment="1">
      <alignment horizontal="right" vertical="top"/>
    </xf>
    <xf numFmtId="49" fontId="4" fillId="46" borderId="48" xfId="42" applyNumberFormat="1" applyFont="1" applyFill="1" applyBorder="1" applyAlignment="1">
      <alignment horizontal="center" vertical="top"/>
      <protection/>
    </xf>
    <xf numFmtId="49" fontId="4" fillId="46" borderId="23" xfId="42" applyNumberFormat="1" applyFont="1" applyFill="1" applyBorder="1" applyAlignment="1">
      <alignment horizontal="center"/>
      <protection/>
    </xf>
    <xf numFmtId="4" fontId="4" fillId="46" borderId="54" xfId="42" applyNumberFormat="1" applyFont="1" applyFill="1" applyBorder="1" applyAlignment="1">
      <alignment horizontal="right" vertical="center"/>
      <protection/>
    </xf>
    <xf numFmtId="4" fontId="4" fillId="0" borderId="49" xfId="0" applyNumberFormat="1" applyFont="1" applyFill="1" applyBorder="1" applyAlignment="1">
      <alignment horizontal="right" vertical="top"/>
    </xf>
    <xf numFmtId="192" fontId="4" fillId="49" borderId="53" xfId="0" applyNumberFormat="1" applyFont="1" applyFill="1" applyBorder="1" applyAlignment="1">
      <alignment horizontal="center" vertical="center" wrapText="1"/>
    </xf>
    <xf numFmtId="49" fontId="4" fillId="49" borderId="53" xfId="0" applyNumberFormat="1" applyFont="1" applyFill="1" applyBorder="1" applyAlignment="1">
      <alignment horizontal="center"/>
    </xf>
    <xf numFmtId="0" fontId="5" fillId="49" borderId="53" xfId="0" applyFont="1" applyFill="1" applyBorder="1" applyAlignment="1">
      <alignment wrapText="1"/>
    </xf>
    <xf numFmtId="4" fontId="10" fillId="47" borderId="25" xfId="0" applyNumberFormat="1" applyFont="1" applyFill="1" applyBorder="1" applyAlignment="1">
      <alignment horizontal="right" vertical="top"/>
    </xf>
    <xf numFmtId="4" fontId="12" fillId="0" borderId="25" xfId="0" applyNumberFormat="1" applyFont="1" applyFill="1" applyBorder="1" applyAlignment="1">
      <alignment horizontal="right" vertical="top"/>
    </xf>
    <xf numFmtId="19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60" xfId="0" applyFont="1" applyFill="1" applyBorder="1" applyAlignment="1">
      <alignment vertical="top"/>
    </xf>
    <xf numFmtId="0" fontId="4" fillId="0" borderId="64" xfId="0" applyFont="1" applyFill="1" applyBorder="1" applyAlignment="1">
      <alignment vertical="top"/>
    </xf>
    <xf numFmtId="49" fontId="0" fillId="0" borderId="27" xfId="42" applyNumberFormat="1" applyFont="1" applyFill="1" applyBorder="1" applyAlignment="1">
      <alignment horizontal="center" vertical="top"/>
      <protection/>
    </xf>
    <xf numFmtId="49" fontId="0" fillId="0" borderId="56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horizontal="right" vertical="top"/>
      <protection/>
    </xf>
    <xf numFmtId="4" fontId="4" fillId="33" borderId="54" xfId="42" applyNumberFormat="1" applyFont="1" applyFill="1" applyBorder="1" applyAlignment="1">
      <alignment horizontal="right" vertical="top"/>
      <protection/>
    </xf>
    <xf numFmtId="4" fontId="0" fillId="34" borderId="16" xfId="42" applyNumberFormat="1" applyFont="1" applyFill="1" applyBorder="1" applyAlignment="1">
      <alignment horizontal="right" vertical="center"/>
      <protection/>
    </xf>
    <xf numFmtId="4" fontId="4" fillId="0" borderId="75" xfId="0" applyNumberFormat="1" applyFont="1" applyFill="1" applyBorder="1" applyAlignment="1">
      <alignment horizontal="right"/>
    </xf>
    <xf numFmtId="4" fontId="4" fillId="0" borderId="75" xfId="0" applyNumberFormat="1" applyFont="1" applyFill="1" applyBorder="1" applyAlignment="1">
      <alignment horizontal="right" vertical="top"/>
    </xf>
    <xf numFmtId="49" fontId="0" fillId="0" borderId="48" xfId="42" applyNumberFormat="1" applyFont="1" applyFill="1" applyBorder="1" applyAlignment="1">
      <alignment horizontal="right" vertical="center"/>
      <protection/>
    </xf>
    <xf numFmtId="49" fontId="0" fillId="0" borderId="23" xfId="42" applyNumberFormat="1" applyFont="1" applyFill="1" applyBorder="1" applyAlignment="1">
      <alignment horizontal="right" vertical="center"/>
      <protection/>
    </xf>
    <xf numFmtId="182" fontId="0" fillId="0" borderId="23" xfId="42" applyNumberFormat="1" applyFont="1" applyFill="1" applyBorder="1" applyAlignment="1">
      <alignment horizontal="right" vertical="center"/>
      <protection/>
    </xf>
    <xf numFmtId="0" fontId="0" fillId="0" borderId="23" xfId="42" applyFont="1" applyFill="1" applyBorder="1" applyAlignment="1">
      <alignment horizontal="right" vertical="center"/>
      <protection/>
    </xf>
    <xf numFmtId="0" fontId="0" fillId="0" borderId="56" xfId="42" applyFont="1" applyFill="1" applyBorder="1" applyAlignment="1">
      <alignment horizontal="right" vertical="center"/>
      <protection/>
    </xf>
    <xf numFmtId="4" fontId="0" fillId="0" borderId="49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9" fontId="0" fillId="0" borderId="21" xfId="42" applyNumberFormat="1" applyFont="1" applyFill="1" applyBorder="1" applyAlignment="1">
      <alignment horizontal="right" vertical="center"/>
      <protection/>
    </xf>
    <xf numFmtId="49" fontId="7" fillId="0" borderId="22" xfId="42" applyNumberFormat="1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>
      <alignment horizontal="right" vertical="center"/>
      <protection/>
    </xf>
    <xf numFmtId="49" fontId="0" fillId="0" borderId="22" xfId="42" applyNumberFormat="1" applyFont="1" applyFill="1" applyBorder="1" applyAlignment="1">
      <alignment horizontal="right" vertical="center"/>
      <protection/>
    </xf>
    <xf numFmtId="183" fontId="0" fillId="0" borderId="27" xfId="42" applyNumberFormat="1" applyFont="1" applyFill="1" applyBorder="1" applyAlignment="1">
      <alignment horizontal="right" vertical="center"/>
      <protection/>
    </xf>
    <xf numFmtId="4" fontId="0" fillId="0" borderId="26" xfId="42" applyNumberFormat="1" applyFont="1" applyFill="1" applyBorder="1" applyAlignment="1">
      <alignment horizontal="right" vertical="center"/>
      <protection/>
    </xf>
    <xf numFmtId="4" fontId="0" fillId="0" borderId="22" xfId="46" applyNumberFormat="1" applyFont="1" applyFill="1" applyBorder="1" applyAlignment="1" applyProtection="1">
      <alignment horizontal="right" vertical="center"/>
      <protection locked="0"/>
    </xf>
    <xf numFmtId="4" fontId="0" fillId="0" borderId="27" xfId="46" applyNumberFormat="1" applyFont="1" applyFill="1" applyBorder="1" applyAlignment="1" applyProtection="1">
      <alignment horizontal="right" vertical="center"/>
      <protection locked="0"/>
    </xf>
    <xf numFmtId="4" fontId="0" fillId="0" borderId="16" xfId="46" applyNumberFormat="1" applyFont="1" applyFill="1" applyBorder="1" applyAlignment="1">
      <alignment horizontal="right" vertical="center"/>
      <protection/>
    </xf>
    <xf numFmtId="4" fontId="0" fillId="0" borderId="31" xfId="46" applyNumberFormat="1" applyFont="1" applyFill="1" applyBorder="1" applyAlignment="1">
      <alignment horizontal="right" vertical="center"/>
      <protection/>
    </xf>
    <xf numFmtId="4" fontId="0" fillId="0" borderId="16" xfId="46" applyNumberFormat="1" applyFont="1" applyFill="1" applyBorder="1" applyAlignment="1" applyProtection="1">
      <alignment horizontal="right" vertical="center"/>
      <protection locked="0"/>
    </xf>
    <xf numFmtId="49" fontId="7" fillId="0" borderId="23" xfId="42" applyNumberFormat="1" applyFont="1" applyFill="1" applyBorder="1" applyAlignment="1">
      <alignment horizontal="right" vertical="center"/>
      <protection/>
    </xf>
    <xf numFmtId="182" fontId="0" fillId="34" borderId="23" xfId="42" applyNumberFormat="1" applyFont="1" applyFill="1" applyBorder="1" applyAlignment="1">
      <alignment horizontal="right" vertical="center"/>
      <protection/>
    </xf>
    <xf numFmtId="0" fontId="0" fillId="0" borderId="56" xfId="42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183" fontId="0" fillId="0" borderId="72" xfId="42" applyNumberFormat="1" applyFont="1" applyFill="1" applyBorder="1" applyAlignment="1">
      <alignment horizontal="center" vertical="top"/>
      <protection/>
    </xf>
    <xf numFmtId="183" fontId="0" fillId="47" borderId="79" xfId="42" applyNumberFormat="1" applyFont="1" applyFill="1" applyBorder="1" applyAlignment="1">
      <alignment horizontal="center" vertical="top"/>
      <protection/>
    </xf>
    <xf numFmtId="4" fontId="0" fillId="0" borderId="87" xfId="46" applyNumberFormat="1" applyFont="1" applyFill="1" applyBorder="1" applyAlignment="1" applyProtection="1">
      <alignment horizontal="right" vertical="top"/>
      <protection locked="0"/>
    </xf>
    <xf numFmtId="4" fontId="0" fillId="0" borderId="88" xfId="46" applyNumberFormat="1" applyFont="1" applyFill="1" applyBorder="1" applyAlignment="1" applyProtection="1">
      <alignment horizontal="right" vertical="top"/>
      <protection locked="0"/>
    </xf>
    <xf numFmtId="4" fontId="0" fillId="0" borderId="89" xfId="46" applyNumberFormat="1" applyFont="1" applyFill="1" applyBorder="1" applyAlignment="1" applyProtection="1">
      <alignment horizontal="right" vertical="top"/>
      <protection locked="0"/>
    </xf>
    <xf numFmtId="4" fontId="0" fillId="0" borderId="63" xfId="46" applyNumberFormat="1" applyFont="1" applyFill="1" applyBorder="1" applyAlignment="1" applyProtection="1">
      <alignment horizontal="right" vertical="top"/>
      <protection locked="0"/>
    </xf>
    <xf numFmtId="4" fontId="0" fillId="0" borderId="47" xfId="46" applyNumberFormat="1" applyFont="1" applyFill="1" applyBorder="1" applyAlignment="1" applyProtection="1">
      <alignment horizontal="right" vertical="top"/>
      <protection locked="0"/>
    </xf>
    <xf numFmtId="4" fontId="71" fillId="47" borderId="0" xfId="0" applyNumberFormat="1" applyFont="1" applyFill="1" applyBorder="1" applyAlignment="1">
      <alignment horizontal="right" vertical="center" wrapText="1" readingOrder="1"/>
    </xf>
    <xf numFmtId="4" fontId="71" fillId="47" borderId="90" xfId="0" applyNumberFormat="1" applyFont="1" applyFill="1" applyBorder="1" applyAlignment="1">
      <alignment horizontal="right" vertical="center" wrapText="1" readingOrder="1"/>
    </xf>
    <xf numFmtId="0" fontId="72" fillId="47" borderId="0" xfId="0" applyFont="1" applyFill="1" applyBorder="1" applyAlignment="1">
      <alignment horizontal="right" wrapText="1"/>
    </xf>
    <xf numFmtId="4" fontId="71" fillId="47" borderId="0" xfId="0" applyNumberFormat="1" applyFont="1" applyFill="1" applyBorder="1" applyAlignment="1">
      <alignment horizontal="right" wrapText="1" readingOrder="1"/>
    </xf>
    <xf numFmtId="0" fontId="69" fillId="0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4" fontId="0" fillId="47" borderId="91" xfId="0" applyNumberFormat="1" applyFont="1" applyFill="1" applyBorder="1" applyAlignment="1">
      <alignment/>
    </xf>
    <xf numFmtId="49" fontId="4" fillId="42" borderId="80" xfId="42" applyNumberFormat="1" applyFont="1" applyFill="1" applyBorder="1" applyAlignment="1">
      <alignment horizontal="center"/>
      <protection/>
    </xf>
    <xf numFmtId="49" fontId="0" fillId="46" borderId="80" xfId="42" applyNumberFormat="1" applyFont="1" applyFill="1" applyBorder="1" applyAlignment="1">
      <alignment horizontal="center"/>
      <protection/>
    </xf>
    <xf numFmtId="0" fontId="0" fillId="47" borderId="16" xfId="42" applyFont="1" applyFill="1" applyBorder="1" applyAlignment="1">
      <alignment horizontal="center"/>
      <protection/>
    </xf>
    <xf numFmtId="0" fontId="10" fillId="0" borderId="33" xfId="0" applyFont="1" applyBorder="1" applyAlignment="1">
      <alignment horizontal="left" vertical="top"/>
    </xf>
    <xf numFmtId="0" fontId="0" fillId="0" borderId="34" xfId="45" applyFont="1" applyFill="1" applyBorder="1">
      <alignment/>
      <protection/>
    </xf>
    <xf numFmtId="0" fontId="12" fillId="0" borderId="25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182" fontId="10" fillId="0" borderId="16" xfId="45" applyNumberFormat="1" applyFont="1" applyFill="1" applyBorder="1" applyAlignment="1">
      <alignment horizontal="center" vertical="top"/>
      <protection/>
    </xf>
    <xf numFmtId="0" fontId="8" fillId="0" borderId="16" xfId="45" applyFont="1" applyBorder="1">
      <alignment/>
      <protection/>
    </xf>
    <xf numFmtId="4" fontId="4" fillId="42" borderId="3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center"/>
    </xf>
    <xf numFmtId="4" fontId="67" fillId="35" borderId="31" xfId="42" applyNumberFormat="1" applyFont="1" applyFill="1" applyBorder="1" applyAlignment="1">
      <alignment horizontal="right" vertical="top"/>
      <protection/>
    </xf>
    <xf numFmtId="4" fontId="4" fillId="0" borderId="34" xfId="42" applyNumberFormat="1" applyFont="1" applyFill="1" applyBorder="1" applyAlignment="1">
      <alignment horizontal="right" vertical="center"/>
      <protection/>
    </xf>
    <xf numFmtId="4" fontId="0" fillId="0" borderId="34" xfId="42" applyNumberFormat="1" applyFont="1" applyFill="1" applyBorder="1" applyAlignment="1">
      <alignment horizontal="right" vertical="center"/>
      <protection/>
    </xf>
    <xf numFmtId="4" fontId="4" fillId="34" borderId="34" xfId="42" applyNumberFormat="1" applyFont="1" applyFill="1" applyBorder="1" applyAlignment="1">
      <alignment horizontal="right" vertical="top"/>
      <protection/>
    </xf>
    <xf numFmtId="4" fontId="4" fillId="46" borderId="34" xfId="42" applyNumberFormat="1" applyFont="1" applyFill="1" applyBorder="1" applyAlignment="1">
      <alignment horizontal="right" vertical="top"/>
      <protection/>
    </xf>
    <xf numFmtId="4" fontId="4" fillId="0" borderId="31" xfId="0" applyNumberFormat="1" applyFont="1" applyFill="1" applyBorder="1" applyAlignment="1">
      <alignment horizontal="right"/>
    </xf>
    <xf numFmtId="4" fontId="4" fillId="0" borderId="34" xfId="42" applyNumberFormat="1" applyFont="1" applyFill="1" applyBorder="1" applyAlignment="1">
      <alignment horizontal="right" vertical="top"/>
      <protection/>
    </xf>
    <xf numFmtId="4" fontId="4" fillId="47" borderId="31" xfId="42" applyNumberFormat="1" applyFont="1" applyFill="1" applyBorder="1" applyAlignment="1">
      <alignment horizontal="right" vertical="top"/>
      <protection/>
    </xf>
    <xf numFmtId="4" fontId="4" fillId="50" borderId="3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6" borderId="40" xfId="42" applyNumberFormat="1" applyFont="1" applyFill="1" applyBorder="1" applyAlignment="1">
      <alignment horizontal="right" vertical="top"/>
      <protection/>
    </xf>
    <xf numFmtId="4" fontId="4" fillId="0" borderId="34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 applyProtection="1">
      <alignment horizontal="right" vertical="center"/>
      <protection locked="0"/>
    </xf>
    <xf numFmtId="0" fontId="4" fillId="47" borderId="92" xfId="0" applyFont="1" applyFill="1" applyBorder="1" applyAlignment="1">
      <alignment horizontal="center" vertical="center" wrapText="1"/>
    </xf>
    <xf numFmtId="4" fontId="67" fillId="35" borderId="16" xfId="42" applyNumberFormat="1" applyFont="1" applyFill="1" applyBorder="1" applyAlignment="1">
      <alignment horizontal="right" vertical="center"/>
      <protection/>
    </xf>
    <xf numFmtId="4" fontId="67" fillId="35" borderId="16" xfId="42" applyNumberFormat="1" applyFont="1" applyFill="1" applyBorder="1" applyAlignment="1">
      <alignment horizontal="right" vertical="top"/>
      <protection/>
    </xf>
    <xf numFmtId="4" fontId="4" fillId="34" borderId="16" xfId="42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top"/>
    </xf>
    <xf numFmtId="4" fontId="67" fillId="35" borderId="16" xfId="42" applyNumberFormat="1" applyFont="1" applyFill="1" applyBorder="1" applyAlignment="1">
      <alignment vertical="center"/>
      <protection/>
    </xf>
    <xf numFmtId="4" fontId="0" fillId="47" borderId="16" xfId="42" applyNumberFormat="1" applyFont="1" applyFill="1" applyBorder="1" applyAlignment="1" applyProtection="1">
      <alignment horizontal="right" vertical="center"/>
      <protection locked="0"/>
    </xf>
    <xf numFmtId="4" fontId="0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42" borderId="16" xfId="42" applyNumberFormat="1" applyFont="1" applyFill="1" applyBorder="1" applyAlignment="1" applyProtection="1">
      <alignment horizontal="right" vertical="center"/>
      <protection locked="0"/>
    </xf>
    <xf numFmtId="4" fontId="4" fillId="47" borderId="16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center"/>
      <protection/>
    </xf>
    <xf numFmtId="4" fontId="4" fillId="33" borderId="16" xfId="42" applyNumberFormat="1" applyFont="1" applyFill="1" applyBorder="1" applyAlignment="1">
      <alignment horizontal="right" vertical="center"/>
      <protection/>
    </xf>
    <xf numFmtId="4" fontId="0" fillId="39" borderId="16" xfId="42" applyNumberFormat="1" applyFont="1" applyFill="1" applyBorder="1" applyAlignment="1">
      <alignment horizontal="right" vertical="center"/>
      <protection/>
    </xf>
    <xf numFmtId="4" fontId="70" fillId="42" borderId="16" xfId="42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5" fillId="0" borderId="11" xfId="0" applyFont="1" applyBorder="1" applyAlignment="1">
      <alignment horizontal="center" textRotation="90"/>
    </xf>
    <xf numFmtId="0" fontId="4" fillId="33" borderId="16" xfId="45" applyFont="1" applyFill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190" fontId="12" fillId="0" borderId="16" xfId="45" applyNumberFormat="1" applyFont="1" applyBorder="1" applyAlignment="1">
      <alignment horizontal="center" vertical="top"/>
      <protection/>
    </xf>
    <xf numFmtId="190" fontId="12" fillId="0" borderId="16" xfId="45" applyNumberFormat="1" applyFont="1" applyFill="1" applyBorder="1" applyAlignment="1">
      <alignment horizontal="center" vertical="top"/>
      <protection/>
    </xf>
    <xf numFmtId="0" fontId="7" fillId="0" borderId="16" xfId="45" applyFont="1" applyFill="1" applyBorder="1" applyAlignment="1">
      <alignment horizontal="center"/>
      <protection/>
    </xf>
    <xf numFmtId="191" fontId="12" fillId="0" borderId="34" xfId="45" applyNumberFormat="1" applyFont="1" applyFill="1" applyBorder="1" applyAlignment="1">
      <alignment horizontal="center" vertical="top"/>
      <protection/>
    </xf>
    <xf numFmtId="190" fontId="10" fillId="0" borderId="16" xfId="45" applyNumberFormat="1" applyFont="1" applyBorder="1" applyAlignment="1">
      <alignment horizontal="center" vertical="top"/>
      <protection/>
    </xf>
    <xf numFmtId="0" fontId="0" fillId="0" borderId="16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182" fontId="11" fillId="33" borderId="16" xfId="45" applyNumberFormat="1" applyFont="1" applyFill="1" applyBorder="1" applyAlignment="1">
      <alignment horizontal="center" vertical="top"/>
      <protection/>
    </xf>
    <xf numFmtId="0" fontId="4" fillId="0" borderId="16" xfId="45" applyFont="1" applyBorder="1" applyAlignment="1">
      <alignment horizontal="center"/>
      <protection/>
    </xf>
    <xf numFmtId="0" fontId="0" fillId="0" borderId="24" xfId="45" applyFont="1" applyBorder="1" applyAlignment="1">
      <alignment horizontal="center"/>
      <protection/>
    </xf>
    <xf numFmtId="0" fontId="4" fillId="0" borderId="35" xfId="4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86" fontId="4" fillId="0" borderId="93" xfId="45" applyNumberFormat="1" applyFont="1" applyBorder="1" applyAlignment="1">
      <alignment horizontal="right" vertical="center"/>
      <protection/>
    </xf>
    <xf numFmtId="186" fontId="9" fillId="35" borderId="94" xfId="45" applyNumberFormat="1" applyFont="1" applyFill="1" applyBorder="1" applyAlignment="1">
      <alignment horizontal="right" vertical="top"/>
      <protection/>
    </xf>
    <xf numFmtId="4" fontId="4" fillId="33" borderId="94" xfId="45" applyNumberFormat="1" applyFont="1" applyFill="1" applyBorder="1">
      <alignment/>
      <protection/>
    </xf>
    <xf numFmtId="180" fontId="7" fillId="0" borderId="94" xfId="45" applyNumberFormat="1" applyFont="1" applyBorder="1" applyAlignment="1">
      <alignment horizontal="right" vertical="top"/>
      <protection/>
    </xf>
    <xf numFmtId="4" fontId="4" fillId="0" borderId="0" xfId="0" applyNumberFormat="1" applyFont="1" applyAlignment="1">
      <alignment horizontal="right"/>
    </xf>
    <xf numFmtId="4" fontId="0" fillId="0" borderId="0" xfId="42" applyNumberFormat="1" applyFont="1" applyBorder="1" applyAlignment="1">
      <alignment horizontal="right"/>
      <protection/>
    </xf>
    <xf numFmtId="4" fontId="67" fillId="35" borderId="71" xfId="0" applyNumberFormat="1" applyFont="1" applyFill="1" applyBorder="1" applyAlignment="1">
      <alignment horizontal="right" vertical="top"/>
    </xf>
    <xf numFmtId="4" fontId="70" fillId="46" borderId="71" xfId="0" applyNumberFormat="1" applyFont="1" applyFill="1" applyBorder="1" applyAlignment="1">
      <alignment horizontal="right" vertical="top"/>
    </xf>
    <xf numFmtId="4" fontId="4" fillId="42" borderId="49" xfId="0" applyNumberFormat="1" applyFont="1" applyFill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75" xfId="0" applyNumberFormat="1" applyFont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top"/>
    </xf>
    <xf numFmtId="4" fontId="0" fillId="0" borderId="31" xfId="0" applyNumberFormat="1" applyFont="1" applyBorder="1" applyAlignment="1">
      <alignment horizontal="right" vertical="top"/>
    </xf>
    <xf numFmtId="4" fontId="0" fillId="0" borderId="64" xfId="0" applyNumberFormat="1" applyFont="1" applyBorder="1" applyAlignment="1">
      <alignment horizontal="right" vertical="top"/>
    </xf>
    <xf numFmtId="4" fontId="0" fillId="0" borderId="34" xfId="0" applyNumberFormat="1" applyFont="1" applyBorder="1" applyAlignment="1">
      <alignment horizontal="right" vertical="top"/>
    </xf>
    <xf numFmtId="4" fontId="0" fillId="0" borderId="82" xfId="0" applyNumberFormat="1" applyFont="1" applyBorder="1" applyAlignment="1">
      <alignment horizontal="right" vertical="top"/>
    </xf>
    <xf numFmtId="4" fontId="67" fillId="35" borderId="49" xfId="0" applyNumberFormat="1" applyFont="1" applyFill="1" applyBorder="1" applyAlignment="1">
      <alignment horizontal="right" vertical="center"/>
    </xf>
    <xf numFmtId="4" fontId="0" fillId="0" borderId="49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4" fontId="0" fillId="47" borderId="26" xfId="0" applyNumberFormat="1" applyFont="1" applyFill="1" applyBorder="1" applyAlignment="1">
      <alignment horizontal="right" vertical="top"/>
    </xf>
    <xf numFmtId="4" fontId="0" fillId="47" borderId="75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/>
    </xf>
    <xf numFmtId="4" fontId="0" fillId="0" borderId="75" xfId="0" applyNumberFormat="1" applyFont="1" applyFill="1" applyBorder="1" applyAlignment="1">
      <alignment horizontal="right"/>
    </xf>
    <xf numFmtId="4" fontId="4" fillId="46" borderId="71" xfId="0" applyNumberFormat="1" applyFont="1" applyFill="1" applyBorder="1" applyAlignment="1">
      <alignment horizontal="right" vertical="top"/>
    </xf>
    <xf numFmtId="4" fontId="0" fillId="0" borderId="49" xfId="0" applyNumberFormat="1" applyFont="1" applyBorder="1" applyAlignment="1">
      <alignment horizontal="right"/>
    </xf>
    <xf numFmtId="4" fontId="0" fillId="0" borderId="95" xfId="0" applyNumberFormat="1" applyFont="1" applyFill="1" applyBorder="1" applyAlignment="1">
      <alignment horizontal="right" vertical="top"/>
    </xf>
    <xf numFmtId="4" fontId="0" fillId="46" borderId="0" xfId="0" applyNumberFormat="1" applyFont="1" applyFill="1" applyBorder="1" applyAlignment="1">
      <alignment horizontal="right"/>
    </xf>
    <xf numFmtId="4" fontId="70" fillId="42" borderId="71" xfId="0" applyNumberFormat="1" applyFont="1" applyFill="1" applyBorder="1" applyAlignment="1">
      <alignment horizontal="right" vertical="top"/>
    </xf>
    <xf numFmtId="4" fontId="0" fillId="0" borderId="71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/>
    </xf>
    <xf numFmtId="4" fontId="0" fillId="0" borderId="75" xfId="0" applyNumberFormat="1" applyFont="1" applyFill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top" wrapText="1"/>
    </xf>
    <xf numFmtId="4" fontId="0" fillId="0" borderId="71" xfId="0" applyNumberFormat="1" applyFont="1" applyFill="1" applyBorder="1" applyAlignment="1">
      <alignment horizontal="right" vertical="top"/>
    </xf>
    <xf numFmtId="4" fontId="4" fillId="0" borderId="49" xfId="0" applyNumberFormat="1" applyFont="1" applyFill="1" applyBorder="1" applyAlignment="1">
      <alignment horizontal="right" vertical="top" wrapText="1"/>
    </xf>
    <xf numFmtId="4" fontId="0" fillId="0" borderId="49" xfId="0" applyNumberFormat="1" applyFont="1" applyFill="1" applyBorder="1" applyAlignment="1">
      <alignment horizontal="right" vertical="center" wrapText="1"/>
    </xf>
    <xf numFmtId="4" fontId="70" fillId="42" borderId="49" xfId="0" applyNumberFormat="1" applyFont="1" applyFill="1" applyBorder="1" applyAlignment="1">
      <alignment horizontal="right" vertical="top"/>
    </xf>
    <xf numFmtId="4" fontId="0" fillId="0" borderId="75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33" xfId="0" applyNumberFormat="1" applyFont="1" applyFill="1" applyBorder="1" applyAlignment="1">
      <alignment horizontal="right" vertical="top"/>
    </xf>
    <xf numFmtId="4" fontId="4" fillId="33" borderId="0" xfId="42" applyNumberFormat="1" applyFont="1" applyFill="1" applyBorder="1" applyAlignment="1">
      <alignment horizontal="right"/>
      <protection/>
    </xf>
    <xf numFmtId="4" fontId="4" fillId="33" borderId="54" xfId="42" applyNumberFormat="1" applyFont="1" applyFill="1" applyBorder="1" applyAlignment="1">
      <alignment horizontal="right"/>
      <protection/>
    </xf>
    <xf numFmtId="4" fontId="4" fillId="33" borderId="49" xfId="0" applyNumberFormat="1" applyFont="1" applyFill="1" applyBorder="1" applyAlignment="1">
      <alignment horizontal="right" vertical="top"/>
    </xf>
    <xf numFmtId="4" fontId="0" fillId="39" borderId="31" xfId="42" applyNumberFormat="1" applyFont="1" applyFill="1" applyBorder="1" applyAlignment="1">
      <alignment horizontal="right"/>
      <protection/>
    </xf>
    <xf numFmtId="4" fontId="0" fillId="0" borderId="3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top"/>
    </xf>
    <xf numFmtId="4" fontId="0" fillId="39" borderId="96" xfId="42" applyNumberFormat="1" applyFont="1" applyFill="1" applyBorder="1" applyAlignment="1">
      <alignment horizontal="right"/>
      <protection/>
    </xf>
    <xf numFmtId="4" fontId="70" fillId="46" borderId="16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25" fillId="0" borderId="97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99" xfId="0" applyNumberFormat="1" applyFont="1" applyFill="1" applyBorder="1" applyAlignment="1">
      <alignment horizontal="right" vertical="center" wrapText="1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left"/>
    </xf>
    <xf numFmtId="4" fontId="25" fillId="0" borderId="99" xfId="0" applyNumberFormat="1" applyFont="1" applyFill="1" applyBorder="1" applyAlignment="1">
      <alignment/>
    </xf>
    <xf numFmtId="0" fontId="26" fillId="0" borderId="100" xfId="0" applyFont="1" applyBorder="1" applyAlignment="1">
      <alignment horizontal="center" vertical="center"/>
    </xf>
    <xf numFmtId="0" fontId="26" fillId="0" borderId="80" xfId="0" applyFont="1" applyBorder="1" applyAlignment="1">
      <alignment/>
    </xf>
    <xf numFmtId="4" fontId="26" fillId="0" borderId="80" xfId="0" applyNumberFormat="1" applyFont="1" applyFill="1" applyBorder="1" applyAlignment="1">
      <alignment/>
    </xf>
    <xf numFmtId="4" fontId="26" fillId="0" borderId="101" xfId="0" applyNumberFormat="1" applyFont="1" applyFill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6" fillId="0" borderId="39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5" fillId="0" borderId="98" xfId="0" applyFont="1" applyBorder="1" applyAlignment="1">
      <alignment/>
    </xf>
    <xf numFmtId="4" fontId="25" fillId="0" borderId="98" xfId="0" applyNumberFormat="1" applyFont="1" applyFill="1" applyBorder="1" applyAlignment="1">
      <alignment/>
    </xf>
    <xf numFmtId="0" fontId="25" fillId="0" borderId="98" xfId="0" applyFont="1" applyBorder="1" applyAlignment="1">
      <alignment/>
    </xf>
    <xf numFmtId="0" fontId="26" fillId="0" borderId="102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4" fontId="26" fillId="0" borderId="46" xfId="0" applyNumberFormat="1" applyFont="1" applyFill="1" applyBorder="1" applyAlignment="1">
      <alignment/>
    </xf>
    <xf numFmtId="4" fontId="26" fillId="0" borderId="99" xfId="0" applyNumberFormat="1" applyFont="1" applyFill="1" applyBorder="1" applyAlignment="1">
      <alignment horizontal="right" vertical="center" wrapText="1"/>
    </xf>
    <xf numFmtId="0" fontId="25" fillId="0" borderId="98" xfId="0" applyFont="1" applyFill="1" applyBorder="1" applyAlignment="1">
      <alignment/>
    </xf>
    <xf numFmtId="0" fontId="26" fillId="0" borderId="103" xfId="0" applyFont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top"/>
    </xf>
    <xf numFmtId="4" fontId="26" fillId="0" borderId="16" xfId="0" applyNumberFormat="1" applyFont="1" applyBorder="1" applyAlignment="1">
      <alignment/>
    </xf>
    <xf numFmtId="0" fontId="26" fillId="0" borderId="36" xfId="0" applyFont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5" fillId="0" borderId="104" xfId="0" applyFont="1" applyBorder="1" applyAlignment="1">
      <alignment/>
    </xf>
    <xf numFmtId="4" fontId="25" fillId="0" borderId="104" xfId="0" applyNumberFormat="1" applyFont="1" applyFill="1" applyBorder="1" applyAlignment="1">
      <alignment/>
    </xf>
    <xf numFmtId="0" fontId="26" fillId="0" borderId="105" xfId="0" applyFont="1" applyBorder="1" applyAlignment="1">
      <alignment/>
    </xf>
    <xf numFmtId="4" fontId="26" fillId="0" borderId="105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25" fillId="43" borderId="16" xfId="60" applyFont="1" applyFill="1" applyBorder="1" applyAlignment="1">
      <alignment horizontal="center" vertical="center" wrapText="1"/>
      <protection/>
    </xf>
    <xf numFmtId="49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42" applyNumberFormat="1" applyFont="1" applyFill="1" applyBorder="1" applyAlignment="1">
      <alignment horizontal="center" vertical="center" wrapText="1"/>
      <protection/>
    </xf>
    <xf numFmtId="10" fontId="27" fillId="0" borderId="16" xfId="60" applyNumberFormat="1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/>
    </xf>
    <xf numFmtId="49" fontId="29" fillId="39" borderId="16" xfId="0" applyNumberFormat="1" applyFont="1" applyFill="1" applyBorder="1" applyAlignment="1" applyProtection="1">
      <alignment horizontal="center" vertical="top"/>
      <protection/>
    </xf>
    <xf numFmtId="49" fontId="29" fillId="39" borderId="16" xfId="0" applyNumberFormat="1" applyFont="1" applyFill="1" applyBorder="1" applyAlignment="1" applyProtection="1">
      <alignment horizontal="left" vertical="top"/>
      <protection/>
    </xf>
    <xf numFmtId="0" fontId="29" fillId="39" borderId="16" xfId="0" applyFont="1" applyFill="1" applyBorder="1" applyAlignment="1" applyProtection="1">
      <alignment horizontal="left" vertical="top"/>
      <protection/>
    </xf>
    <xf numFmtId="3" fontId="29" fillId="39" borderId="16" xfId="42" applyNumberFormat="1" applyFont="1" applyFill="1" applyBorder="1" applyAlignment="1">
      <alignment vertical="center"/>
      <protection/>
    </xf>
    <xf numFmtId="10" fontId="29" fillId="51" borderId="16" xfId="42" applyNumberFormat="1" applyFont="1" applyFill="1" applyBorder="1" applyAlignment="1">
      <alignment vertical="center"/>
      <protection/>
    </xf>
    <xf numFmtId="0" fontId="28" fillId="39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horizontal="left"/>
      <protection/>
    </xf>
    <xf numFmtId="3" fontId="28" fillId="0" borderId="16" xfId="42" applyNumberFormat="1" applyFont="1" applyBorder="1" applyAlignment="1">
      <alignment vertical="center"/>
      <protection/>
    </xf>
    <xf numFmtId="0" fontId="28" fillId="0" borderId="16" xfId="0" applyFont="1" applyBorder="1" applyAlignment="1">
      <alignment vertical="center"/>
    </xf>
    <xf numFmtId="3" fontId="28" fillId="0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left"/>
    </xf>
    <xf numFmtId="0" fontId="26" fillId="0" borderId="16" xfId="0" applyFont="1" applyFill="1" applyBorder="1" applyAlignment="1">
      <alignment vertical="top" wrapText="1"/>
    </xf>
    <xf numFmtId="4" fontId="26" fillId="0" borderId="16" xfId="0" applyNumberFormat="1" applyFont="1" applyFill="1" applyBorder="1" applyAlignment="1">
      <alignment vertical="top"/>
    </xf>
    <xf numFmtId="4" fontId="28" fillId="0" borderId="16" xfId="0" applyNumberFormat="1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 wrapText="1"/>
      <protection/>
    </xf>
    <xf numFmtId="0" fontId="29" fillId="39" borderId="16" xfId="0" applyFont="1" applyFill="1" applyBorder="1" applyAlignment="1">
      <alignment vertical="center"/>
    </xf>
    <xf numFmtId="49" fontId="28" fillId="0" borderId="16" xfId="0" applyNumberFormat="1" applyFont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left" vertical="top"/>
      <protection/>
    </xf>
    <xf numFmtId="49" fontId="28" fillId="0" borderId="16" xfId="0" applyNumberFormat="1" applyFont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 horizontal="center" vertical="top"/>
      <protection/>
    </xf>
    <xf numFmtId="3" fontId="29" fillId="39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/>
    </xf>
    <xf numFmtId="0" fontId="28" fillId="0" borderId="16" xfId="0" applyFont="1" applyBorder="1" applyAlignment="1" applyProtection="1">
      <alignment horizontal="left" vertical="top"/>
      <protection/>
    </xf>
    <xf numFmtId="3" fontId="28" fillId="0" borderId="16" xfId="42" applyNumberFormat="1" applyFont="1" applyFill="1" applyBorder="1" applyAlignment="1">
      <alignment vertical="center"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3" fontId="26" fillId="0" borderId="16" xfId="0" applyNumberFormat="1" applyFont="1" applyFill="1" applyBorder="1" applyAlignment="1">
      <alignment vertical="top"/>
    </xf>
    <xf numFmtId="49" fontId="28" fillId="0" borderId="16" xfId="0" applyNumberFormat="1" applyFont="1" applyFill="1" applyBorder="1" applyAlignment="1" applyProtection="1">
      <alignment horizontal="center" vertical="top"/>
      <protection/>
    </xf>
    <xf numFmtId="0" fontId="28" fillId="0" borderId="16" xfId="0" applyFont="1" applyBorder="1" applyAlignment="1" applyProtection="1">
      <alignment horizontal="left" vertical="top" wrapText="1"/>
      <protection/>
    </xf>
    <xf numFmtId="0" fontId="28" fillId="0" borderId="16" xfId="0" applyFont="1" applyBorder="1" applyAlignment="1">
      <alignment horizontal="left" wrapText="1"/>
    </xf>
    <xf numFmtId="4" fontId="28" fillId="0" borderId="16" xfId="42" applyNumberFormat="1" applyFont="1" applyFill="1" applyBorder="1" applyAlignment="1">
      <alignment vertical="center"/>
      <protection/>
    </xf>
    <xf numFmtId="0" fontId="25" fillId="43" borderId="16" xfId="60" applyFont="1" applyFill="1" applyBorder="1" applyAlignment="1">
      <alignment horizontal="left" vertical="center" wrapText="1"/>
      <protection/>
    </xf>
    <xf numFmtId="3" fontId="25" fillId="43" borderId="16" xfId="42" applyNumberFormat="1" applyFont="1" applyFill="1" applyBorder="1" applyAlignment="1">
      <alignment vertical="center" wrapText="1"/>
      <protection/>
    </xf>
    <xf numFmtId="10" fontId="25" fillId="43" borderId="16" xfId="60" applyNumberFormat="1" applyFont="1" applyFill="1" applyBorder="1" applyAlignment="1">
      <alignment vertical="center" wrapText="1"/>
      <protection/>
    </xf>
    <xf numFmtId="4" fontId="0" fillId="46" borderId="49" xfId="0" applyNumberFormat="1" applyFont="1" applyFill="1" applyBorder="1" applyAlignment="1">
      <alignment horizontal="right"/>
    </xf>
    <xf numFmtId="4" fontId="4" fillId="42" borderId="80" xfId="42" applyNumberFormat="1" applyFont="1" applyFill="1" applyBorder="1" applyAlignment="1">
      <alignment horizontal="right" vertical="center"/>
      <protection/>
    </xf>
    <xf numFmtId="49" fontId="0" fillId="0" borderId="46" xfId="42" applyNumberFormat="1" applyFont="1" applyFill="1" applyBorder="1" applyAlignment="1">
      <alignment horizontal="center"/>
      <protection/>
    </xf>
    <xf numFmtId="4" fontId="4" fillId="46" borderId="54" xfId="0" applyNumberFormat="1" applyFont="1" applyFill="1" applyBorder="1" applyAlignment="1">
      <alignment horizontal="right" vertical="top"/>
    </xf>
    <xf numFmtId="4" fontId="4" fillId="46" borderId="16" xfId="0" applyNumberFormat="1" applyFont="1" applyFill="1" applyBorder="1" applyAlignment="1">
      <alignment horizontal="right" vertical="center"/>
    </xf>
    <xf numFmtId="4" fontId="0" fillId="47" borderId="60" xfId="46" applyNumberFormat="1" applyFont="1" applyFill="1" applyBorder="1" applyAlignment="1" applyProtection="1">
      <alignment horizontal="right" vertical="top"/>
      <protection locked="0"/>
    </xf>
    <xf numFmtId="4" fontId="0" fillId="47" borderId="16" xfId="0" applyNumberFormat="1" applyFont="1" applyFill="1" applyBorder="1" applyAlignment="1">
      <alignment horizontal="right" vertical="top"/>
    </xf>
    <xf numFmtId="0" fontId="67" fillId="35" borderId="56" xfId="42" applyFont="1" applyFill="1" applyBorder="1" applyAlignment="1">
      <alignment horizontal="center"/>
      <protection/>
    </xf>
    <xf numFmtId="0" fontId="0" fillId="47" borderId="16" xfId="0" applyFont="1" applyFill="1" applyBorder="1" applyAlignment="1">
      <alignment/>
    </xf>
    <xf numFmtId="0" fontId="0" fillId="47" borderId="16" xfId="0" applyFont="1" applyFill="1" applyBorder="1" applyAlignment="1">
      <alignment horizontal="left" vertical="top"/>
    </xf>
    <xf numFmtId="4" fontId="0" fillId="0" borderId="72" xfId="46" applyNumberFormat="1" applyFont="1" applyFill="1" applyBorder="1" applyAlignment="1" applyProtection="1">
      <alignment horizontal="right" vertical="top"/>
      <protection locked="0"/>
    </xf>
    <xf numFmtId="4" fontId="4" fillId="46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9" fontId="0" fillId="0" borderId="0" xfId="42" applyNumberFormat="1" applyFont="1" applyFill="1" applyBorder="1" applyAlignment="1">
      <alignment horizontal="center" vertical="top"/>
      <protection/>
    </xf>
    <xf numFmtId="0" fontId="4" fillId="0" borderId="75" xfId="0" applyFont="1" applyFill="1" applyBorder="1" applyAlignment="1">
      <alignment/>
    </xf>
    <xf numFmtId="49" fontId="4" fillId="0" borderId="27" xfId="42" applyNumberFormat="1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horizontal="center"/>
      <protection/>
    </xf>
    <xf numFmtId="0" fontId="4" fillId="0" borderId="31" xfId="42" applyFont="1" applyFill="1" applyBorder="1" applyAlignment="1">
      <alignment horizontal="center"/>
      <protection/>
    </xf>
    <xf numFmtId="4" fontId="0" fillId="0" borderId="33" xfId="42" applyNumberFormat="1" applyFont="1" applyFill="1" applyBorder="1" applyAlignment="1">
      <alignment horizontal="right" vertical="top"/>
      <protection/>
    </xf>
    <xf numFmtId="4" fontId="0" fillId="0" borderId="16" xfId="0" applyNumberFormat="1" applyFont="1" applyBorder="1" applyAlignment="1">
      <alignment horizontal="right"/>
    </xf>
    <xf numFmtId="4" fontId="70" fillId="42" borderId="16" xfId="0" applyNumberFormat="1" applyFont="1" applyFill="1" applyBorder="1" applyAlignment="1">
      <alignment horizontal="right" vertical="top"/>
    </xf>
    <xf numFmtId="0" fontId="4" fillId="0" borderId="56" xfId="42" applyFont="1" applyFill="1" applyBorder="1" applyAlignment="1">
      <alignment horizontal="center"/>
      <protection/>
    </xf>
    <xf numFmtId="4" fontId="70" fillId="42" borderId="0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 vertical="top"/>
    </xf>
    <xf numFmtId="4" fontId="4" fillId="0" borderId="71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left"/>
    </xf>
    <xf numFmtId="0" fontId="0" fillId="47" borderId="0" xfId="0" applyFont="1" applyFill="1" applyBorder="1" applyAlignment="1">
      <alignment horizontal="left" vertical="top"/>
    </xf>
    <xf numFmtId="4" fontId="70" fillId="46" borderId="0" xfId="0" applyNumberFormat="1" applyFont="1" applyFill="1" applyBorder="1" applyAlignment="1">
      <alignment horizontal="right" vertical="top"/>
    </xf>
    <xf numFmtId="4" fontId="4" fillId="46" borderId="54" xfId="0" applyNumberFormat="1" applyFont="1" applyFill="1" applyBorder="1" applyAlignment="1">
      <alignment horizontal="right" vertical="top" wrapText="1"/>
    </xf>
    <xf numFmtId="4" fontId="0" fillId="39" borderId="26" xfId="42" applyNumberFormat="1" applyFont="1" applyFill="1" applyBorder="1" applyAlignment="1">
      <alignment horizontal="right" vertical="top"/>
      <protection/>
    </xf>
    <xf numFmtId="4" fontId="0" fillId="39" borderId="16" xfId="42" applyNumberFormat="1" applyFont="1" applyFill="1" applyBorder="1" applyAlignment="1">
      <alignment horizontal="right"/>
      <protection/>
    </xf>
    <xf numFmtId="4" fontId="4" fillId="46" borderId="16" xfId="0" applyNumberFormat="1" applyFont="1" applyFill="1" applyBorder="1" applyAlignment="1">
      <alignment horizontal="right" vertical="top" wrapText="1"/>
    </xf>
    <xf numFmtId="4" fontId="4" fillId="33" borderId="5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0" fillId="0" borderId="47" xfId="0" applyNumberFormat="1" applyFont="1" applyFill="1" applyBorder="1" applyAlignment="1">
      <alignment horizontal="right" vertical="top"/>
    </xf>
    <xf numFmtId="4" fontId="4" fillId="33" borderId="16" xfId="42" applyNumberFormat="1" applyFont="1" applyFill="1" applyBorder="1" applyAlignment="1">
      <alignment horizontal="right"/>
      <protection/>
    </xf>
    <xf numFmtId="4" fontId="0" fillId="47" borderId="31" xfId="0" applyNumberFormat="1" applyFont="1" applyFill="1" applyBorder="1" applyAlignment="1">
      <alignment horizontal="right" vertical="top"/>
    </xf>
    <xf numFmtId="4" fontId="4" fillId="0" borderId="54" xfId="0" applyNumberFormat="1" applyFont="1" applyFill="1" applyBorder="1" applyAlignment="1">
      <alignment horizontal="right" vertical="top"/>
    </xf>
    <xf numFmtId="4" fontId="70" fillId="42" borderId="80" xfId="0" applyNumberFormat="1" applyFont="1" applyFill="1" applyBorder="1" applyAlignment="1">
      <alignment horizontal="right" vertical="top"/>
    </xf>
    <xf numFmtId="4" fontId="0" fillId="0" borderId="71" xfId="0" applyNumberFormat="1" applyFont="1" applyBorder="1" applyAlignment="1">
      <alignment horizontal="right"/>
    </xf>
    <xf numFmtId="4" fontId="4" fillId="0" borderId="71" xfId="0" applyNumberFormat="1" applyFont="1" applyFill="1" applyBorder="1" applyAlignment="1">
      <alignment horizontal="right" vertical="top"/>
    </xf>
    <xf numFmtId="4" fontId="4" fillId="0" borderId="46" xfId="0" applyNumberFormat="1" applyFont="1" applyFill="1" applyBorder="1" applyAlignment="1">
      <alignment horizontal="right" vertical="top"/>
    </xf>
    <xf numFmtId="4" fontId="4" fillId="46" borderId="71" xfId="0" applyNumberFormat="1" applyFont="1" applyFill="1" applyBorder="1" applyAlignment="1">
      <alignment horizontal="right" vertical="top" wrapText="1"/>
    </xf>
    <xf numFmtId="4" fontId="0" fillId="46" borderId="71" xfId="0" applyNumberFormat="1" applyFont="1" applyFill="1" applyBorder="1" applyAlignment="1">
      <alignment horizontal="right"/>
    </xf>
    <xf numFmtId="4" fontId="0" fillId="46" borderId="16" xfId="0" applyNumberFormat="1" applyFont="1" applyFill="1" applyBorder="1" applyAlignment="1">
      <alignment horizontal="right"/>
    </xf>
    <xf numFmtId="4" fontId="0" fillId="39" borderId="54" xfId="42" applyNumberFormat="1" applyFont="1" applyFill="1" applyBorder="1" applyAlignment="1">
      <alignment horizontal="right"/>
      <protection/>
    </xf>
    <xf numFmtId="4" fontId="4" fillId="14" borderId="83" xfId="0" applyNumberFormat="1" applyFont="1" applyFill="1" applyBorder="1" applyAlignment="1">
      <alignment horizontal="center" vertical="center"/>
    </xf>
    <xf numFmtId="4" fontId="4" fillId="14" borderId="83" xfId="0" applyNumberFormat="1" applyFont="1" applyFill="1" applyBorder="1" applyAlignment="1">
      <alignment horizontal="center" vertical="center" wrapText="1"/>
    </xf>
    <xf numFmtId="4" fontId="0" fillId="34" borderId="49" xfId="42" applyNumberFormat="1" applyFont="1" applyFill="1" applyBorder="1" applyAlignment="1">
      <alignment horizontal="right" vertical="top"/>
      <protection/>
    </xf>
    <xf numFmtId="4" fontId="0" fillId="34" borderId="71" xfId="42" applyNumberFormat="1" applyFont="1" applyFill="1" applyBorder="1" applyAlignment="1">
      <alignment horizontal="right" vertical="top"/>
      <protection/>
    </xf>
    <xf numFmtId="192" fontId="0" fillId="0" borderId="106" xfId="0" applyNumberFormat="1" applyFont="1" applyFill="1" applyBorder="1" applyAlignment="1">
      <alignment horizontal="center" vertical="center" wrapText="1"/>
    </xf>
    <xf numFmtId="192" fontId="4" fillId="52" borderId="16" xfId="44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 vertical="top"/>
    </xf>
    <xf numFmtId="4" fontId="70" fillId="46" borderId="16" xfId="42" applyNumberFormat="1" applyFont="1" applyFill="1" applyBorder="1" applyAlignment="1">
      <alignment horizontal="right" vertical="center"/>
      <protection/>
    </xf>
    <xf numFmtId="4" fontId="67" fillId="53" borderId="16" xfId="42" applyNumberFormat="1" applyFont="1" applyFill="1" applyBorder="1" applyAlignment="1">
      <alignment horizontal="right" vertical="center"/>
      <protection/>
    </xf>
    <xf numFmtId="4" fontId="4" fillId="54" borderId="16" xfId="42" applyNumberFormat="1" applyFont="1" applyFill="1" applyBorder="1" applyAlignment="1">
      <alignment horizontal="right" vertical="center"/>
      <protection/>
    </xf>
    <xf numFmtId="49" fontId="0" fillId="0" borderId="76" xfId="42" applyNumberFormat="1" applyFont="1" applyFill="1" applyBorder="1" applyAlignment="1">
      <alignment horizontal="center"/>
      <protection/>
    </xf>
    <xf numFmtId="0" fontId="0" fillId="0" borderId="72" xfId="42" applyFont="1" applyFill="1" applyBorder="1" applyAlignment="1">
      <alignment horizontal="center"/>
      <protection/>
    </xf>
    <xf numFmtId="0" fontId="0" fillId="0" borderId="7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24" xfId="0" applyNumberFormat="1" applyFont="1" applyBorder="1" applyAlignment="1">
      <alignment horizontal="right" vertical="top"/>
    </xf>
    <xf numFmtId="4" fontId="0" fillId="0" borderId="71" xfId="46" applyNumberFormat="1" applyFont="1" applyFill="1" applyBorder="1" applyAlignment="1" applyProtection="1">
      <alignment horizontal="right" vertical="top"/>
      <protection locked="0"/>
    </xf>
    <xf numFmtId="4" fontId="0" fillId="0" borderId="40" xfId="46" applyNumberFormat="1" applyFont="1" applyFill="1" applyBorder="1" applyAlignment="1" applyProtection="1">
      <alignment horizontal="right" vertical="top"/>
      <protection locked="0"/>
    </xf>
    <xf numFmtId="4" fontId="0" fillId="0" borderId="24" xfId="42" applyNumberFormat="1" applyFont="1" applyFill="1" applyBorder="1" applyAlignment="1" applyProtection="1">
      <alignment horizontal="right" vertical="center"/>
      <protection locked="0"/>
    </xf>
    <xf numFmtId="49" fontId="4" fillId="42" borderId="107" xfId="42" applyNumberFormat="1" applyFont="1" applyFill="1" applyBorder="1" applyAlignment="1">
      <alignment horizontal="center" vertical="top"/>
      <protection/>
    </xf>
    <xf numFmtId="49" fontId="4" fillId="42" borderId="108" xfId="42" applyNumberFormat="1" applyFont="1" applyFill="1" applyBorder="1" applyAlignment="1">
      <alignment horizontal="center"/>
      <protection/>
    </xf>
    <xf numFmtId="0" fontId="0" fillId="42" borderId="108" xfId="42" applyFont="1" applyFill="1" applyBorder="1" applyAlignment="1">
      <alignment horizontal="center"/>
      <protection/>
    </xf>
    <xf numFmtId="49" fontId="69" fillId="46" borderId="108" xfId="42" applyNumberFormat="1" applyFont="1" applyFill="1" applyBorder="1" applyAlignment="1">
      <alignment horizontal="center"/>
      <protection/>
    </xf>
    <xf numFmtId="0" fontId="0" fillId="42" borderId="109" xfId="42" applyFont="1" applyFill="1" applyBorder="1" applyAlignment="1">
      <alignment horizontal="center"/>
      <protection/>
    </xf>
    <xf numFmtId="49" fontId="4" fillId="42" borderId="110" xfId="42" applyNumberFormat="1" applyFont="1" applyFill="1" applyBorder="1" applyAlignment="1">
      <alignment horizontal="center" vertical="top"/>
      <protection/>
    </xf>
    <xf numFmtId="49" fontId="0" fillId="34" borderId="111" xfId="42" applyNumberFormat="1" applyFont="1" applyFill="1" applyBorder="1" applyAlignment="1">
      <alignment horizontal="center"/>
      <protection/>
    </xf>
    <xf numFmtId="49" fontId="0" fillId="0" borderId="111" xfId="42" applyNumberFormat="1" applyFont="1" applyFill="1" applyBorder="1" applyAlignment="1">
      <alignment horizontal="center"/>
      <protection/>
    </xf>
    <xf numFmtId="49" fontId="0" fillId="47" borderId="111" xfId="42" applyNumberFormat="1" applyFont="1" applyFill="1" applyBorder="1" applyAlignment="1">
      <alignment horizontal="center"/>
      <protection/>
    </xf>
    <xf numFmtId="49" fontId="0" fillId="0" borderId="110" xfId="42" applyNumberFormat="1" applyFont="1" applyFill="1" applyBorder="1" applyAlignment="1">
      <alignment horizontal="center"/>
      <protection/>
    </xf>
    <xf numFmtId="4" fontId="4" fillId="47" borderId="16" xfId="42" applyNumberFormat="1" applyFont="1" applyFill="1" applyBorder="1" applyAlignment="1">
      <alignment horizontal="right" vertical="center"/>
      <protection/>
    </xf>
    <xf numFmtId="4" fontId="0" fillId="49" borderId="16" xfId="42" applyNumberFormat="1" applyFont="1" applyFill="1" applyBorder="1" applyAlignment="1">
      <alignment horizontal="right" vertical="center"/>
      <protection/>
    </xf>
    <xf numFmtId="4" fontId="4" fillId="55" borderId="16" xfId="42" applyNumberFormat="1" applyFont="1" applyFill="1" applyBorder="1" applyAlignment="1">
      <alignment horizontal="right" vertical="center"/>
      <protection/>
    </xf>
    <xf numFmtId="4" fontId="4" fillId="49" borderId="16" xfId="42" applyNumberFormat="1" applyFont="1" applyFill="1" applyBorder="1" applyAlignment="1">
      <alignment horizontal="right" vertical="center"/>
      <protection/>
    </xf>
    <xf numFmtId="4" fontId="4" fillId="0" borderId="29" xfId="42" applyNumberFormat="1" applyFont="1" applyBorder="1" applyAlignment="1">
      <alignment horizontal="right" vertical="center"/>
      <protection/>
    </xf>
    <xf numFmtId="4" fontId="4" fillId="47" borderId="10" xfId="42" applyNumberFormat="1" applyFont="1" applyFill="1" applyBorder="1" applyAlignment="1">
      <alignment horizontal="right" vertical="center"/>
      <protection/>
    </xf>
    <xf numFmtId="0" fontId="0" fillId="34" borderId="24" xfId="42" applyFont="1" applyFill="1" applyBorder="1" applyAlignment="1">
      <alignment horizontal="center"/>
      <protection/>
    </xf>
    <xf numFmtId="49" fontId="0" fillId="0" borderId="106" xfId="0" applyNumberFormat="1" applyFont="1" applyFill="1" applyBorder="1" applyAlignment="1">
      <alignment horizontal="center"/>
    </xf>
    <xf numFmtId="0" fontId="0" fillId="0" borderId="106" xfId="0" applyFont="1" applyFill="1" applyBorder="1" applyAlignment="1">
      <alignment horizontal="left" wrapText="1"/>
    </xf>
    <xf numFmtId="49" fontId="0" fillId="52" borderId="16" xfId="0" applyNumberFormat="1" applyFont="1" applyFill="1" applyBorder="1" applyAlignment="1">
      <alignment horizontal="center"/>
    </xf>
    <xf numFmtId="0" fontId="4" fillId="52" borderId="16" xfId="0" applyFont="1" applyFill="1" applyBorder="1" applyAlignment="1">
      <alignment horizontal="center" vertical="center"/>
    </xf>
    <xf numFmtId="4" fontId="0" fillId="47" borderId="24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56" borderId="16" xfId="42" applyNumberFormat="1" applyFont="1" applyFill="1" applyBorder="1" applyAlignment="1">
      <alignment horizontal="right" vertical="center"/>
      <protection/>
    </xf>
    <xf numFmtId="4" fontId="4" fillId="46" borderId="71" xfId="0" applyNumberFormat="1" applyFont="1" applyFill="1" applyBorder="1" applyAlignment="1">
      <alignment horizontal="right"/>
    </xf>
    <xf numFmtId="49" fontId="4" fillId="0" borderId="49" xfId="42" applyNumberFormat="1" applyFont="1" applyFill="1" applyBorder="1" applyAlignment="1">
      <alignment horizontal="center" vertical="top"/>
      <protection/>
    </xf>
    <xf numFmtId="182" fontId="4" fillId="0" borderId="49" xfId="42" applyNumberFormat="1" applyFont="1" applyFill="1" applyBorder="1" applyAlignment="1">
      <alignment horizontal="center" vertical="top"/>
      <protection/>
    </xf>
    <xf numFmtId="4" fontId="0" fillId="0" borderId="56" xfId="46" applyNumberFormat="1" applyFont="1" applyFill="1" applyBorder="1" applyAlignment="1">
      <alignment horizontal="right" vertical="top"/>
      <protection/>
    </xf>
    <xf numFmtId="4" fontId="0" fillId="47" borderId="80" xfId="42" applyNumberFormat="1" applyFont="1" applyFill="1" applyBorder="1" applyAlignment="1">
      <alignment horizontal="right" vertical="center"/>
      <protection/>
    </xf>
    <xf numFmtId="4" fontId="0" fillId="0" borderId="80" xfId="42" applyNumberFormat="1" applyFont="1" applyFill="1" applyBorder="1" applyAlignment="1" applyProtection="1">
      <alignment horizontal="right" vertical="center"/>
      <protection locked="0"/>
    </xf>
    <xf numFmtId="4" fontId="4" fillId="34" borderId="64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top"/>
      <protection/>
    </xf>
    <xf numFmtId="4" fontId="0" fillId="0" borderId="79" xfId="46" applyNumberFormat="1" applyFont="1" applyFill="1" applyBorder="1" applyAlignment="1">
      <alignment horizontal="right" vertical="top"/>
      <protection/>
    </xf>
    <xf numFmtId="4" fontId="0" fillId="0" borderId="79" xfId="46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/>
    </xf>
    <xf numFmtId="4" fontId="0" fillId="0" borderId="80" xfId="0" applyNumberFormat="1" applyFont="1" applyBorder="1" applyAlignment="1">
      <alignment horizontal="right" vertical="top"/>
    </xf>
    <xf numFmtId="0" fontId="0" fillId="0" borderId="54" xfId="0" applyFont="1" applyFill="1" applyBorder="1" applyAlignment="1">
      <alignment vertical="top"/>
    </xf>
    <xf numFmtId="4" fontId="0" fillId="34" borderId="54" xfId="42" applyNumberFormat="1" applyFont="1" applyFill="1" applyBorder="1" applyAlignment="1">
      <alignment horizontal="right" vertical="top"/>
      <protection/>
    </xf>
    <xf numFmtId="49" fontId="0" fillId="34" borderId="73" xfId="42" applyNumberFormat="1" applyFont="1" applyFill="1" applyBorder="1" applyAlignment="1">
      <alignment horizontal="center"/>
      <protection/>
    </xf>
    <xf numFmtId="49" fontId="0" fillId="34" borderId="66" xfId="42" applyNumberFormat="1" applyFont="1" applyFill="1" applyBorder="1" applyAlignment="1">
      <alignment horizontal="center"/>
      <protection/>
    </xf>
    <xf numFmtId="49" fontId="0" fillId="34" borderId="66" xfId="42" applyNumberFormat="1" applyFont="1" applyFill="1" applyBorder="1" applyAlignment="1">
      <alignment horizontal="center" vertical="top"/>
      <protection/>
    </xf>
    <xf numFmtId="0" fontId="0" fillId="47" borderId="24" xfId="42" applyFont="1" applyFill="1" applyBorder="1" applyAlignment="1">
      <alignment horizontal="center"/>
      <protection/>
    </xf>
    <xf numFmtId="49" fontId="4" fillId="42" borderId="80" xfId="42" applyNumberFormat="1" applyFont="1" applyFill="1" applyBorder="1" applyAlignment="1">
      <alignment horizontal="center" vertical="top"/>
      <protection/>
    </xf>
    <xf numFmtId="49" fontId="0" fillId="34" borderId="16" xfId="42" applyNumberFormat="1" applyFont="1" applyFill="1" applyBorder="1" applyAlignment="1">
      <alignment horizontal="center" vertical="top"/>
      <protection/>
    </xf>
    <xf numFmtId="0" fontId="0" fillId="0" borderId="16" xfId="0" applyFont="1" applyFill="1" applyBorder="1" applyAlignment="1">
      <alignment horizontal="left" vertical="top"/>
    </xf>
    <xf numFmtId="0" fontId="0" fillId="34" borderId="40" xfId="42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83" fontId="0" fillId="0" borderId="88" xfId="42" applyNumberFormat="1" applyFont="1" applyFill="1" applyBorder="1" applyAlignment="1">
      <alignment horizontal="center" vertical="top"/>
      <protection/>
    </xf>
    <xf numFmtId="0" fontId="0" fillId="0" borderId="89" xfId="0" applyFont="1" applyFill="1" applyBorder="1" applyAlignment="1">
      <alignment vertical="top"/>
    </xf>
    <xf numFmtId="0" fontId="0" fillId="0" borderId="4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54" borderId="16" xfId="45" applyFont="1" applyFill="1" applyBorder="1">
      <alignment/>
      <protection/>
    </xf>
    <xf numFmtId="190" fontId="12" fillId="54" borderId="16" xfId="45" applyNumberFormat="1" applyFont="1" applyFill="1" applyBorder="1" applyAlignment="1">
      <alignment horizontal="center" vertical="top"/>
      <protection/>
    </xf>
    <xf numFmtId="0" fontId="0" fillId="54" borderId="34" xfId="45" applyFont="1" applyFill="1" applyBorder="1">
      <alignment/>
      <protection/>
    </xf>
    <xf numFmtId="0" fontId="5" fillId="54" borderId="34" xfId="0" applyFont="1" applyFill="1" applyBorder="1" applyAlignment="1">
      <alignment vertical="top"/>
    </xf>
    <xf numFmtId="0" fontId="12" fillId="54" borderId="25" xfId="0" applyFont="1" applyFill="1" applyBorder="1" applyAlignment="1">
      <alignment vertical="top"/>
    </xf>
    <xf numFmtId="0" fontId="0" fillId="54" borderId="25" xfId="0" applyFont="1" applyFill="1" applyBorder="1" applyAlignment="1">
      <alignment/>
    </xf>
    <xf numFmtId="0" fontId="7" fillId="54" borderId="33" xfId="0" applyFont="1" applyFill="1" applyBorder="1" applyAlignment="1">
      <alignment/>
    </xf>
    <xf numFmtId="4" fontId="7" fillId="54" borderId="25" xfId="0" applyNumberFormat="1" applyFont="1" applyFill="1" applyBorder="1" applyAlignment="1">
      <alignment horizontal="right"/>
    </xf>
    <xf numFmtId="0" fontId="4" fillId="0" borderId="112" xfId="0" applyFont="1" applyFill="1" applyBorder="1" applyAlignment="1">
      <alignment horizontal="center" vertical="center" wrapText="1"/>
    </xf>
    <xf numFmtId="10" fontId="29" fillId="0" borderId="16" xfId="42" applyNumberFormat="1" applyFont="1" applyFill="1" applyBorder="1" applyAlignment="1">
      <alignment vertical="center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4" fontId="4" fillId="47" borderId="24" xfId="42" applyNumberFormat="1" applyFont="1" applyFill="1" applyBorder="1" applyAlignment="1">
      <alignment horizontal="right" vertical="center"/>
      <protection/>
    </xf>
    <xf numFmtId="4" fontId="0" fillId="0" borderId="80" xfId="46" applyNumberFormat="1" applyFont="1" applyFill="1" applyBorder="1" applyAlignment="1" applyProtection="1">
      <alignment horizontal="right" vertical="top"/>
      <protection locked="0"/>
    </xf>
    <xf numFmtId="4" fontId="0" fillId="0" borderId="113" xfId="0" applyNumberFormat="1" applyFont="1" applyBorder="1" applyAlignment="1">
      <alignment horizontal="righ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49" fontId="4" fillId="0" borderId="22" xfId="42" applyNumberFormat="1" applyFont="1" applyFill="1" applyBorder="1" applyAlignment="1">
      <alignment horizontal="center"/>
      <protection/>
    </xf>
    <xf numFmtId="4" fontId="25" fillId="0" borderId="10" xfId="0" applyNumberFormat="1" applyFont="1" applyFill="1" applyBorder="1" applyAlignment="1">
      <alignment/>
    </xf>
    <xf numFmtId="4" fontId="4" fillId="46" borderId="49" xfId="0" applyNumberFormat="1" applyFont="1" applyFill="1" applyBorder="1" applyAlignment="1">
      <alignment horizontal="right"/>
    </xf>
    <xf numFmtId="4" fontId="4" fillId="46" borderId="0" xfId="0" applyNumberFormat="1" applyFont="1" applyFill="1" applyBorder="1" applyAlignment="1">
      <alignment horizontal="right"/>
    </xf>
    <xf numFmtId="4" fontId="0" fillId="0" borderId="0" xfId="46" applyNumberFormat="1" applyFont="1" applyFill="1" applyBorder="1" applyAlignment="1">
      <alignment horizontal="right" vertical="top"/>
      <protection/>
    </xf>
    <xf numFmtId="4" fontId="0" fillId="0" borderId="54" xfId="42" applyNumberFormat="1" applyFont="1" applyFill="1" applyBorder="1" applyAlignment="1">
      <alignment horizontal="right" vertical="top"/>
      <protection/>
    </xf>
    <xf numFmtId="4" fontId="0" fillId="0" borderId="80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horizontal="right" vertical="top"/>
      <protection/>
    </xf>
    <xf numFmtId="0" fontId="4" fillId="46" borderId="27" xfId="0" applyFont="1" applyFill="1" applyBorder="1" applyAlignment="1">
      <alignment vertical="top" wrapText="1"/>
    </xf>
    <xf numFmtId="0" fontId="4" fillId="46" borderId="31" xfId="0" applyFont="1" applyFill="1" applyBorder="1" applyAlignment="1">
      <alignment vertical="top"/>
    </xf>
    <xf numFmtId="0" fontId="4" fillId="46" borderId="26" xfId="0" applyFont="1" applyFill="1" applyBorder="1" applyAlignment="1">
      <alignment vertical="top"/>
    </xf>
    <xf numFmtId="0" fontId="0" fillId="0" borderId="56" xfId="0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10" fontId="4" fillId="57" borderId="53" xfId="64" applyNumberFormat="1" applyFont="1" applyFill="1" applyBorder="1" applyAlignment="1">
      <alignment horizontal="center" vertical="center" wrapText="1"/>
      <protection/>
    </xf>
    <xf numFmtId="10" fontId="29" fillId="58" borderId="16" xfId="42" applyNumberFormat="1" applyFont="1" applyFill="1" applyBorder="1" applyAlignment="1">
      <alignment vertical="center"/>
      <protection/>
    </xf>
    <xf numFmtId="4" fontId="0" fillId="0" borderId="42" xfId="46" applyNumberFormat="1" applyFont="1" applyFill="1" applyBorder="1" applyAlignment="1" applyProtection="1">
      <alignment horizontal="right" vertical="top"/>
      <protection locked="0"/>
    </xf>
    <xf numFmtId="0" fontId="0" fillId="0" borderId="40" xfId="0" applyFont="1" applyFill="1" applyBorder="1" applyAlignment="1">
      <alignment horizontal="left" vertical="top"/>
    </xf>
    <xf numFmtId="0" fontId="0" fillId="0" borderId="47" xfId="0" applyFont="1" applyFill="1" applyBorder="1" applyAlignment="1">
      <alignment horizontal="left" vertical="top"/>
    </xf>
    <xf numFmtId="0" fontId="0" fillId="0" borderId="42" xfId="0" applyFont="1" applyFill="1" applyBorder="1" applyAlignment="1">
      <alignment horizontal="left" vertical="top"/>
    </xf>
    <xf numFmtId="0" fontId="0" fillId="0" borderId="22" xfId="42" applyFont="1" applyFill="1" applyBorder="1" applyAlignment="1">
      <alignment horizontal="center" vertical="center"/>
      <protection/>
    </xf>
    <xf numFmtId="0" fontId="0" fillId="0" borderId="23" xfId="42" applyFont="1" applyFill="1" applyBorder="1" applyAlignment="1">
      <alignment horizontal="center" vertical="center"/>
      <protection/>
    </xf>
    <xf numFmtId="4" fontId="4" fillId="0" borderId="16" xfId="42" applyNumberFormat="1" applyFont="1" applyFill="1" applyBorder="1" applyAlignment="1" applyProtection="1">
      <alignment horizontal="right" vertical="center"/>
      <protection locked="0"/>
    </xf>
    <xf numFmtId="186" fontId="4" fillId="56" borderId="93" xfId="45" applyNumberFormat="1" applyFont="1" applyFill="1" applyBorder="1" applyAlignment="1">
      <alignment horizontal="right" vertical="center"/>
      <protection/>
    </xf>
    <xf numFmtId="186" fontId="67" fillId="59" borderId="93" xfId="45" applyNumberFormat="1" applyFont="1" applyFill="1" applyBorder="1" applyAlignment="1">
      <alignment horizontal="right" vertical="center"/>
      <protection/>
    </xf>
    <xf numFmtId="180" fontId="12" fillId="0" borderId="114" xfId="45" applyNumberFormat="1" applyFont="1" applyFill="1" applyBorder="1" applyAlignment="1" applyProtection="1">
      <alignment horizontal="right" vertical="top"/>
      <protection locked="0"/>
    </xf>
    <xf numFmtId="184" fontId="8" fillId="33" borderId="114" xfId="45" applyNumberFormat="1" applyFont="1" applyFill="1" applyBorder="1" applyAlignment="1">
      <alignment horizontal="right" vertical="top"/>
      <protection/>
    </xf>
    <xf numFmtId="184" fontId="7" fillId="0" borderId="114" xfId="45" applyNumberFormat="1" applyFont="1" applyBorder="1" applyAlignment="1">
      <alignment horizontal="right" vertical="top"/>
      <protection/>
    </xf>
    <xf numFmtId="184" fontId="12" fillId="0" borderId="114" xfId="45" applyNumberFormat="1" applyFont="1" applyBorder="1" applyAlignment="1" applyProtection="1">
      <alignment horizontal="right" vertical="top"/>
      <protection locked="0"/>
    </xf>
    <xf numFmtId="186" fontId="7" fillId="0" borderId="115" xfId="45" applyNumberFormat="1" applyFont="1" applyBorder="1" applyAlignment="1">
      <alignment horizontal="right" vertical="center"/>
      <protection/>
    </xf>
    <xf numFmtId="186" fontId="0" fillId="0" borderId="16" xfId="45" applyNumberFormat="1" applyFont="1" applyBorder="1" applyAlignment="1">
      <alignment horizontal="right" vertical="center"/>
      <protection/>
    </xf>
    <xf numFmtId="184" fontId="5" fillId="54" borderId="114" xfId="45" applyNumberFormat="1" applyFont="1" applyFill="1" applyBorder="1" applyAlignment="1" applyProtection="1">
      <alignment horizontal="right" vertical="top"/>
      <protection locked="0"/>
    </xf>
    <xf numFmtId="180" fontId="8" fillId="33" borderId="114" xfId="45" applyNumberFormat="1" applyFont="1" applyFill="1" applyBorder="1" applyAlignment="1">
      <alignment horizontal="right" vertical="top"/>
      <protection/>
    </xf>
    <xf numFmtId="181" fontId="7" fillId="0" borderId="114" xfId="45" applyNumberFormat="1" applyFont="1" applyBorder="1" applyAlignment="1">
      <alignment horizontal="right" vertical="top"/>
      <protection/>
    </xf>
    <xf numFmtId="181" fontId="12" fillId="0" borderId="114" xfId="45" applyNumberFormat="1" applyFont="1" applyFill="1" applyBorder="1" applyAlignment="1" applyProtection="1">
      <alignment horizontal="right" vertical="top"/>
      <protection locked="0"/>
    </xf>
    <xf numFmtId="184" fontId="10" fillId="0" borderId="114" xfId="45" applyNumberFormat="1" applyFont="1" applyBorder="1" applyAlignment="1">
      <alignment horizontal="right" vertical="top"/>
      <protection/>
    </xf>
    <xf numFmtId="185" fontId="12" fillId="0" borderId="114" xfId="45" applyNumberFormat="1" applyFont="1" applyBorder="1" applyAlignment="1" applyProtection="1">
      <alignment horizontal="right" vertical="top"/>
      <protection locked="0"/>
    </xf>
    <xf numFmtId="181" fontId="8" fillId="33" borderId="114" xfId="45" applyNumberFormat="1" applyFont="1" applyFill="1" applyBorder="1" applyAlignment="1">
      <alignment horizontal="right" vertical="top"/>
      <protection/>
    </xf>
    <xf numFmtId="185" fontId="7" fillId="0" borderId="114" xfId="45" applyNumberFormat="1" applyFont="1" applyBorder="1" applyAlignment="1">
      <alignment horizontal="right" vertical="top"/>
      <protection/>
    </xf>
    <xf numFmtId="185" fontId="0" fillId="0" borderId="114" xfId="45" applyNumberFormat="1" applyFont="1" applyFill="1" applyBorder="1" applyAlignment="1" applyProtection="1">
      <alignment horizontal="right" vertical="top"/>
      <protection locked="0"/>
    </xf>
    <xf numFmtId="181" fontId="12" fillId="0" borderId="114" xfId="45" applyNumberFormat="1" applyFont="1" applyBorder="1" applyAlignment="1" applyProtection="1">
      <alignment horizontal="right" vertical="top"/>
      <protection locked="0"/>
    </xf>
    <xf numFmtId="181" fontId="0" fillId="0" borderId="114" xfId="45" applyNumberFormat="1" applyFont="1" applyFill="1" applyBorder="1" applyAlignment="1" applyProtection="1">
      <alignment horizontal="right" vertical="top"/>
      <protection locked="0"/>
    </xf>
    <xf numFmtId="180" fontId="12" fillId="0" borderId="114" xfId="45" applyNumberFormat="1" applyFont="1" applyBorder="1" applyAlignment="1">
      <alignment horizontal="right" vertical="top"/>
      <protection/>
    </xf>
    <xf numFmtId="184" fontId="12" fillId="0" borderId="114" xfId="45" applyNumberFormat="1" applyFont="1" applyFill="1" applyBorder="1" applyAlignment="1" applyProtection="1">
      <alignment horizontal="right" vertical="top"/>
      <protection locked="0"/>
    </xf>
    <xf numFmtId="184" fontId="12" fillId="47" borderId="114" xfId="45" applyNumberFormat="1" applyFont="1" applyFill="1" applyBorder="1" applyAlignment="1" applyProtection="1">
      <alignment horizontal="right" vertical="top"/>
      <protection locked="0"/>
    </xf>
    <xf numFmtId="184" fontId="10" fillId="47" borderId="114" xfId="45" applyNumberFormat="1" applyFont="1" applyFill="1" applyBorder="1" applyAlignment="1" applyProtection="1">
      <alignment horizontal="right" vertical="top"/>
      <protection locked="0"/>
    </xf>
    <xf numFmtId="185" fontId="7" fillId="0" borderId="114" xfId="45" applyNumberFormat="1" applyFont="1" applyBorder="1" applyAlignment="1" applyProtection="1">
      <alignment horizontal="right" vertical="top"/>
      <protection locked="0"/>
    </xf>
    <xf numFmtId="185" fontId="0" fillId="0" borderId="114" xfId="45" applyNumberFormat="1" applyFont="1" applyBorder="1" applyAlignment="1" applyProtection="1">
      <alignment horizontal="right" vertical="top"/>
      <protection locked="0"/>
    </xf>
    <xf numFmtId="184" fontId="0" fillId="0" borderId="114" xfId="45" applyNumberFormat="1" applyFont="1" applyFill="1" applyBorder="1" applyAlignment="1" applyProtection="1">
      <alignment horizontal="right" vertical="top"/>
      <protection locked="0"/>
    </xf>
    <xf numFmtId="184" fontId="0" fillId="0" borderId="114" xfId="45" applyNumberFormat="1" applyFont="1" applyBorder="1" applyAlignment="1">
      <alignment horizontal="right" vertical="top"/>
      <protection/>
    </xf>
    <xf numFmtId="184" fontId="0" fillId="0" borderId="114" xfId="45" applyNumberFormat="1" applyFont="1" applyFill="1" applyBorder="1" applyAlignment="1">
      <alignment horizontal="right" vertical="top"/>
      <protection/>
    </xf>
    <xf numFmtId="184" fontId="0" fillId="0" borderId="114" xfId="45" applyNumberFormat="1" applyFont="1" applyFill="1" applyBorder="1" applyAlignment="1" applyProtection="1">
      <alignment horizontal="right" vertical="top"/>
      <protection locked="0"/>
    </xf>
    <xf numFmtId="181" fontId="0" fillId="0" borderId="114" xfId="45" applyNumberFormat="1" applyFont="1" applyBorder="1" applyAlignment="1" applyProtection="1">
      <alignment horizontal="right" vertical="top"/>
      <protection locked="0"/>
    </xf>
    <xf numFmtId="184" fontId="9" fillId="35" borderId="114" xfId="45" applyNumberFormat="1" applyFont="1" applyFill="1" applyBorder="1" applyAlignment="1">
      <alignment horizontal="right" vertical="top"/>
      <protection/>
    </xf>
    <xf numFmtId="184" fontId="0" fillId="0" borderId="114" xfId="45" applyNumberFormat="1" applyFont="1" applyBorder="1" applyAlignment="1" applyProtection="1">
      <alignment horizontal="right" vertical="top"/>
      <protection locked="0"/>
    </xf>
    <xf numFmtId="187" fontId="4" fillId="0" borderId="114" xfId="45" applyNumberFormat="1" applyFont="1" applyBorder="1" applyAlignment="1">
      <alignment horizontal="right" vertical="top"/>
      <protection/>
    </xf>
    <xf numFmtId="187" fontId="9" fillId="35" borderId="114" xfId="45" applyNumberFormat="1" applyFont="1" applyFill="1" applyBorder="1" applyAlignment="1">
      <alignment horizontal="right" vertical="top"/>
      <protection/>
    </xf>
    <xf numFmtId="187" fontId="4" fillId="0" borderId="114" xfId="45" applyNumberFormat="1" applyFont="1" applyFill="1" applyBorder="1" applyAlignment="1">
      <alignment horizontal="right" vertical="top"/>
      <protection/>
    </xf>
    <xf numFmtId="187" fontId="11" fillId="0" borderId="114" xfId="45" applyNumberFormat="1" applyFont="1" applyBorder="1" applyAlignment="1" applyProtection="1">
      <alignment horizontal="right" vertical="top"/>
      <protection locked="0"/>
    </xf>
    <xf numFmtId="187" fontId="12" fillId="0" borderId="114" xfId="45" applyNumberFormat="1" applyFont="1" applyBorder="1" applyAlignment="1" applyProtection="1">
      <alignment horizontal="right" vertical="top"/>
      <protection locked="0"/>
    </xf>
    <xf numFmtId="187" fontId="0" fillId="0" borderId="114" xfId="45" applyNumberFormat="1" applyFont="1" applyFill="1" applyBorder="1">
      <alignment/>
      <protection/>
    </xf>
    <xf numFmtId="187" fontId="10" fillId="0" borderId="114" xfId="45" applyNumberFormat="1" applyFont="1" applyBorder="1" applyAlignment="1" applyProtection="1">
      <alignment horizontal="right" vertical="top"/>
      <protection locked="0"/>
    </xf>
    <xf numFmtId="187" fontId="4" fillId="0" borderId="116" xfId="45" applyNumberFormat="1" applyFont="1" applyBorder="1" applyAlignment="1">
      <alignment horizontal="right" vertical="top"/>
      <protection/>
    </xf>
    <xf numFmtId="186" fontId="4" fillId="0" borderId="114" xfId="45" applyNumberFormat="1" applyFont="1" applyFill="1" applyBorder="1">
      <alignment/>
      <protection/>
    </xf>
    <xf numFmtId="187" fontId="0" fillId="0" borderId="114" xfId="45" applyNumberFormat="1" applyFont="1" applyFill="1" applyBorder="1" applyAlignment="1">
      <alignment horizontal="right"/>
      <protection/>
    </xf>
    <xf numFmtId="187" fontId="0" fillId="0" borderId="116" xfId="45" applyNumberFormat="1" applyFont="1" applyBorder="1">
      <alignment/>
      <protection/>
    </xf>
    <xf numFmtId="186" fontId="4" fillId="0" borderId="117" xfId="45" applyNumberFormat="1" applyFont="1" applyFill="1" applyBorder="1">
      <alignment/>
      <protection/>
    </xf>
    <xf numFmtId="186" fontId="4" fillId="56" borderId="16" xfId="45" applyNumberFormat="1" applyFont="1" applyFill="1" applyBorder="1" applyAlignment="1">
      <alignment horizontal="right" vertical="center"/>
      <protection/>
    </xf>
    <xf numFmtId="186" fontId="7" fillId="0" borderId="16" xfId="45" applyNumberFormat="1" applyFont="1" applyFill="1" applyBorder="1" applyAlignment="1">
      <alignment horizontal="right" vertical="center"/>
      <protection/>
    </xf>
    <xf numFmtId="186" fontId="0" fillId="0" borderId="16" xfId="45" applyNumberFormat="1" applyFont="1" applyFill="1" applyBorder="1" applyAlignment="1">
      <alignment horizontal="right" vertical="center"/>
      <protection/>
    </xf>
    <xf numFmtId="186" fontId="4" fillId="51" borderId="16" xfId="45" applyNumberFormat="1" applyFont="1" applyFill="1" applyBorder="1" applyAlignment="1">
      <alignment horizontal="right" vertical="center"/>
      <protection/>
    </xf>
    <xf numFmtId="186" fontId="7" fillId="0" borderId="16" xfId="45" applyNumberFormat="1" applyFont="1" applyBorder="1" applyAlignment="1">
      <alignment horizontal="right" vertical="center"/>
      <protection/>
    </xf>
    <xf numFmtId="186" fontId="4" fillId="0" borderId="16" xfId="45" applyNumberFormat="1" applyFont="1" applyBorder="1" applyAlignment="1">
      <alignment horizontal="right" vertical="center"/>
      <protection/>
    </xf>
    <xf numFmtId="186" fontId="67" fillId="59" borderId="16" xfId="45" applyNumberFormat="1" applyFont="1" applyFill="1" applyBorder="1" applyAlignment="1">
      <alignment horizontal="right" vertical="center"/>
      <protection/>
    </xf>
    <xf numFmtId="186" fontId="73" fillId="56" borderId="16" xfId="45" applyNumberFormat="1" applyFont="1" applyFill="1" applyBorder="1" applyAlignment="1">
      <alignment horizontal="right" vertical="center"/>
      <protection/>
    </xf>
    <xf numFmtId="186" fontId="67" fillId="60" borderId="16" xfId="45" applyNumberFormat="1" applyFont="1" applyFill="1" applyBorder="1" applyAlignment="1">
      <alignment horizontal="right" vertical="center"/>
      <protection/>
    </xf>
    <xf numFmtId="0" fontId="4" fillId="54" borderId="16" xfId="45" applyFont="1" applyFill="1" applyBorder="1" applyAlignment="1">
      <alignment horizontal="left"/>
      <protection/>
    </xf>
    <xf numFmtId="4" fontId="12" fillId="54" borderId="25" xfId="0" applyNumberFormat="1" applyFont="1" applyFill="1" applyBorder="1" applyAlignment="1">
      <alignment horizontal="right" vertical="top"/>
    </xf>
    <xf numFmtId="0" fontId="7" fillId="0" borderId="34" xfId="45" applyFont="1" applyBorder="1" applyAlignment="1">
      <alignment horizontal="center"/>
      <protection/>
    </xf>
    <xf numFmtId="180" fontId="0" fillId="0" borderId="114" xfId="45" applyNumberFormat="1" applyFont="1" applyBorder="1" applyAlignment="1">
      <alignment horizontal="right" vertical="top"/>
      <protection/>
    </xf>
    <xf numFmtId="180" fontId="0" fillId="0" borderId="25" xfId="45" applyNumberFormat="1" applyFont="1" applyBorder="1" applyAlignment="1">
      <alignment horizontal="right" vertical="top"/>
      <protection/>
    </xf>
    <xf numFmtId="4" fontId="0" fillId="0" borderId="33" xfId="0" applyNumberFormat="1" applyFont="1" applyBorder="1" applyAlignment="1">
      <alignment/>
    </xf>
    <xf numFmtId="0" fontId="0" fillId="0" borderId="16" xfId="0" applyFont="1" applyBorder="1" applyAlignment="1">
      <alignment vertical="top"/>
    </xf>
    <xf numFmtId="4" fontId="0" fillId="0" borderId="24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4" fontId="0" fillId="0" borderId="80" xfId="0" applyNumberFormat="1" applyFont="1" applyBorder="1" applyAlignment="1">
      <alignment horizontal="right"/>
    </xf>
    <xf numFmtId="4" fontId="0" fillId="0" borderId="64" xfId="46" applyNumberFormat="1" applyFont="1" applyFill="1" applyBorder="1" applyAlignment="1">
      <alignment horizontal="right" vertical="top"/>
      <protection/>
    </xf>
    <xf numFmtId="4" fontId="0" fillId="49" borderId="80" xfId="42" applyNumberFormat="1" applyFont="1" applyFill="1" applyBorder="1" applyAlignment="1">
      <alignment horizontal="right" vertical="center"/>
      <protection/>
    </xf>
    <xf numFmtId="4" fontId="0" fillId="13" borderId="24" xfId="0" applyNumberFormat="1" applyFont="1" applyFill="1" applyBorder="1" applyAlignment="1">
      <alignment horizontal="right" vertical="top"/>
    </xf>
    <xf numFmtId="4" fontId="70" fillId="47" borderId="0" xfId="0" applyNumberFormat="1" applyFont="1" applyFill="1" applyBorder="1" applyAlignment="1">
      <alignment horizontal="right" wrapText="1" readingOrder="1"/>
    </xf>
    <xf numFmtId="4" fontId="70" fillId="42" borderId="49" xfId="42" applyNumberFormat="1" applyFont="1" applyFill="1" applyBorder="1" applyAlignment="1">
      <alignment horizontal="right" vertical="center"/>
      <protection/>
    </xf>
    <xf numFmtId="4" fontId="70" fillId="42" borderId="54" xfId="42" applyNumberFormat="1" applyFont="1" applyFill="1" applyBorder="1" applyAlignment="1">
      <alignment horizontal="right" vertical="center"/>
      <protection/>
    </xf>
    <xf numFmtId="0" fontId="69" fillId="42" borderId="22" xfId="42" applyFont="1" applyFill="1" applyBorder="1" applyAlignment="1">
      <alignment horizontal="center"/>
      <protection/>
    </xf>
    <xf numFmtId="4" fontId="70" fillId="46" borderId="80" xfId="42" applyNumberFormat="1" applyFont="1" applyFill="1" applyBorder="1" applyAlignment="1">
      <alignment horizontal="right" vertical="center"/>
      <protection/>
    </xf>
    <xf numFmtId="49" fontId="70" fillId="42" borderId="76" xfId="42" applyNumberFormat="1" applyFont="1" applyFill="1" applyBorder="1" applyAlignment="1">
      <alignment horizontal="center" vertical="top"/>
      <protection/>
    </xf>
    <xf numFmtId="49" fontId="70" fillId="42" borderId="72" xfId="42" applyNumberFormat="1" applyFont="1" applyFill="1" applyBorder="1" applyAlignment="1">
      <alignment horizontal="center"/>
      <protection/>
    </xf>
    <xf numFmtId="0" fontId="69" fillId="42" borderId="72" xfId="42" applyFont="1" applyFill="1" applyBorder="1" applyAlignment="1">
      <alignment horizontal="center"/>
      <protection/>
    </xf>
    <xf numFmtId="4" fontId="70" fillId="42" borderId="80" xfId="42" applyNumberFormat="1" applyFont="1" applyFill="1" applyBorder="1" applyAlignment="1">
      <alignment horizontal="right" vertical="center"/>
      <protection/>
    </xf>
    <xf numFmtId="49" fontId="70" fillId="42" borderId="107" xfId="42" applyNumberFormat="1" applyFont="1" applyFill="1" applyBorder="1" applyAlignment="1">
      <alignment horizontal="center" vertical="top"/>
      <protection/>
    </xf>
    <xf numFmtId="49" fontId="70" fillId="42" borderId="108" xfId="42" applyNumberFormat="1" applyFont="1" applyFill="1" applyBorder="1" applyAlignment="1">
      <alignment horizontal="center"/>
      <protection/>
    </xf>
    <xf numFmtId="0" fontId="69" fillId="42" borderId="108" xfId="42" applyFont="1" applyFill="1" applyBorder="1" applyAlignment="1">
      <alignment horizontal="center"/>
      <protection/>
    </xf>
    <xf numFmtId="0" fontId="69" fillId="42" borderId="109" xfId="42" applyFont="1" applyFill="1" applyBorder="1" applyAlignment="1">
      <alignment horizontal="center"/>
      <protection/>
    </xf>
    <xf numFmtId="4" fontId="70" fillId="42" borderId="118" xfId="42" applyNumberFormat="1" applyFont="1" applyFill="1" applyBorder="1" applyAlignment="1">
      <alignment horizontal="right" vertical="top"/>
      <protection/>
    </xf>
    <xf numFmtId="4" fontId="70" fillId="42" borderId="119" xfId="42" applyNumberFormat="1" applyFont="1" applyFill="1" applyBorder="1" applyAlignment="1">
      <alignment horizontal="right" vertical="top"/>
      <protection/>
    </xf>
    <xf numFmtId="4" fontId="70" fillId="46" borderId="120" xfId="42" applyNumberFormat="1" applyFont="1" applyFill="1" applyBorder="1" applyAlignment="1">
      <alignment horizontal="right" vertical="top"/>
      <protection/>
    </xf>
    <xf numFmtId="4" fontId="70" fillId="46" borderId="121" xfId="42" applyNumberFormat="1" applyFont="1" applyFill="1" applyBorder="1" applyAlignment="1">
      <alignment horizontal="right" vertical="top"/>
      <protection/>
    </xf>
    <xf numFmtId="4" fontId="70" fillId="42" borderId="120" xfId="42" applyNumberFormat="1" applyFont="1" applyFill="1" applyBorder="1" applyAlignment="1">
      <alignment horizontal="right" vertical="center"/>
      <protection/>
    </xf>
    <xf numFmtId="4" fontId="70" fillId="42" borderId="71" xfId="42" applyNumberFormat="1" applyFont="1" applyFill="1" applyBorder="1" applyAlignment="1">
      <alignment horizontal="right" vertical="top"/>
      <protection/>
    </xf>
    <xf numFmtId="4" fontId="70" fillId="42" borderId="0" xfId="42" applyNumberFormat="1" applyFont="1" applyFill="1" applyBorder="1" applyAlignment="1">
      <alignment horizontal="right" vertical="top"/>
      <protection/>
    </xf>
    <xf numFmtId="4" fontId="70" fillId="46" borderId="16" xfId="42" applyNumberFormat="1" applyFont="1" applyFill="1" applyBorder="1" applyAlignment="1">
      <alignment horizontal="right" vertical="top"/>
      <protection/>
    </xf>
    <xf numFmtId="4" fontId="0" fillId="0" borderId="25" xfId="0" applyNumberFormat="1" applyFont="1" applyBorder="1" applyAlignment="1">
      <alignment horizontal="right"/>
    </xf>
    <xf numFmtId="182" fontId="12" fillId="0" borderId="17" xfId="45" applyNumberFormat="1" applyFont="1" applyBorder="1" applyAlignment="1">
      <alignment horizontal="center" vertical="top"/>
      <protection/>
    </xf>
    <xf numFmtId="182" fontId="5" fillId="0" borderId="16" xfId="45" applyNumberFormat="1" applyFont="1" applyFill="1" applyBorder="1" applyAlignment="1">
      <alignment horizontal="left" vertical="top"/>
      <protection/>
    </xf>
    <xf numFmtId="182" fontId="5" fillId="0" borderId="16" xfId="45" applyNumberFormat="1" applyFont="1" applyBorder="1" applyAlignment="1">
      <alignment horizontal="center" vertical="top"/>
      <protection/>
    </xf>
    <xf numFmtId="182" fontId="12" fillId="0" borderId="16" xfId="45" applyNumberFormat="1" applyFont="1" applyBorder="1" applyAlignment="1">
      <alignment horizontal="center" vertical="top"/>
      <protection/>
    </xf>
    <xf numFmtId="182" fontId="5" fillId="0" borderId="34" xfId="45" applyNumberFormat="1" applyFont="1" applyBorder="1" applyAlignment="1">
      <alignment horizontal="center" vertical="top"/>
      <protection/>
    </xf>
    <xf numFmtId="187" fontId="0" fillId="0" borderId="114" xfId="45" applyNumberFormat="1" applyFont="1" applyFill="1" applyBorder="1">
      <alignment/>
      <protection/>
    </xf>
    <xf numFmtId="182" fontId="12" fillId="0" borderId="16" xfId="45" applyNumberFormat="1" applyFont="1" applyFill="1" applyBorder="1" applyAlignment="1">
      <alignment horizontal="center" vertical="top"/>
      <protection/>
    </xf>
    <xf numFmtId="0" fontId="5" fillId="0" borderId="25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189" fontId="10" fillId="0" borderId="34" xfId="45" applyNumberFormat="1" applyFont="1" applyBorder="1" applyAlignment="1">
      <alignment horizontal="left" vertical="top"/>
      <protection/>
    </xf>
    <xf numFmtId="187" fontId="67" fillId="35" borderId="18" xfId="45" applyNumberFormat="1" applyFont="1" applyFill="1" applyBorder="1" applyAlignment="1">
      <alignment horizontal="right" vertical="top"/>
      <protection/>
    </xf>
    <xf numFmtId="4" fontId="4" fillId="0" borderId="54" xfId="0" applyNumberFormat="1" applyFont="1" applyFill="1" applyBorder="1" applyAlignment="1">
      <alignment horizontal="right" vertical="center"/>
    </xf>
    <xf numFmtId="4" fontId="27" fillId="0" borderId="16" xfId="60" applyNumberFormat="1" applyFont="1" applyFill="1" applyBorder="1" applyAlignment="1">
      <alignment horizontal="center" vertical="center" wrapText="1"/>
      <protection/>
    </xf>
    <xf numFmtId="4" fontId="29" fillId="39" borderId="16" xfId="42" applyNumberFormat="1" applyFont="1" applyFill="1" applyBorder="1" applyAlignment="1">
      <alignment vertical="center"/>
      <protection/>
    </xf>
    <xf numFmtId="4" fontId="28" fillId="0" borderId="16" xfId="42" applyNumberFormat="1" applyFont="1" applyBorder="1" applyAlignment="1">
      <alignment vertical="center"/>
      <protection/>
    </xf>
    <xf numFmtId="4" fontId="28" fillId="0" borderId="16" xfId="42" applyNumberFormat="1" applyFont="1" applyFill="1" applyBorder="1" applyAlignment="1" applyProtection="1">
      <alignment vertical="center"/>
      <protection/>
    </xf>
    <xf numFmtId="4" fontId="25" fillId="43" borderId="16" xfId="42" applyNumberFormat="1" applyFont="1" applyFill="1" applyBorder="1" applyAlignment="1">
      <alignment vertical="center" wrapText="1"/>
      <protection/>
    </xf>
    <xf numFmtId="4" fontId="12" fillId="0" borderId="0" xfId="0" applyNumberFormat="1" applyFont="1" applyAlignment="1">
      <alignment/>
    </xf>
    <xf numFmtId="10" fontId="0" fillId="0" borderId="53" xfId="64" applyNumberFormat="1" applyFont="1" applyFill="1" applyBorder="1" applyAlignment="1">
      <alignment horizontal="center" vertical="center" wrapText="1"/>
      <protection/>
    </xf>
    <xf numFmtId="10" fontId="0" fillId="44" borderId="53" xfId="64" applyNumberFormat="1" applyFont="1" applyFill="1" applyBorder="1" applyAlignment="1">
      <alignment horizontal="center" vertical="center" wrapText="1"/>
      <protection/>
    </xf>
    <xf numFmtId="10" fontId="28" fillId="0" borderId="16" xfId="42" applyNumberFormat="1" applyFont="1" applyFill="1" applyBorder="1" applyAlignment="1">
      <alignment vertical="center"/>
      <protection/>
    </xf>
    <xf numFmtId="4" fontId="26" fillId="0" borderId="18" xfId="0" applyNumberFormat="1" applyFont="1" applyFill="1" applyBorder="1" applyAlignment="1">
      <alignment horizontal="right" vertical="center" wrapText="1"/>
    </xf>
    <xf numFmtId="4" fontId="26" fillId="0" borderId="20" xfId="0" applyNumberFormat="1" applyFont="1" applyFill="1" applyBorder="1" applyAlignment="1">
      <alignment horizontal="right" vertical="center" wrapText="1"/>
    </xf>
    <xf numFmtId="0" fontId="26" fillId="0" borderId="120" xfId="0" applyFont="1" applyBorder="1" applyAlignment="1">
      <alignment/>
    </xf>
    <xf numFmtId="4" fontId="26" fillId="0" borderId="120" xfId="0" applyNumberFormat="1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26" fillId="0" borderId="1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5" xfId="0" applyFont="1" applyBorder="1" applyAlignment="1">
      <alignment/>
    </xf>
    <xf numFmtId="4" fontId="0" fillId="0" borderId="25" xfId="0" applyNumberFormat="1" applyFont="1" applyBorder="1" applyAlignment="1">
      <alignment horizontal="right" vertical="top"/>
    </xf>
    <xf numFmtId="0" fontId="0" fillId="0" borderId="16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47" borderId="34" xfId="0" applyFont="1" applyFill="1" applyBorder="1" applyAlignment="1">
      <alignment horizontal="left" vertical="top"/>
    </xf>
    <xf numFmtId="0" fontId="0" fillId="47" borderId="25" xfId="0" applyFont="1" applyFill="1" applyBorder="1" applyAlignment="1">
      <alignment horizontal="left" vertical="top"/>
    </xf>
    <xf numFmtId="0" fontId="0" fillId="47" borderId="33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4" fillId="46" borderId="63" xfId="0" applyFont="1" applyFill="1" applyBorder="1" applyAlignment="1">
      <alignment vertical="top" wrapText="1"/>
    </xf>
    <xf numFmtId="0" fontId="4" fillId="46" borderId="123" xfId="0" applyFont="1" applyFill="1" applyBorder="1" applyAlignment="1">
      <alignment vertical="top"/>
    </xf>
    <xf numFmtId="0" fontId="4" fillId="46" borderId="124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25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4" fillId="46" borderId="123" xfId="0" applyFont="1" applyFill="1" applyBorder="1" applyAlignment="1">
      <alignment vertical="top" wrapText="1"/>
    </xf>
    <xf numFmtId="0" fontId="4" fillId="46" borderId="124" xfId="0" applyFont="1" applyFill="1" applyBorder="1" applyAlignment="1">
      <alignment vertical="top" wrapText="1"/>
    </xf>
    <xf numFmtId="0" fontId="0" fillId="0" borderId="78" xfId="0" applyFont="1" applyFill="1" applyBorder="1" applyAlignment="1">
      <alignment horizontal="left" vertical="top" wrapText="1"/>
    </xf>
    <xf numFmtId="0" fontId="0" fillId="0" borderId="95" xfId="0" applyFont="1" applyFill="1" applyBorder="1" applyAlignment="1">
      <alignment horizontal="left" vertical="top" wrapText="1"/>
    </xf>
    <xf numFmtId="0" fontId="0" fillId="0" borderId="126" xfId="0" applyFont="1" applyFill="1" applyBorder="1" applyAlignment="1">
      <alignment horizontal="left" vertical="top"/>
    </xf>
    <xf numFmtId="0" fontId="0" fillId="0" borderId="123" xfId="0" applyFont="1" applyFill="1" applyBorder="1" applyAlignment="1">
      <alignment horizontal="left" vertical="top"/>
    </xf>
    <xf numFmtId="0" fontId="0" fillId="0" borderId="127" xfId="0" applyFont="1" applyFill="1" applyBorder="1" applyAlignment="1">
      <alignment horizontal="left" vertical="top"/>
    </xf>
    <xf numFmtId="0" fontId="70" fillId="42" borderId="86" xfId="0" applyFont="1" applyFill="1" applyBorder="1" applyAlignment="1">
      <alignment horizontal="left" vertical="top"/>
    </xf>
    <xf numFmtId="0" fontId="70" fillId="46" borderId="87" xfId="0" applyFont="1" applyFill="1" applyBorder="1" applyAlignment="1">
      <alignment horizontal="left" vertical="top"/>
    </xf>
    <xf numFmtId="0" fontId="70" fillId="46" borderId="84" xfId="0" applyFont="1" applyFill="1" applyBorder="1" applyAlignment="1">
      <alignment horizontal="left" vertical="top"/>
    </xf>
    <xf numFmtId="0" fontId="0" fillId="39" borderId="27" xfId="42" applyFont="1" applyFill="1" applyBorder="1" applyAlignment="1">
      <alignment horizontal="left"/>
      <protection/>
    </xf>
    <xf numFmtId="0" fontId="0" fillId="39" borderId="31" xfId="42" applyFont="1" applyFill="1" applyBorder="1" applyAlignment="1">
      <alignment horizontal="left"/>
      <protection/>
    </xf>
    <xf numFmtId="0" fontId="0" fillId="39" borderId="125" xfId="42" applyFont="1" applyFill="1" applyBorder="1" applyAlignment="1">
      <alignment horizontal="left"/>
      <protection/>
    </xf>
    <xf numFmtId="0" fontId="70" fillId="42" borderId="86" xfId="0" applyFont="1" applyFill="1" applyBorder="1" applyAlignment="1">
      <alignment vertical="top"/>
    </xf>
    <xf numFmtId="0" fontId="70" fillId="42" borderId="87" xfId="0" applyFont="1" applyFill="1" applyBorder="1" applyAlignment="1">
      <alignment vertical="top"/>
    </xf>
    <xf numFmtId="0" fontId="70" fillId="42" borderId="84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0" fillId="0" borderId="27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70" fillId="42" borderId="78" xfId="0" applyFont="1" applyFill="1" applyBorder="1" applyAlignment="1">
      <alignment horizontal="left" vertical="top"/>
    </xf>
    <xf numFmtId="0" fontId="70" fillId="42" borderId="95" xfId="0" applyFont="1" applyFill="1" applyBorder="1" applyAlignment="1">
      <alignment horizontal="left" vertical="top"/>
    </xf>
    <xf numFmtId="0" fontId="70" fillId="42" borderId="113" xfId="0" applyFont="1" applyFill="1" applyBorder="1" applyAlignment="1">
      <alignment horizontal="left" vertical="top"/>
    </xf>
    <xf numFmtId="0" fontId="4" fillId="0" borderId="128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0" xfId="0" applyFont="1" applyFill="1" applyBorder="1" applyAlignment="1">
      <alignment vertical="top"/>
    </xf>
    <xf numFmtId="0" fontId="0" fillId="0" borderId="64" xfId="0" applyFont="1" applyFill="1" applyBorder="1" applyAlignment="1">
      <alignment vertical="top"/>
    </xf>
    <xf numFmtId="0" fontId="4" fillId="42" borderId="63" xfId="0" applyFont="1" applyFill="1" applyBorder="1" applyAlignment="1">
      <alignment horizontal="left" vertical="top" wrapText="1"/>
    </xf>
    <xf numFmtId="0" fontId="4" fillId="42" borderId="123" xfId="0" applyFont="1" applyFill="1" applyBorder="1" applyAlignment="1">
      <alignment horizontal="left" vertical="top" wrapText="1"/>
    </xf>
    <xf numFmtId="0" fontId="4" fillId="42" borderId="124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/>
    </xf>
    <xf numFmtId="0" fontId="4" fillId="0" borderId="64" xfId="0" applyFont="1" applyFill="1" applyBorder="1" applyAlignment="1">
      <alignment horizontal="left" vertical="top"/>
    </xf>
    <xf numFmtId="0" fontId="4" fillId="33" borderId="56" xfId="42" applyFont="1" applyFill="1" applyBorder="1" applyAlignment="1">
      <alignment horizontal="left"/>
      <protection/>
    </xf>
    <xf numFmtId="0" fontId="4" fillId="33" borderId="54" xfId="42" applyFont="1" applyFill="1" applyBorder="1" applyAlignment="1">
      <alignment horizontal="left"/>
      <protection/>
    </xf>
    <xf numFmtId="0" fontId="4" fillId="0" borderId="3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70" fillId="42" borderId="78" xfId="0" applyFont="1" applyFill="1" applyBorder="1" applyAlignment="1">
      <alignment vertical="top"/>
    </xf>
    <xf numFmtId="0" fontId="70" fillId="42" borderId="95" xfId="0" applyFont="1" applyFill="1" applyBorder="1" applyAlignment="1">
      <alignment vertical="top"/>
    </xf>
    <xf numFmtId="0" fontId="70" fillId="42" borderId="113" xfId="0" applyFont="1" applyFill="1" applyBorder="1" applyAlignment="1">
      <alignment vertical="top"/>
    </xf>
    <xf numFmtId="0" fontId="4" fillId="46" borderId="89" xfId="0" applyFont="1" applyFill="1" applyBorder="1" applyAlignment="1">
      <alignment vertical="top" wrapText="1"/>
    </xf>
    <xf numFmtId="0" fontId="4" fillId="46" borderId="47" xfId="0" applyFont="1" applyFill="1" applyBorder="1" applyAlignment="1">
      <alignment vertical="top"/>
    </xf>
    <xf numFmtId="0" fontId="4" fillId="33" borderId="27" xfId="42" applyFont="1" applyFill="1" applyBorder="1" applyAlignment="1">
      <alignment horizontal="left"/>
      <protection/>
    </xf>
    <xf numFmtId="0" fontId="4" fillId="33" borderId="31" xfId="42" applyFont="1" applyFill="1" applyBorder="1" applyAlignment="1">
      <alignment horizontal="left"/>
      <protection/>
    </xf>
    <xf numFmtId="0" fontId="70" fillId="42" borderId="130" xfId="0" applyFont="1" applyFill="1" applyBorder="1" applyAlignment="1">
      <alignment vertical="top"/>
    </xf>
    <xf numFmtId="0" fontId="70" fillId="42" borderId="25" xfId="0" applyFont="1" applyFill="1" applyBorder="1" applyAlignment="1">
      <alignment vertical="top"/>
    </xf>
    <xf numFmtId="0" fontId="0" fillId="0" borderId="78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/>
    </xf>
    <xf numFmtId="0" fontId="0" fillId="0" borderId="131" xfId="0" applyFont="1" applyFill="1" applyBorder="1" applyAlignment="1">
      <alignment horizontal="left" vertical="top"/>
    </xf>
    <xf numFmtId="0" fontId="0" fillId="0" borderId="95" xfId="0" applyFont="1" applyFill="1" applyBorder="1" applyAlignment="1">
      <alignment horizontal="left" vertical="top"/>
    </xf>
    <xf numFmtId="0" fontId="0" fillId="0" borderId="60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11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top"/>
    </xf>
    <xf numFmtId="0" fontId="0" fillId="0" borderId="78" xfId="0" applyFont="1" applyBorder="1" applyAlignment="1">
      <alignment horizontal="left" vertical="top"/>
    </xf>
    <xf numFmtId="0" fontId="0" fillId="0" borderId="95" xfId="0" applyFont="1" applyBorder="1" applyAlignment="1">
      <alignment horizontal="left" vertical="top"/>
    </xf>
    <xf numFmtId="0" fontId="0" fillId="0" borderId="113" xfId="0" applyFont="1" applyBorder="1" applyAlignment="1">
      <alignment horizontal="left" vertical="top"/>
    </xf>
    <xf numFmtId="0" fontId="4" fillId="46" borderId="56" xfId="0" applyFont="1" applyFill="1" applyBorder="1" applyAlignment="1">
      <alignment vertical="top" wrapText="1"/>
    </xf>
    <xf numFmtId="0" fontId="4" fillId="46" borderId="54" xfId="0" applyFont="1" applyFill="1" applyBorder="1" applyAlignment="1">
      <alignment vertical="top"/>
    </xf>
    <xf numFmtId="0" fontId="4" fillId="46" borderId="49" xfId="0" applyFont="1" applyFill="1" applyBorder="1" applyAlignment="1">
      <alignment vertical="top"/>
    </xf>
    <xf numFmtId="0" fontId="0" fillId="0" borderId="2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70" fillId="42" borderId="22" xfId="0" applyFont="1" applyFill="1" applyBorder="1" applyAlignment="1">
      <alignment vertical="top" wrapText="1"/>
    </xf>
    <xf numFmtId="0" fontId="70" fillId="42" borderId="22" xfId="0" applyFont="1" applyFill="1" applyBorder="1" applyAlignment="1">
      <alignment vertical="top"/>
    </xf>
    <xf numFmtId="0" fontId="4" fillId="0" borderId="26" xfId="0" applyFont="1" applyFill="1" applyBorder="1" applyAlignment="1">
      <alignment horizontal="left" vertical="top" wrapText="1"/>
    </xf>
    <xf numFmtId="0" fontId="70" fillId="42" borderId="132" xfId="0" applyFont="1" applyFill="1" applyBorder="1" applyAlignment="1">
      <alignment vertical="top"/>
    </xf>
    <xf numFmtId="0" fontId="0" fillId="0" borderId="78" xfId="0" applyFont="1" applyFill="1" applyBorder="1" applyAlignment="1">
      <alignment horizontal="left" vertical="top"/>
    </xf>
    <xf numFmtId="0" fontId="0" fillId="0" borderId="113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 vertical="top"/>
    </xf>
    <xf numFmtId="0" fontId="0" fillId="0" borderId="130" xfId="0" applyFont="1" applyFill="1" applyBorder="1" applyAlignment="1">
      <alignment horizontal="lef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0" fontId="0" fillId="0" borderId="56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78" xfId="0" applyFont="1" applyBorder="1" applyAlignment="1">
      <alignment vertical="top"/>
    </xf>
    <xf numFmtId="0" fontId="0" fillId="0" borderId="95" xfId="0" applyFont="1" applyBorder="1" applyAlignment="1">
      <alignment vertical="top"/>
    </xf>
    <xf numFmtId="0" fontId="0" fillId="0" borderId="113" xfId="0" applyFont="1" applyBorder="1" applyAlignment="1">
      <alignment vertical="top"/>
    </xf>
    <xf numFmtId="0" fontId="0" fillId="47" borderId="27" xfId="0" applyFont="1" applyFill="1" applyBorder="1" applyAlignment="1">
      <alignment horizontal="left" vertical="top"/>
    </xf>
    <xf numFmtId="0" fontId="0" fillId="47" borderId="31" xfId="0" applyFont="1" applyFill="1" applyBorder="1" applyAlignment="1">
      <alignment horizontal="left" vertical="top"/>
    </xf>
    <xf numFmtId="0" fontId="0" fillId="47" borderId="26" xfId="0" applyFont="1" applyFill="1" applyBorder="1" applyAlignment="1">
      <alignment horizontal="left" vertical="top"/>
    </xf>
    <xf numFmtId="0" fontId="0" fillId="47" borderId="60" xfId="0" applyFont="1" applyFill="1" applyBorder="1" applyAlignment="1">
      <alignment vertical="top"/>
    </xf>
    <xf numFmtId="0" fontId="0" fillId="47" borderId="64" xfId="0" applyFont="1" applyFill="1" applyBorder="1" applyAlignment="1">
      <alignment vertical="top"/>
    </xf>
    <xf numFmtId="0" fontId="0" fillId="47" borderId="75" xfId="0" applyFont="1" applyFill="1" applyBorder="1" applyAlignment="1">
      <alignment vertical="top"/>
    </xf>
    <xf numFmtId="0" fontId="4" fillId="0" borderId="2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70" fillId="42" borderId="86" xfId="0" applyFont="1" applyFill="1" applyBorder="1" applyAlignment="1">
      <alignment vertical="top" wrapText="1"/>
    </xf>
    <xf numFmtId="0" fontId="67" fillId="35" borderId="56" xfId="0" applyFont="1" applyFill="1" applyBorder="1" applyAlignment="1">
      <alignment vertical="top"/>
    </xf>
    <xf numFmtId="0" fontId="67" fillId="35" borderId="54" xfId="0" applyFont="1" applyFill="1" applyBorder="1" applyAlignment="1">
      <alignment vertical="top"/>
    </xf>
    <xf numFmtId="0" fontId="67" fillId="35" borderId="49" xfId="0" applyFont="1" applyFill="1" applyBorder="1" applyAlignment="1">
      <alignment vertical="top"/>
    </xf>
    <xf numFmtId="0" fontId="4" fillId="42" borderId="123" xfId="0" applyFont="1" applyFill="1" applyBorder="1" applyAlignment="1">
      <alignment horizontal="left" vertical="top"/>
    </xf>
    <xf numFmtId="0" fontId="4" fillId="42" borderId="124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56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4" fillId="0" borderId="60" xfId="0" applyFont="1" applyFill="1" applyBorder="1" applyAlignment="1">
      <alignment vertical="top"/>
    </xf>
    <xf numFmtId="0" fontId="4" fillId="0" borderId="64" xfId="0" applyFont="1" applyFill="1" applyBorder="1" applyAlignment="1">
      <alignment vertical="top"/>
    </xf>
    <xf numFmtId="0" fontId="0" fillId="39" borderId="82" xfId="42" applyFont="1" applyFill="1" applyBorder="1" applyAlignment="1">
      <alignment horizontal="left"/>
      <protection/>
    </xf>
    <xf numFmtId="0" fontId="0" fillId="39" borderId="87" xfId="42" applyFont="1" applyFill="1" applyBorder="1" applyAlignment="1">
      <alignment horizontal="left"/>
      <protection/>
    </xf>
    <xf numFmtId="0" fontId="0" fillId="39" borderId="96" xfId="42" applyFont="1" applyFill="1" applyBorder="1" applyAlignment="1">
      <alignment horizontal="left"/>
      <protection/>
    </xf>
    <xf numFmtId="0" fontId="0" fillId="0" borderId="89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70" fillId="42" borderId="16" xfId="0" applyFont="1" applyFill="1" applyBorder="1" applyAlignment="1">
      <alignment horizontal="left" vertical="top"/>
    </xf>
    <xf numFmtId="0" fontId="70" fillId="46" borderId="16" xfId="0" applyFont="1" applyFill="1" applyBorder="1" applyAlignment="1">
      <alignment horizontal="left" vertical="top"/>
    </xf>
    <xf numFmtId="0" fontId="0" fillId="0" borderId="60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4" fillId="42" borderId="27" xfId="0" applyFont="1" applyFill="1" applyBorder="1" applyAlignment="1">
      <alignment vertical="center" wrapText="1"/>
    </xf>
    <xf numFmtId="0" fontId="4" fillId="42" borderId="31" xfId="0" applyFont="1" applyFill="1" applyBorder="1" applyAlignment="1">
      <alignment vertical="center"/>
    </xf>
    <xf numFmtId="0" fontId="4" fillId="42" borderId="26" xfId="0" applyFont="1" applyFill="1" applyBorder="1" applyAlignment="1">
      <alignment vertical="center"/>
    </xf>
    <xf numFmtId="0" fontId="0" fillId="47" borderId="16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vertical="top"/>
    </xf>
    <xf numFmtId="0" fontId="4" fillId="33" borderId="27" xfId="0" applyFont="1" applyFill="1" applyBorder="1" applyAlignment="1">
      <alignment horizontal="left" vertical="top"/>
    </xf>
    <xf numFmtId="0" fontId="4" fillId="33" borderId="31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46" borderId="27" xfId="0" applyFont="1" applyFill="1" applyBorder="1" applyAlignment="1">
      <alignment horizontal="left" vertical="center" wrapText="1"/>
    </xf>
    <xf numFmtId="0" fontId="4" fillId="46" borderId="31" xfId="0" applyFont="1" applyFill="1" applyBorder="1" applyAlignment="1">
      <alignment horizontal="left" vertical="center"/>
    </xf>
    <xf numFmtId="0" fontId="4" fillId="46" borderId="26" xfId="0" applyFont="1" applyFill="1" applyBorder="1" applyAlignment="1">
      <alignment horizontal="left" vertical="center"/>
    </xf>
    <xf numFmtId="0" fontId="4" fillId="46" borderId="86" xfId="0" applyFont="1" applyFill="1" applyBorder="1" applyAlignment="1">
      <alignment horizontal="left" vertical="top" wrapText="1"/>
    </xf>
    <xf numFmtId="0" fontId="4" fillId="46" borderId="87" xfId="0" applyFont="1" applyFill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0" fillId="0" borderId="49" xfId="0" applyFont="1" applyBorder="1" applyAlignment="1">
      <alignment vertical="top"/>
    </xf>
    <xf numFmtId="0" fontId="0" fillId="0" borderId="75" xfId="0" applyFont="1" applyBorder="1" applyAlignment="1">
      <alignment horizontal="left" vertical="top"/>
    </xf>
    <xf numFmtId="0" fontId="67" fillId="35" borderId="133" xfId="0" applyFont="1" applyFill="1" applyBorder="1" applyAlignment="1">
      <alignment vertical="top"/>
    </xf>
    <xf numFmtId="0" fontId="67" fillId="35" borderId="134" xfId="0" applyFont="1" applyFill="1" applyBorder="1" applyAlignment="1">
      <alignment vertical="top"/>
    </xf>
    <xf numFmtId="0" fontId="67" fillId="35" borderId="135" xfId="0" applyFont="1" applyFill="1" applyBorder="1" applyAlignment="1">
      <alignment vertical="top"/>
    </xf>
    <xf numFmtId="0" fontId="67" fillId="35" borderId="56" xfId="0" applyFont="1" applyFill="1" applyBorder="1" applyAlignment="1">
      <alignment vertical="center" wrapText="1"/>
    </xf>
    <xf numFmtId="0" fontId="67" fillId="35" borderId="54" xfId="0" applyFont="1" applyFill="1" applyBorder="1" applyAlignment="1">
      <alignment vertical="center"/>
    </xf>
    <xf numFmtId="0" fontId="67" fillId="35" borderId="49" xfId="0" applyFont="1" applyFill="1" applyBorder="1" applyAlignment="1">
      <alignment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36" xfId="0" applyFont="1" applyBorder="1" applyAlignment="1">
      <alignment horizontal="center"/>
    </xf>
    <xf numFmtId="0" fontId="4" fillId="0" borderId="27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60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4" fillId="46" borderId="27" xfId="0" applyFont="1" applyFill="1" applyBorder="1" applyAlignment="1">
      <alignment vertical="top" wrapText="1"/>
    </xf>
    <xf numFmtId="0" fontId="4" fillId="46" borderId="31" xfId="0" applyFont="1" applyFill="1" applyBorder="1" applyAlignment="1">
      <alignment vertical="top" wrapText="1"/>
    </xf>
    <xf numFmtId="0" fontId="4" fillId="46" borderId="26" xfId="0" applyFont="1" applyFill="1" applyBorder="1" applyAlignment="1">
      <alignment vertical="top" wrapText="1"/>
    </xf>
    <xf numFmtId="0" fontId="4" fillId="46" borderId="27" xfId="0" applyFont="1" applyFill="1" applyBorder="1" applyAlignment="1">
      <alignment horizontal="left" vertical="top" wrapText="1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7" xfId="0" applyFont="1" applyFill="1" applyBorder="1" applyAlignment="1">
      <alignment horizontal="left" vertical="top" wrapText="1"/>
    </xf>
    <xf numFmtId="0" fontId="0" fillId="46" borderId="31" xfId="0" applyFont="1" applyFill="1" applyBorder="1" applyAlignment="1">
      <alignment horizontal="left"/>
    </xf>
    <xf numFmtId="0" fontId="70" fillId="42" borderId="138" xfId="0" applyFont="1" applyFill="1" applyBorder="1" applyAlignment="1">
      <alignment vertical="top"/>
    </xf>
    <xf numFmtId="0" fontId="70" fillId="42" borderId="139" xfId="0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25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/>
    </xf>
    <xf numFmtId="0" fontId="0" fillId="0" borderId="36" xfId="0" applyFont="1" applyFill="1" applyBorder="1" applyAlignment="1">
      <alignment horizontal="left" vertical="top"/>
    </xf>
    <xf numFmtId="0" fontId="0" fillId="0" borderId="140" xfId="0" applyFont="1" applyFill="1" applyBorder="1" applyAlignment="1">
      <alignment horizontal="left" vertical="top"/>
    </xf>
    <xf numFmtId="0" fontId="0" fillId="0" borderId="141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40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9" fillId="35" borderId="34" xfId="0" applyFont="1" applyFill="1" applyBorder="1" applyAlignment="1">
      <alignment vertical="top"/>
    </xf>
    <xf numFmtId="0" fontId="9" fillId="35" borderId="25" xfId="0" applyFont="1" applyFill="1" applyBorder="1" applyAlignment="1">
      <alignment vertical="top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2" fillId="0" borderId="34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10" fillId="0" borderId="3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9" fillId="35" borderId="33" xfId="0" applyFont="1" applyFill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34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5" fillId="0" borderId="0" xfId="45" applyFont="1" applyBorder="1" applyAlignment="1">
      <alignment horizontal="center" vertical="top"/>
      <protection/>
    </xf>
    <xf numFmtId="0" fontId="5" fillId="0" borderId="128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4" fontId="0" fillId="46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12" fillId="0" borderId="25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186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54" borderId="34" xfId="0" applyFont="1" applyFill="1" applyBorder="1" applyAlignment="1">
      <alignment horizontal="left" vertical="top" wrapText="1"/>
    </xf>
    <xf numFmtId="0" fontId="5" fillId="54" borderId="25" xfId="0" applyFont="1" applyFill="1" applyBorder="1" applyAlignment="1">
      <alignment horizontal="left" vertical="top" wrapText="1"/>
    </xf>
    <xf numFmtId="0" fontId="5" fillId="54" borderId="33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25" fillId="0" borderId="128" xfId="0" applyFont="1" applyFill="1" applyBorder="1" applyAlignment="1">
      <alignment horizontal="center" vertical="center" wrapText="1"/>
    </xf>
    <xf numFmtId="0" fontId="25" fillId="0" borderId="143" xfId="0" applyFont="1" applyFill="1" applyBorder="1" applyAlignment="1">
      <alignment horizontal="center" vertical="center" wrapText="1"/>
    </xf>
    <xf numFmtId="0" fontId="25" fillId="0" borderId="12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5" fillId="43" borderId="16" xfId="60" applyFont="1" applyFill="1" applyBorder="1" applyAlignment="1">
      <alignment horizontal="center" vertical="center" wrapText="1"/>
      <protection/>
    </xf>
    <xf numFmtId="49" fontId="4" fillId="0" borderId="87" xfId="60" applyNumberFormat="1" applyFont="1" applyBorder="1" applyAlignment="1">
      <alignment horizontal="center" vertical="center" wrapText="1"/>
      <protection/>
    </xf>
    <xf numFmtId="0" fontId="25" fillId="43" borderId="34" xfId="60" applyFont="1" applyFill="1" applyBorder="1" applyAlignment="1">
      <alignment horizontal="center" vertical="center" wrapText="1"/>
      <protection/>
    </xf>
    <xf numFmtId="0" fontId="25" fillId="43" borderId="33" xfId="60" applyFont="1" applyFill="1" applyBorder="1" applyAlignment="1">
      <alignment horizontal="center" vertical="center" wrapText="1"/>
      <protection/>
    </xf>
    <xf numFmtId="4" fontId="25" fillId="43" borderId="16" xfId="42" applyNumberFormat="1" applyFont="1" applyFill="1" applyBorder="1" applyAlignment="1">
      <alignment horizontal="center" vertical="center" wrapText="1"/>
      <protection/>
    </xf>
    <xf numFmtId="10" fontId="25" fillId="43" borderId="16" xfId="60" applyNumberFormat="1" applyFont="1" applyFill="1" applyBorder="1" applyAlignment="1">
      <alignment horizontal="center" vertical="center" wrapText="1"/>
      <protection/>
    </xf>
    <xf numFmtId="4" fontId="25" fillId="43" borderId="16" xfId="60" applyNumberFormat="1" applyFont="1" applyFill="1" applyBorder="1" applyAlignment="1">
      <alignment horizontal="center" vertical="center" wrapText="1"/>
      <protection/>
    </xf>
    <xf numFmtId="0" fontId="4" fillId="33" borderId="63" xfId="42" applyFont="1" applyFill="1" applyBorder="1" applyAlignment="1">
      <alignment horizontal="left"/>
      <protection/>
    </xf>
    <xf numFmtId="0" fontId="4" fillId="33" borderId="123" xfId="42" applyFont="1" applyFill="1" applyBorder="1" applyAlignment="1">
      <alignment horizontal="left"/>
      <protection/>
    </xf>
    <xf numFmtId="0" fontId="0" fillId="47" borderId="60" xfId="0" applyFont="1" applyFill="1" applyBorder="1" applyAlignment="1">
      <alignment horizontal="left" vertical="top"/>
    </xf>
    <xf numFmtId="0" fontId="0" fillId="47" borderId="64" xfId="0" applyFont="1" applyFill="1" applyBorder="1" applyAlignment="1">
      <alignment horizontal="left" vertical="top"/>
    </xf>
    <xf numFmtId="0" fontId="0" fillId="47" borderId="75" xfId="0" applyFont="1" applyFill="1" applyBorder="1" applyAlignment="1">
      <alignment horizontal="left" vertical="top"/>
    </xf>
    <xf numFmtId="0" fontId="0" fillId="0" borderId="31" xfId="0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rihodi -stara tab." xfId="45"/>
    <cellStyle name="Comma_rashodi-2010.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ill>
        <patternFill>
          <bgColor indexed="29"/>
        </patternFill>
      </fill>
    </dxf>
    <dxf/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C8C8C8"/>
      <rgbColor rgb="00FCFC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209550</xdr:colOff>
      <xdr:row>159</xdr:row>
      <xdr:rowOff>57150</xdr:rowOff>
    </xdr:from>
    <xdr:ext cx="19050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4191000" y="22593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.2.2.47\finansija\Users\Finansija1\AppData\Local\Microsoft\Windows\Temporary%20Internet%20Files\Content.Outlook\B3NK28NV\SKGO-PROG.BUD&#381;ET\Model%20odlu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ter4\finansija\finansija_group\Predmeti%202013\1,2,3,4,5\odluka%20budzet2013\LP_Tabe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КОРИСНИЦИМА"/>
      <sheetName val="По основ. нам."/>
      <sheetName val="Рачун финансирања"/>
      <sheetName val="Приџ,прим vs Расх,изд"/>
      <sheetName val="Оптшти део - (6)"/>
      <sheetName val="Капитални расходи"/>
      <sheetName val="Програмска"/>
      <sheetName val="Расх по функц. "/>
      <sheetName val="Класификације"/>
    </sheetNames>
    <sheetDataSet>
      <sheetData sheetId="1">
        <row r="86">
          <cell r="F86">
            <v>0</v>
          </cell>
        </row>
      </sheetData>
      <sheetData sheetId="6">
        <row r="598">
          <cell r="G598">
            <v>0</v>
          </cell>
        </row>
      </sheetData>
      <sheetData sheetId="7">
        <row r="139">
          <cell r="F1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_3-Obracun"/>
    </sheetNames>
    <definedNames>
      <definedName name="Sheet1.Izvo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52"/>
  <sheetViews>
    <sheetView zoomScale="87" zoomScaleNormal="87" zoomScalePageLayoutView="0" workbookViewId="0" topLeftCell="A1">
      <pane xSplit="10" ySplit="6" topLeftCell="M7" activePane="bottomRight" state="frozen"/>
      <selection pane="topLeft" activeCell="B1" sqref="B1"/>
      <selection pane="topRight" activeCell="J1" sqref="J1"/>
      <selection pane="bottomLeft" activeCell="B7" sqref="B7"/>
      <selection pane="bottomRight" activeCell="Q486" sqref="Q486"/>
    </sheetView>
  </sheetViews>
  <sheetFormatPr defaultColWidth="8.8515625" defaultRowHeight="12.75"/>
  <cols>
    <col min="1" max="1" width="2.8515625" style="335" hidden="1" customWidth="1"/>
    <col min="2" max="2" width="3.57421875" style="408" customWidth="1"/>
    <col min="3" max="3" width="5.7109375" style="408" customWidth="1"/>
    <col min="4" max="4" width="5.421875" style="333" customWidth="1"/>
    <col min="5" max="5" width="11.140625" style="408" customWidth="1"/>
    <col min="6" max="6" width="6.57421875" style="333" customWidth="1"/>
    <col min="7" max="7" width="6.00390625" style="333" customWidth="1"/>
    <col min="8" max="8" width="7.00390625" style="335" customWidth="1"/>
    <col min="9" max="9" width="20.28125" style="335" customWidth="1"/>
    <col min="10" max="10" width="15.00390625" style="335" customWidth="1"/>
    <col min="11" max="11" width="16.00390625" style="384" hidden="1" customWidth="1"/>
    <col min="12" max="12" width="16.57421875" style="384" hidden="1" customWidth="1"/>
    <col min="13" max="13" width="16.00390625" style="342" customWidth="1"/>
    <col min="14" max="14" width="14.421875" style="335" customWidth="1"/>
    <col min="15" max="15" width="14.57421875" style="335" customWidth="1"/>
    <col min="16" max="16" width="15.8515625" style="335" customWidth="1"/>
    <col min="17" max="17" width="15.00390625" style="335" customWidth="1"/>
    <col min="18" max="18" width="11.57421875" style="335" hidden="1" customWidth="1"/>
    <col min="19" max="19" width="14.140625" style="335" customWidth="1"/>
    <col min="20" max="20" width="14.140625" style="335" hidden="1" customWidth="1"/>
    <col min="21" max="21" width="16.421875" style="346" customWidth="1"/>
    <col min="22" max="23" width="16.00390625" style="346" customWidth="1"/>
    <col min="24" max="26" width="16.00390625" style="335" customWidth="1"/>
    <col min="27" max="27" width="14.8515625" style="335" customWidth="1"/>
    <col min="28" max="32" width="8.8515625" style="335" customWidth="1"/>
    <col min="33" max="16384" width="8.8515625" style="335" customWidth="1"/>
  </cols>
  <sheetData>
    <row r="1" spans="2:3" ht="12.75">
      <c r="B1" s="44" t="s">
        <v>131</v>
      </c>
      <c r="C1" s="45"/>
    </row>
    <row r="2" spans="2:16" ht="12.75">
      <c r="B2" s="46" t="s">
        <v>132</v>
      </c>
      <c r="I2" s="1442" t="s">
        <v>1593</v>
      </c>
      <c r="J2" s="1442"/>
      <c r="K2" s="1442"/>
      <c r="L2" s="1442"/>
      <c r="M2" s="1442"/>
      <c r="N2" s="1442"/>
      <c r="O2" s="1442"/>
      <c r="P2" s="1442"/>
    </row>
    <row r="3" spans="6:16" ht="12.75">
      <c r="F3" s="47"/>
      <c r="G3" s="47"/>
      <c r="H3" s="47"/>
      <c r="I3" s="48"/>
      <c r="J3" s="578"/>
      <c r="K3" s="844"/>
      <c r="L3" s="844"/>
      <c r="M3" s="578"/>
      <c r="N3" s="578"/>
      <c r="O3" s="578"/>
      <c r="P3" s="578"/>
    </row>
    <row r="4" spans="6:23" ht="27.75" customHeight="1">
      <c r="F4" s="47"/>
      <c r="G4" s="47"/>
      <c r="H4" s="47"/>
      <c r="I4" s="317"/>
      <c r="J4" s="169"/>
      <c r="K4" s="844"/>
      <c r="L4" s="844"/>
      <c r="M4" s="1423"/>
      <c r="N4" s="1424"/>
      <c r="O4" s="1424"/>
      <c r="P4" s="1424"/>
      <c r="Q4" s="1424"/>
      <c r="R4" s="1424"/>
      <c r="S4" s="1424"/>
      <c r="T4" s="1424"/>
      <c r="U4" s="1424"/>
      <c r="V4" s="335"/>
      <c r="W4" s="335"/>
    </row>
    <row r="5" spans="2:23" ht="21.75" customHeight="1" thickBot="1">
      <c r="B5" s="49"/>
      <c r="C5" s="409"/>
      <c r="D5" s="50"/>
      <c r="E5" s="49"/>
      <c r="F5" s="410"/>
      <c r="G5" s="410"/>
      <c r="H5" s="411"/>
      <c r="I5" s="411"/>
      <c r="J5" s="411"/>
      <c r="K5" s="845"/>
      <c r="L5" s="845"/>
      <c r="M5" s="387"/>
      <c r="N5" s="363"/>
      <c r="O5" s="363"/>
      <c r="P5" s="363"/>
      <c r="R5" s="335" t="s">
        <v>1458</v>
      </c>
      <c r="S5" s="363"/>
      <c r="T5" s="363"/>
      <c r="U5" s="767"/>
      <c r="V5" s="695"/>
      <c r="W5" s="346" t="s">
        <v>1458</v>
      </c>
    </row>
    <row r="6" spans="2:23" ht="81" customHeight="1" thickBot="1" thickTop="1">
      <c r="B6" s="69" t="s">
        <v>127</v>
      </c>
      <c r="C6" s="70" t="s">
        <v>128</v>
      </c>
      <c r="D6" s="70" t="s">
        <v>129</v>
      </c>
      <c r="E6" s="267" t="s">
        <v>278</v>
      </c>
      <c r="F6" s="70" t="s">
        <v>277</v>
      </c>
      <c r="G6" s="71" t="s">
        <v>130</v>
      </c>
      <c r="H6" s="1425" t="s">
        <v>76</v>
      </c>
      <c r="I6" s="1425"/>
      <c r="J6" s="1425"/>
      <c r="K6" s="1020" t="s">
        <v>1570</v>
      </c>
      <c r="L6" s="1021" t="s">
        <v>1569</v>
      </c>
      <c r="M6" s="160" t="s">
        <v>1592</v>
      </c>
      <c r="N6" s="160" t="s">
        <v>1290</v>
      </c>
      <c r="O6" s="160" t="s">
        <v>1193</v>
      </c>
      <c r="P6" s="160" t="s">
        <v>1194</v>
      </c>
      <c r="Q6" s="160" t="s">
        <v>1195</v>
      </c>
      <c r="R6" s="160" t="s">
        <v>1196</v>
      </c>
      <c r="S6" s="160" t="s">
        <v>1197</v>
      </c>
      <c r="T6" s="364" t="s">
        <v>1165</v>
      </c>
      <c r="U6" s="808" t="s">
        <v>1450</v>
      </c>
      <c r="V6" s="808" t="s">
        <v>1468</v>
      </c>
      <c r="W6" s="808" t="s">
        <v>1504</v>
      </c>
    </row>
    <row r="7" spans="2:23" s="484" customFormat="1" ht="12.75">
      <c r="B7" s="478">
        <v>1</v>
      </c>
      <c r="C7" s="479"/>
      <c r="D7" s="480"/>
      <c r="E7" s="481"/>
      <c r="F7" s="480"/>
      <c r="G7" s="480"/>
      <c r="H7" s="1417" t="s">
        <v>77</v>
      </c>
      <c r="I7" s="1418"/>
      <c r="J7" s="1419"/>
      <c r="K7" s="846">
        <f aca="true" t="shared" si="0" ref="K7:S7">K8+K25</f>
        <v>10487000</v>
      </c>
      <c r="L7" s="846">
        <f t="shared" si="0"/>
        <v>3118487.9899999998</v>
      </c>
      <c r="M7" s="846">
        <f t="shared" si="0"/>
        <v>9961000</v>
      </c>
      <c r="N7" s="492">
        <f t="shared" si="0"/>
        <v>0</v>
      </c>
      <c r="O7" s="492">
        <f t="shared" si="0"/>
        <v>0</v>
      </c>
      <c r="P7" s="492">
        <f t="shared" si="0"/>
        <v>0</v>
      </c>
      <c r="Q7" s="492">
        <f t="shared" si="0"/>
        <v>0</v>
      </c>
      <c r="R7" s="492">
        <f t="shared" si="0"/>
        <v>0</v>
      </c>
      <c r="S7" s="492">
        <f t="shared" si="0"/>
        <v>0</v>
      </c>
      <c r="T7" s="493">
        <f>SUM(N7:S7)</f>
        <v>0</v>
      </c>
      <c r="U7" s="809">
        <f aca="true" t="shared" si="1" ref="U7:U22">M7+N7+O7+P7+Q7+R7+S7</f>
        <v>9961000</v>
      </c>
      <c r="V7" s="809">
        <f>U7</f>
        <v>9961000</v>
      </c>
      <c r="W7" s="809">
        <f>U7</f>
        <v>9961000</v>
      </c>
    </row>
    <row r="8" spans="2:23" s="668" customFormat="1" ht="12.75">
      <c r="B8" s="617"/>
      <c r="C8" s="618"/>
      <c r="D8" s="594"/>
      <c r="E8" s="593" t="s">
        <v>1180</v>
      </c>
      <c r="F8" s="594"/>
      <c r="G8" s="595"/>
      <c r="H8" s="1287" t="s">
        <v>1179</v>
      </c>
      <c r="I8" s="1288"/>
      <c r="J8" s="1288"/>
      <c r="K8" s="889">
        <f>K9</f>
        <v>10287000</v>
      </c>
      <c r="L8" s="889">
        <f>L9</f>
        <v>3118487.9899999998</v>
      </c>
      <c r="M8" s="889">
        <f>M9</f>
        <v>9761000</v>
      </c>
      <c r="N8" s="619">
        <f aca="true" t="shared" si="2" ref="N8:S8">N9</f>
        <v>0</v>
      </c>
      <c r="O8" s="619">
        <f t="shared" si="2"/>
        <v>0</v>
      </c>
      <c r="P8" s="619">
        <f t="shared" si="2"/>
        <v>0</v>
      </c>
      <c r="Q8" s="619">
        <f t="shared" si="2"/>
        <v>0</v>
      </c>
      <c r="R8" s="619">
        <f t="shared" si="2"/>
        <v>0</v>
      </c>
      <c r="S8" s="619">
        <f t="shared" si="2"/>
        <v>0</v>
      </c>
      <c r="T8" s="620">
        <f aca="true" t="shared" si="3" ref="T8:T71">SUM(N8:S8)</f>
        <v>0</v>
      </c>
      <c r="U8" s="1027">
        <f t="shared" si="1"/>
        <v>9761000</v>
      </c>
      <c r="V8" s="822">
        <f aca="true" t="shared" si="4" ref="V8:V72">U8</f>
        <v>9761000</v>
      </c>
      <c r="W8" s="822">
        <f aca="true" t="shared" si="5" ref="W8:W72">U8</f>
        <v>9761000</v>
      </c>
    </row>
    <row r="9" spans="2:23" ht="14.25" customHeight="1">
      <c r="B9" s="270"/>
      <c r="C9" s="271"/>
      <c r="D9" s="412"/>
      <c r="E9" s="332" t="s">
        <v>1181</v>
      </c>
      <c r="F9" s="412"/>
      <c r="G9" s="413"/>
      <c r="H9" s="1310" t="s">
        <v>1182</v>
      </c>
      <c r="I9" s="1378"/>
      <c r="J9" s="1378"/>
      <c r="K9" s="984">
        <f aca="true" t="shared" si="6" ref="K9:S9">K10</f>
        <v>10287000</v>
      </c>
      <c r="L9" s="984">
        <f t="shared" si="6"/>
        <v>3118487.9899999998</v>
      </c>
      <c r="M9" s="984">
        <f t="shared" si="6"/>
        <v>9761000</v>
      </c>
      <c r="N9" s="276">
        <f t="shared" si="6"/>
        <v>0</v>
      </c>
      <c r="O9" s="276">
        <f t="shared" si="6"/>
        <v>0</v>
      </c>
      <c r="P9" s="276">
        <f t="shared" si="6"/>
        <v>0</v>
      </c>
      <c r="Q9" s="276">
        <f t="shared" si="6"/>
        <v>0</v>
      </c>
      <c r="R9" s="276">
        <f t="shared" si="6"/>
        <v>0</v>
      </c>
      <c r="S9" s="276">
        <f t="shared" si="6"/>
        <v>0</v>
      </c>
      <c r="T9" s="321">
        <f t="shared" si="3"/>
        <v>0</v>
      </c>
      <c r="U9" s="819">
        <f t="shared" si="1"/>
        <v>9761000</v>
      </c>
      <c r="V9" s="635">
        <f t="shared" si="4"/>
        <v>9761000</v>
      </c>
      <c r="W9" s="635">
        <f t="shared" si="5"/>
        <v>9761000</v>
      </c>
    </row>
    <row r="10" spans="2:23" ht="24.75" customHeight="1">
      <c r="B10" s="414"/>
      <c r="C10" s="415"/>
      <c r="D10" s="56">
        <v>110</v>
      </c>
      <c r="E10" s="58"/>
      <c r="F10" s="416"/>
      <c r="G10" s="417"/>
      <c r="H10" s="1426" t="s">
        <v>1198</v>
      </c>
      <c r="I10" s="1297"/>
      <c r="J10" s="1297"/>
      <c r="K10" s="812">
        <f aca="true" t="shared" si="7" ref="K10:S10">SUM(K11:K24)</f>
        <v>10287000</v>
      </c>
      <c r="L10" s="812">
        <f t="shared" si="7"/>
        <v>3118487.9899999998</v>
      </c>
      <c r="M10" s="812">
        <f t="shared" si="7"/>
        <v>9761000</v>
      </c>
      <c r="N10" s="599">
        <f t="shared" si="7"/>
        <v>0</v>
      </c>
      <c r="O10" s="599">
        <f t="shared" si="7"/>
        <v>0</v>
      </c>
      <c r="P10" s="599">
        <f t="shared" si="7"/>
        <v>0</v>
      </c>
      <c r="Q10" s="599">
        <f t="shared" si="7"/>
        <v>0</v>
      </c>
      <c r="R10" s="599">
        <f t="shared" si="7"/>
        <v>0</v>
      </c>
      <c r="S10" s="599">
        <f t="shared" si="7"/>
        <v>0</v>
      </c>
      <c r="T10" s="600">
        <f t="shared" si="3"/>
        <v>0</v>
      </c>
      <c r="U10" s="1048">
        <f t="shared" si="1"/>
        <v>9761000</v>
      </c>
      <c r="V10" s="811">
        <f t="shared" si="4"/>
        <v>9761000</v>
      </c>
      <c r="W10" s="1048">
        <f t="shared" si="5"/>
        <v>9761000</v>
      </c>
    </row>
    <row r="11" spans="2:23" s="342" customFormat="1" ht="12.75">
      <c r="B11" s="336"/>
      <c r="C11" s="343"/>
      <c r="D11" s="338"/>
      <c r="E11" s="343"/>
      <c r="F11" s="354">
        <v>1</v>
      </c>
      <c r="G11" s="418">
        <v>411</v>
      </c>
      <c r="H11" s="1263" t="s">
        <v>27</v>
      </c>
      <c r="I11" s="1264"/>
      <c r="J11" s="1265"/>
      <c r="K11" s="857">
        <v>3976000</v>
      </c>
      <c r="L11" s="857">
        <v>1257721.15</v>
      </c>
      <c r="M11" s="857">
        <v>3440000</v>
      </c>
      <c r="N11" s="395">
        <v>0</v>
      </c>
      <c r="O11" s="395">
        <v>0</v>
      </c>
      <c r="P11" s="395">
        <v>0</v>
      </c>
      <c r="Q11" s="398">
        <v>0</v>
      </c>
      <c r="R11" s="398">
        <v>0</v>
      </c>
      <c r="S11" s="398">
        <v>0</v>
      </c>
      <c r="T11" s="398">
        <f t="shared" si="3"/>
        <v>0</v>
      </c>
      <c r="U11" s="818">
        <f t="shared" si="1"/>
        <v>3440000</v>
      </c>
      <c r="V11" s="591">
        <f t="shared" si="4"/>
        <v>3440000</v>
      </c>
      <c r="W11" s="818">
        <f t="shared" si="5"/>
        <v>3440000</v>
      </c>
    </row>
    <row r="12" spans="2:23" s="342" customFormat="1" ht="12.75">
      <c r="B12" s="336"/>
      <c r="C12" s="343"/>
      <c r="D12" s="338"/>
      <c r="E12" s="343"/>
      <c r="F12" s="354">
        <v>2</v>
      </c>
      <c r="G12" s="418">
        <v>412</v>
      </c>
      <c r="H12" s="1263" t="s">
        <v>78</v>
      </c>
      <c r="I12" s="1264"/>
      <c r="J12" s="1265"/>
      <c r="K12" s="849">
        <v>660000</v>
      </c>
      <c r="L12" s="849">
        <v>203121.96000000002</v>
      </c>
      <c r="M12" s="849">
        <v>580000</v>
      </c>
      <c r="N12" s="395">
        <v>0</v>
      </c>
      <c r="O12" s="395">
        <v>0</v>
      </c>
      <c r="P12" s="395">
        <v>0</v>
      </c>
      <c r="Q12" s="398">
        <v>0</v>
      </c>
      <c r="R12" s="398">
        <v>0</v>
      </c>
      <c r="S12" s="398">
        <v>0</v>
      </c>
      <c r="T12" s="398">
        <f t="shared" si="3"/>
        <v>0</v>
      </c>
      <c r="U12" s="818">
        <f t="shared" si="1"/>
        <v>580000</v>
      </c>
      <c r="V12" s="591">
        <f t="shared" si="4"/>
        <v>580000</v>
      </c>
      <c r="W12" s="818">
        <f t="shared" si="5"/>
        <v>580000</v>
      </c>
    </row>
    <row r="13" spans="2:23" s="342" customFormat="1" ht="12.75">
      <c r="B13" s="336"/>
      <c r="C13" s="343"/>
      <c r="D13" s="338"/>
      <c r="E13" s="343"/>
      <c r="F13" s="354">
        <v>3</v>
      </c>
      <c r="G13" s="418">
        <v>414</v>
      </c>
      <c r="H13" s="1299" t="s">
        <v>200</v>
      </c>
      <c r="I13" s="1300"/>
      <c r="J13" s="1301"/>
      <c r="K13" s="849">
        <v>110000</v>
      </c>
      <c r="L13" s="849">
        <v>109067.07999999999</v>
      </c>
      <c r="M13" s="849">
        <v>200000</v>
      </c>
      <c r="N13" s="395">
        <v>0</v>
      </c>
      <c r="O13" s="395">
        <v>0</v>
      </c>
      <c r="P13" s="395">
        <v>0</v>
      </c>
      <c r="Q13" s="398">
        <v>0</v>
      </c>
      <c r="R13" s="398">
        <v>0</v>
      </c>
      <c r="S13" s="398">
        <v>0</v>
      </c>
      <c r="T13" s="398">
        <f t="shared" si="3"/>
        <v>0</v>
      </c>
      <c r="U13" s="818">
        <f t="shared" si="1"/>
        <v>200000</v>
      </c>
      <c r="V13" s="591">
        <f t="shared" si="4"/>
        <v>200000</v>
      </c>
      <c r="W13" s="818">
        <f t="shared" si="5"/>
        <v>200000</v>
      </c>
    </row>
    <row r="14" spans="2:23" s="342" customFormat="1" ht="12.75">
      <c r="B14" s="336"/>
      <c r="C14" s="343"/>
      <c r="D14" s="338"/>
      <c r="E14" s="343"/>
      <c r="F14" s="354">
        <v>4</v>
      </c>
      <c r="G14" s="418">
        <v>415</v>
      </c>
      <c r="H14" s="1263" t="s">
        <v>31</v>
      </c>
      <c r="I14" s="1264"/>
      <c r="J14" s="1265"/>
      <c r="K14" s="849">
        <v>96000</v>
      </c>
      <c r="L14" s="849">
        <v>21555.57</v>
      </c>
      <c r="M14" s="849">
        <v>96000</v>
      </c>
      <c r="N14" s="395">
        <v>0</v>
      </c>
      <c r="O14" s="395">
        <v>0</v>
      </c>
      <c r="P14" s="395">
        <v>0</v>
      </c>
      <c r="Q14" s="398">
        <v>0</v>
      </c>
      <c r="R14" s="398">
        <v>0</v>
      </c>
      <c r="S14" s="398">
        <v>0</v>
      </c>
      <c r="T14" s="398">
        <f t="shared" si="3"/>
        <v>0</v>
      </c>
      <c r="U14" s="818">
        <f t="shared" si="1"/>
        <v>96000</v>
      </c>
      <c r="V14" s="591">
        <f t="shared" si="4"/>
        <v>96000</v>
      </c>
      <c r="W14" s="818">
        <f t="shared" si="5"/>
        <v>96000</v>
      </c>
    </row>
    <row r="15" spans="2:23" s="342" customFormat="1" ht="12.75">
      <c r="B15" s="336"/>
      <c r="C15" s="343"/>
      <c r="D15" s="338"/>
      <c r="E15" s="343"/>
      <c r="F15" s="354">
        <v>5</v>
      </c>
      <c r="G15" s="418">
        <v>416</v>
      </c>
      <c r="H15" s="1299" t="s">
        <v>197</v>
      </c>
      <c r="I15" s="1300"/>
      <c r="J15" s="1301"/>
      <c r="K15" s="849">
        <v>100000</v>
      </c>
      <c r="L15" s="849">
        <v>0</v>
      </c>
      <c r="M15" s="849">
        <v>100000</v>
      </c>
      <c r="N15" s="395">
        <v>0</v>
      </c>
      <c r="O15" s="395">
        <v>0</v>
      </c>
      <c r="P15" s="395">
        <v>0</v>
      </c>
      <c r="Q15" s="398">
        <v>0</v>
      </c>
      <c r="R15" s="398">
        <v>0</v>
      </c>
      <c r="S15" s="398">
        <v>0</v>
      </c>
      <c r="T15" s="398">
        <f t="shared" si="3"/>
        <v>0</v>
      </c>
      <c r="U15" s="818">
        <f t="shared" si="1"/>
        <v>100000</v>
      </c>
      <c r="V15" s="591">
        <f t="shared" si="4"/>
        <v>100000</v>
      </c>
      <c r="W15" s="818">
        <f t="shared" si="5"/>
        <v>100000</v>
      </c>
    </row>
    <row r="16" spans="2:23" s="342" customFormat="1" ht="12.75">
      <c r="B16" s="336"/>
      <c r="C16" s="343"/>
      <c r="D16" s="338"/>
      <c r="E16" s="343"/>
      <c r="F16" s="354">
        <v>6</v>
      </c>
      <c r="G16" s="418">
        <v>421</v>
      </c>
      <c r="H16" s="1299" t="s">
        <v>33</v>
      </c>
      <c r="I16" s="1300"/>
      <c r="J16" s="1301"/>
      <c r="K16" s="849">
        <v>20000</v>
      </c>
      <c r="L16" s="849">
        <v>0</v>
      </c>
      <c r="M16" s="849">
        <v>20000</v>
      </c>
      <c r="N16" s="395">
        <v>0</v>
      </c>
      <c r="O16" s="395">
        <v>0</v>
      </c>
      <c r="P16" s="395">
        <v>0</v>
      </c>
      <c r="Q16" s="398">
        <v>0</v>
      </c>
      <c r="R16" s="398">
        <v>0</v>
      </c>
      <c r="S16" s="398">
        <v>0</v>
      </c>
      <c r="T16" s="398">
        <f t="shared" si="3"/>
        <v>0</v>
      </c>
      <c r="U16" s="818">
        <f t="shared" si="1"/>
        <v>20000</v>
      </c>
      <c r="V16" s="591">
        <f t="shared" si="4"/>
        <v>20000</v>
      </c>
      <c r="W16" s="818">
        <f t="shared" si="5"/>
        <v>20000</v>
      </c>
    </row>
    <row r="17" spans="2:23" s="342" customFormat="1" ht="12.75">
      <c r="B17" s="336"/>
      <c r="C17" s="343"/>
      <c r="D17" s="338"/>
      <c r="E17" s="343"/>
      <c r="F17" s="354">
        <v>7</v>
      </c>
      <c r="G17" s="418">
        <v>422</v>
      </c>
      <c r="H17" s="1299" t="s">
        <v>34</v>
      </c>
      <c r="I17" s="1300"/>
      <c r="J17" s="1301"/>
      <c r="K17" s="849">
        <v>20000</v>
      </c>
      <c r="L17" s="849">
        <v>0</v>
      </c>
      <c r="M17" s="849">
        <v>20000</v>
      </c>
      <c r="N17" s="395">
        <v>0</v>
      </c>
      <c r="O17" s="395">
        <v>0</v>
      </c>
      <c r="P17" s="395">
        <v>0</v>
      </c>
      <c r="Q17" s="398">
        <v>0</v>
      </c>
      <c r="R17" s="398">
        <v>0</v>
      </c>
      <c r="S17" s="398">
        <v>0</v>
      </c>
      <c r="T17" s="398">
        <f t="shared" si="3"/>
        <v>0</v>
      </c>
      <c r="U17" s="818">
        <f t="shared" si="1"/>
        <v>20000</v>
      </c>
      <c r="V17" s="591">
        <f t="shared" si="4"/>
        <v>20000</v>
      </c>
      <c r="W17" s="818">
        <f t="shared" si="5"/>
        <v>20000</v>
      </c>
    </row>
    <row r="18" spans="2:23" s="342" customFormat="1" ht="12.75">
      <c r="B18" s="336"/>
      <c r="C18" s="343"/>
      <c r="D18" s="338"/>
      <c r="E18" s="343"/>
      <c r="F18" s="354">
        <v>8</v>
      </c>
      <c r="G18" s="428">
        <v>423</v>
      </c>
      <c r="H18" s="1257" t="s">
        <v>1330</v>
      </c>
      <c r="I18" s="1258"/>
      <c r="J18" s="1259"/>
      <c r="K18" s="723">
        <v>3000000</v>
      </c>
      <c r="L18" s="723">
        <v>943747.37</v>
      </c>
      <c r="M18" s="723">
        <v>3000000</v>
      </c>
      <c r="N18" s="395">
        <v>0</v>
      </c>
      <c r="O18" s="395">
        <v>0</v>
      </c>
      <c r="P18" s="395">
        <v>0</v>
      </c>
      <c r="Q18" s="398">
        <v>0</v>
      </c>
      <c r="R18" s="398">
        <v>0</v>
      </c>
      <c r="S18" s="398">
        <v>0</v>
      </c>
      <c r="T18" s="398">
        <f t="shared" si="3"/>
        <v>0</v>
      </c>
      <c r="U18" s="818">
        <f t="shared" si="1"/>
        <v>3000000</v>
      </c>
      <c r="V18" s="591">
        <f t="shared" si="4"/>
        <v>3000000</v>
      </c>
      <c r="W18" s="818">
        <f t="shared" si="5"/>
        <v>3000000</v>
      </c>
    </row>
    <row r="19" spans="2:23" s="342" customFormat="1" ht="12.75">
      <c r="B19" s="336"/>
      <c r="C19" s="343"/>
      <c r="D19" s="338"/>
      <c r="E19" s="343"/>
      <c r="F19" s="354">
        <v>9</v>
      </c>
      <c r="G19" s="428">
        <v>423</v>
      </c>
      <c r="H19" s="1269" t="s">
        <v>1378</v>
      </c>
      <c r="I19" s="1270"/>
      <c r="J19" s="1271"/>
      <c r="K19" s="723">
        <v>350000</v>
      </c>
      <c r="L19" s="723">
        <v>101250</v>
      </c>
      <c r="M19" s="723">
        <v>350000</v>
      </c>
      <c r="N19" s="395">
        <v>0</v>
      </c>
      <c r="O19" s="395">
        <v>0</v>
      </c>
      <c r="P19" s="395">
        <v>0</v>
      </c>
      <c r="Q19" s="398">
        <v>0</v>
      </c>
      <c r="R19" s="398">
        <v>0</v>
      </c>
      <c r="S19" s="398">
        <v>0</v>
      </c>
      <c r="T19" s="398">
        <f t="shared" si="3"/>
        <v>0</v>
      </c>
      <c r="U19" s="818">
        <f t="shared" si="1"/>
        <v>350000</v>
      </c>
      <c r="V19" s="591">
        <f t="shared" si="4"/>
        <v>350000</v>
      </c>
      <c r="W19" s="818">
        <f t="shared" si="5"/>
        <v>350000</v>
      </c>
    </row>
    <row r="20" spans="2:23" s="342" customFormat="1" ht="12.75">
      <c r="B20" s="336"/>
      <c r="C20" s="343"/>
      <c r="D20" s="338"/>
      <c r="E20" s="343"/>
      <c r="F20" s="354">
        <v>10</v>
      </c>
      <c r="G20" s="418">
        <v>423</v>
      </c>
      <c r="H20" s="1299" t="s">
        <v>1331</v>
      </c>
      <c r="I20" s="1300"/>
      <c r="J20" s="1301"/>
      <c r="K20" s="849">
        <v>800000</v>
      </c>
      <c r="L20" s="849">
        <v>131171.9</v>
      </c>
      <c r="M20" s="849">
        <v>600000</v>
      </c>
      <c r="N20" s="395">
        <v>0</v>
      </c>
      <c r="O20" s="395">
        <v>0</v>
      </c>
      <c r="P20" s="395">
        <v>0</v>
      </c>
      <c r="Q20" s="398">
        <v>0</v>
      </c>
      <c r="R20" s="398">
        <v>0</v>
      </c>
      <c r="S20" s="398">
        <v>0</v>
      </c>
      <c r="T20" s="398">
        <f t="shared" si="3"/>
        <v>0</v>
      </c>
      <c r="U20" s="818">
        <f t="shared" si="1"/>
        <v>600000</v>
      </c>
      <c r="V20" s="591">
        <f t="shared" si="4"/>
        <v>600000</v>
      </c>
      <c r="W20" s="818">
        <f t="shared" si="5"/>
        <v>600000</v>
      </c>
    </row>
    <row r="21" spans="2:23" s="342" customFormat="1" ht="12.75">
      <c r="B21" s="336"/>
      <c r="C21" s="343"/>
      <c r="D21" s="338"/>
      <c r="E21" s="343"/>
      <c r="F21" s="354">
        <v>11</v>
      </c>
      <c r="G21" s="418">
        <v>423</v>
      </c>
      <c r="H21" s="1299" t="s">
        <v>1537</v>
      </c>
      <c r="I21" s="1300"/>
      <c r="J21" s="1301"/>
      <c r="K21" s="849">
        <v>200000</v>
      </c>
      <c r="L21" s="849">
        <v>0</v>
      </c>
      <c r="M21" s="849">
        <v>200000</v>
      </c>
      <c r="N21" s="395">
        <v>0</v>
      </c>
      <c r="O21" s="395">
        <v>0</v>
      </c>
      <c r="P21" s="395">
        <v>0</v>
      </c>
      <c r="Q21" s="398">
        <v>0</v>
      </c>
      <c r="R21" s="398">
        <v>0</v>
      </c>
      <c r="S21" s="398">
        <v>0</v>
      </c>
      <c r="T21" s="398">
        <f t="shared" si="3"/>
        <v>0</v>
      </c>
      <c r="U21" s="818">
        <f t="shared" si="1"/>
        <v>200000</v>
      </c>
      <c r="V21" s="591">
        <f t="shared" si="4"/>
        <v>200000</v>
      </c>
      <c r="W21" s="818">
        <f t="shared" si="5"/>
        <v>200000</v>
      </c>
    </row>
    <row r="22" spans="2:23" s="342" customFormat="1" ht="12.75">
      <c r="B22" s="336"/>
      <c r="C22" s="343"/>
      <c r="D22" s="338"/>
      <c r="E22" s="343"/>
      <c r="F22" s="354">
        <v>12</v>
      </c>
      <c r="G22" s="418">
        <v>423</v>
      </c>
      <c r="H22" s="1299" t="s">
        <v>35</v>
      </c>
      <c r="I22" s="1300"/>
      <c r="J22" s="1301"/>
      <c r="K22" s="849">
        <v>500000</v>
      </c>
      <c r="L22" s="849">
        <v>224949.64999999997</v>
      </c>
      <c r="M22" s="849">
        <v>700000</v>
      </c>
      <c r="N22" s="395">
        <v>0</v>
      </c>
      <c r="O22" s="395">
        <v>0</v>
      </c>
      <c r="P22" s="395">
        <v>0</v>
      </c>
      <c r="Q22" s="398">
        <v>0</v>
      </c>
      <c r="R22" s="398">
        <v>0</v>
      </c>
      <c r="S22" s="398">
        <v>0</v>
      </c>
      <c r="T22" s="398">
        <f t="shared" si="3"/>
        <v>0</v>
      </c>
      <c r="U22" s="818">
        <f t="shared" si="1"/>
        <v>700000</v>
      </c>
      <c r="V22" s="591">
        <f t="shared" si="4"/>
        <v>700000</v>
      </c>
      <c r="W22" s="818">
        <f t="shared" si="5"/>
        <v>700000</v>
      </c>
    </row>
    <row r="23" spans="2:23" s="342" customFormat="1" ht="12.75">
      <c r="B23" s="336"/>
      <c r="C23" s="343"/>
      <c r="D23" s="338"/>
      <c r="E23" s="343"/>
      <c r="F23" s="354">
        <v>13</v>
      </c>
      <c r="G23" s="418">
        <v>426</v>
      </c>
      <c r="H23" s="1299" t="s">
        <v>38</v>
      </c>
      <c r="I23" s="1300"/>
      <c r="J23" s="1301"/>
      <c r="K23" s="849">
        <v>200000</v>
      </c>
      <c r="L23" s="849">
        <v>5500</v>
      </c>
      <c r="M23" s="849">
        <v>200000</v>
      </c>
      <c r="N23" s="395">
        <v>0</v>
      </c>
      <c r="O23" s="395">
        <v>0</v>
      </c>
      <c r="P23" s="395">
        <v>0</v>
      </c>
      <c r="Q23" s="398">
        <v>0</v>
      </c>
      <c r="R23" s="398">
        <v>0</v>
      </c>
      <c r="S23" s="398">
        <v>0</v>
      </c>
      <c r="T23" s="398">
        <f t="shared" si="3"/>
        <v>0</v>
      </c>
      <c r="U23" s="818">
        <f>M23+N23+O23+P23+Q23+R23+S23</f>
        <v>200000</v>
      </c>
      <c r="V23" s="591">
        <f t="shared" si="4"/>
        <v>200000</v>
      </c>
      <c r="W23" s="818">
        <f t="shared" si="5"/>
        <v>200000</v>
      </c>
    </row>
    <row r="24" spans="2:23" s="342" customFormat="1" ht="12.75">
      <c r="B24" s="336"/>
      <c r="C24" s="343"/>
      <c r="D24" s="338"/>
      <c r="E24" s="343"/>
      <c r="F24" s="354">
        <v>14</v>
      </c>
      <c r="G24" s="418">
        <v>481</v>
      </c>
      <c r="H24" s="1338" t="s">
        <v>79</v>
      </c>
      <c r="I24" s="1339"/>
      <c r="J24" s="1340"/>
      <c r="K24" s="850">
        <v>255000</v>
      </c>
      <c r="L24" s="850">
        <v>120403.31000000001</v>
      </c>
      <c r="M24" s="1199">
        <v>255000</v>
      </c>
      <c r="N24" s="388">
        <v>0</v>
      </c>
      <c r="O24" s="395">
        <v>0</v>
      </c>
      <c r="P24" s="395">
        <v>0</v>
      </c>
      <c r="Q24" s="398">
        <v>0</v>
      </c>
      <c r="R24" s="398">
        <v>0</v>
      </c>
      <c r="S24" s="398">
        <v>0</v>
      </c>
      <c r="T24" s="398">
        <f t="shared" si="3"/>
        <v>0</v>
      </c>
      <c r="U24" s="818">
        <f aca="true" t="shared" si="8" ref="U24:U70">M24+N24+O24+P24+Q24+R24+S24</f>
        <v>255000</v>
      </c>
      <c r="V24" s="591">
        <f t="shared" si="4"/>
        <v>255000</v>
      </c>
      <c r="W24" s="818">
        <f t="shared" si="5"/>
        <v>255000</v>
      </c>
    </row>
    <row r="25" spans="2:23" s="668" customFormat="1" ht="12.75">
      <c r="B25" s="617"/>
      <c r="C25" s="618"/>
      <c r="D25" s="594"/>
      <c r="E25" s="593" t="s">
        <v>279</v>
      </c>
      <c r="F25" s="594"/>
      <c r="G25" s="595"/>
      <c r="H25" s="1287" t="s">
        <v>1238</v>
      </c>
      <c r="I25" s="1288"/>
      <c r="J25" s="1288"/>
      <c r="K25" s="889">
        <f aca="true" t="shared" si="9" ref="K25:S25">K26</f>
        <v>200000</v>
      </c>
      <c r="L25" s="889">
        <f t="shared" si="9"/>
        <v>0</v>
      </c>
      <c r="M25" s="889">
        <f t="shared" si="9"/>
        <v>200000</v>
      </c>
      <c r="N25" s="619">
        <f t="shared" si="9"/>
        <v>0</v>
      </c>
      <c r="O25" s="619">
        <f t="shared" si="9"/>
        <v>0</v>
      </c>
      <c r="P25" s="619">
        <f t="shared" si="9"/>
        <v>0</v>
      </c>
      <c r="Q25" s="619">
        <f t="shared" si="9"/>
        <v>0</v>
      </c>
      <c r="R25" s="619">
        <f t="shared" si="9"/>
        <v>0</v>
      </c>
      <c r="S25" s="619">
        <f t="shared" si="9"/>
        <v>0</v>
      </c>
      <c r="T25" s="620">
        <f t="shared" si="3"/>
        <v>0</v>
      </c>
      <c r="U25" s="1027">
        <f t="shared" si="8"/>
        <v>200000</v>
      </c>
      <c r="V25" s="822">
        <f t="shared" si="4"/>
        <v>200000</v>
      </c>
      <c r="W25" s="822">
        <f t="shared" si="5"/>
        <v>200000</v>
      </c>
    </row>
    <row r="26" spans="2:23" s="342" customFormat="1" ht="12.75">
      <c r="B26" s="270"/>
      <c r="C26" s="271"/>
      <c r="D26" s="412"/>
      <c r="E26" s="593" t="s">
        <v>847</v>
      </c>
      <c r="F26" s="332"/>
      <c r="G26" s="584"/>
      <c r="H26" s="1260" t="s">
        <v>1240</v>
      </c>
      <c r="I26" s="1261"/>
      <c r="J26" s="1261"/>
      <c r="K26" s="984">
        <f>K27</f>
        <v>200000</v>
      </c>
      <c r="L26" s="984">
        <f>L27</f>
        <v>0</v>
      </c>
      <c r="M26" s="984">
        <f>M27</f>
        <v>200000</v>
      </c>
      <c r="N26" s="276">
        <f aca="true" t="shared" si="10" ref="N26:S26">N27</f>
        <v>0</v>
      </c>
      <c r="O26" s="276">
        <f t="shared" si="10"/>
        <v>0</v>
      </c>
      <c r="P26" s="276">
        <f t="shared" si="10"/>
        <v>0</v>
      </c>
      <c r="Q26" s="276">
        <f t="shared" si="10"/>
        <v>0</v>
      </c>
      <c r="R26" s="276">
        <f t="shared" si="10"/>
        <v>0</v>
      </c>
      <c r="S26" s="276">
        <f t="shared" si="10"/>
        <v>0</v>
      </c>
      <c r="T26" s="793">
        <f t="shared" si="3"/>
        <v>0</v>
      </c>
      <c r="U26" s="819">
        <f t="shared" si="8"/>
        <v>200000</v>
      </c>
      <c r="V26" s="635">
        <f t="shared" si="4"/>
        <v>200000</v>
      </c>
      <c r="W26" s="635">
        <f t="shared" si="5"/>
        <v>200000</v>
      </c>
    </row>
    <row r="27" spans="2:23" s="342" customFormat="1" ht="12.75">
      <c r="B27" s="336"/>
      <c r="C27" s="343"/>
      <c r="D27" s="56">
        <v>130</v>
      </c>
      <c r="E27" s="167"/>
      <c r="F27" s="343"/>
      <c r="G27" s="339"/>
      <c r="H27" s="1296" t="s">
        <v>89</v>
      </c>
      <c r="I27" s="1297"/>
      <c r="J27" s="1298"/>
      <c r="K27" s="727">
        <f aca="true" t="shared" si="11" ref="K27:S27">K28</f>
        <v>200000</v>
      </c>
      <c r="L27" s="727">
        <f t="shared" si="11"/>
        <v>0</v>
      </c>
      <c r="M27" s="727">
        <f t="shared" si="11"/>
        <v>200000</v>
      </c>
      <c r="N27" s="168">
        <f t="shared" si="11"/>
        <v>0</v>
      </c>
      <c r="O27" s="168">
        <f t="shared" si="11"/>
        <v>0</v>
      </c>
      <c r="P27" s="168">
        <f t="shared" si="11"/>
        <v>0</v>
      </c>
      <c r="Q27" s="168">
        <f t="shared" si="11"/>
        <v>0</v>
      </c>
      <c r="R27" s="168">
        <f t="shared" si="11"/>
        <v>0</v>
      </c>
      <c r="S27" s="168">
        <f t="shared" si="11"/>
        <v>0</v>
      </c>
      <c r="T27" s="322">
        <f t="shared" si="3"/>
        <v>0</v>
      </c>
      <c r="U27" s="1048">
        <f t="shared" si="8"/>
        <v>200000</v>
      </c>
      <c r="V27" s="361">
        <f t="shared" si="4"/>
        <v>200000</v>
      </c>
      <c r="W27" s="1048">
        <f t="shared" si="5"/>
        <v>200000</v>
      </c>
    </row>
    <row r="28" spans="2:23" s="342" customFormat="1" ht="13.5" thickBot="1">
      <c r="B28" s="355"/>
      <c r="C28" s="348"/>
      <c r="D28" s="349"/>
      <c r="E28" s="348"/>
      <c r="F28" s="337" t="s">
        <v>1549</v>
      </c>
      <c r="G28" s="589">
        <v>481</v>
      </c>
      <c r="H28" s="1269" t="s">
        <v>1460</v>
      </c>
      <c r="I28" s="1270"/>
      <c r="J28" s="1271"/>
      <c r="K28" s="358">
        <v>200000</v>
      </c>
      <c r="L28" s="358">
        <v>0</v>
      </c>
      <c r="M28" s="358">
        <v>200000</v>
      </c>
      <c r="N28" s="425">
        <v>0</v>
      </c>
      <c r="O28" s="425">
        <v>0</v>
      </c>
      <c r="P28" s="425">
        <v>0</v>
      </c>
      <c r="Q28" s="399">
        <v>0</v>
      </c>
      <c r="R28" s="398">
        <v>0</v>
      </c>
      <c r="S28" s="399">
        <v>0</v>
      </c>
      <c r="T28" s="399">
        <f t="shared" si="3"/>
        <v>0</v>
      </c>
      <c r="U28" s="818">
        <f t="shared" si="8"/>
        <v>200000</v>
      </c>
      <c r="V28" s="591">
        <f t="shared" si="4"/>
        <v>200000</v>
      </c>
      <c r="W28" s="818">
        <f t="shared" si="5"/>
        <v>200000</v>
      </c>
    </row>
    <row r="29" spans="2:23" s="484" customFormat="1" ht="12.75" customHeight="1">
      <c r="B29" s="478" t="s">
        <v>810</v>
      </c>
      <c r="C29" s="479"/>
      <c r="D29" s="480"/>
      <c r="E29" s="481"/>
      <c r="F29" s="480"/>
      <c r="G29" s="507"/>
      <c r="H29" s="1417" t="s">
        <v>1177</v>
      </c>
      <c r="I29" s="1418"/>
      <c r="J29" s="1419"/>
      <c r="K29" s="846">
        <f>K30</f>
        <v>1685000</v>
      </c>
      <c r="L29" s="846">
        <f>L30</f>
        <v>0</v>
      </c>
      <c r="M29" s="846">
        <f>M30</f>
        <v>671000</v>
      </c>
      <c r="N29" s="492">
        <f aca="true" t="shared" si="12" ref="N29:S29">N30</f>
        <v>0</v>
      </c>
      <c r="O29" s="492">
        <f t="shared" si="12"/>
        <v>0</v>
      </c>
      <c r="P29" s="492">
        <f t="shared" si="12"/>
        <v>0</v>
      </c>
      <c r="Q29" s="492">
        <f t="shared" si="12"/>
        <v>0</v>
      </c>
      <c r="R29" s="492">
        <f t="shared" si="12"/>
        <v>0</v>
      </c>
      <c r="S29" s="492">
        <f t="shared" si="12"/>
        <v>0</v>
      </c>
      <c r="T29" s="493">
        <f t="shared" si="3"/>
        <v>0</v>
      </c>
      <c r="U29" s="809">
        <f t="shared" si="8"/>
        <v>671000</v>
      </c>
      <c r="V29" s="809">
        <f t="shared" si="4"/>
        <v>671000</v>
      </c>
      <c r="W29" s="1028">
        <f t="shared" si="5"/>
        <v>671000</v>
      </c>
    </row>
    <row r="30" spans="2:23" s="668" customFormat="1" ht="12.75">
      <c r="B30" s="617"/>
      <c r="C30" s="618"/>
      <c r="D30" s="594"/>
      <c r="E30" s="593" t="s">
        <v>279</v>
      </c>
      <c r="F30" s="594"/>
      <c r="G30" s="595"/>
      <c r="H30" s="1287" t="s">
        <v>1238</v>
      </c>
      <c r="I30" s="1288"/>
      <c r="J30" s="1288"/>
      <c r="K30" s="889">
        <f aca="true" t="shared" si="13" ref="K30:S30">K31</f>
        <v>1685000</v>
      </c>
      <c r="L30" s="889">
        <f t="shared" si="13"/>
        <v>0</v>
      </c>
      <c r="M30" s="889">
        <f t="shared" si="13"/>
        <v>671000</v>
      </c>
      <c r="N30" s="619">
        <f t="shared" si="13"/>
        <v>0</v>
      </c>
      <c r="O30" s="619">
        <f t="shared" si="13"/>
        <v>0</v>
      </c>
      <c r="P30" s="619">
        <f t="shared" si="13"/>
        <v>0</v>
      </c>
      <c r="Q30" s="619">
        <f t="shared" si="13"/>
        <v>0</v>
      </c>
      <c r="R30" s="619">
        <f t="shared" si="13"/>
        <v>0</v>
      </c>
      <c r="S30" s="619">
        <f t="shared" si="13"/>
        <v>0</v>
      </c>
      <c r="T30" s="620">
        <f t="shared" si="3"/>
        <v>0</v>
      </c>
      <c r="U30" s="1027">
        <f t="shared" si="8"/>
        <v>671000</v>
      </c>
      <c r="V30" s="822">
        <f t="shared" si="4"/>
        <v>671000</v>
      </c>
      <c r="W30" s="822">
        <f t="shared" si="5"/>
        <v>671000</v>
      </c>
    </row>
    <row r="31" spans="2:23" ht="14.25" customHeight="1">
      <c r="B31" s="270"/>
      <c r="C31" s="271"/>
      <c r="D31" s="412"/>
      <c r="E31" s="332" t="s">
        <v>845</v>
      </c>
      <c r="F31" s="412"/>
      <c r="G31" s="413"/>
      <c r="H31" s="1310" t="s">
        <v>1239</v>
      </c>
      <c r="I31" s="1378"/>
      <c r="J31" s="1379"/>
      <c r="K31" s="848">
        <f aca="true" t="shared" si="14" ref="K31:S31">K32</f>
        <v>1685000</v>
      </c>
      <c r="L31" s="848">
        <f t="shared" si="14"/>
        <v>0</v>
      </c>
      <c r="M31" s="848">
        <f t="shared" si="14"/>
        <v>671000</v>
      </c>
      <c r="N31" s="276">
        <f t="shared" si="14"/>
        <v>0</v>
      </c>
      <c r="O31" s="276">
        <f t="shared" si="14"/>
        <v>0</v>
      </c>
      <c r="P31" s="276">
        <f t="shared" si="14"/>
        <v>0</v>
      </c>
      <c r="Q31" s="276">
        <f t="shared" si="14"/>
        <v>0</v>
      </c>
      <c r="R31" s="276">
        <f t="shared" si="14"/>
        <v>0</v>
      </c>
      <c r="S31" s="276">
        <f t="shared" si="14"/>
        <v>0</v>
      </c>
      <c r="T31" s="321">
        <f t="shared" si="3"/>
        <v>0</v>
      </c>
      <c r="U31" s="819">
        <f t="shared" si="8"/>
        <v>671000</v>
      </c>
      <c r="V31" s="635">
        <f t="shared" si="4"/>
        <v>671000</v>
      </c>
      <c r="W31" s="635">
        <f t="shared" si="5"/>
        <v>671000</v>
      </c>
    </row>
    <row r="32" spans="2:23" s="23" customFormat="1" ht="12.75">
      <c r="B32" s="529"/>
      <c r="C32" s="530"/>
      <c r="D32" s="56">
        <v>330</v>
      </c>
      <c r="E32" s="58"/>
      <c r="F32" s="531"/>
      <c r="G32" s="532"/>
      <c r="H32" s="1296" t="s">
        <v>1157</v>
      </c>
      <c r="I32" s="1297"/>
      <c r="J32" s="1298"/>
      <c r="K32" s="744">
        <f aca="true" t="shared" si="15" ref="K32:S32">SUM(K33:K37)</f>
        <v>1685000</v>
      </c>
      <c r="L32" s="744">
        <f t="shared" si="15"/>
        <v>0</v>
      </c>
      <c r="M32" s="744">
        <f t="shared" si="15"/>
        <v>671000</v>
      </c>
      <c r="N32" s="533">
        <f t="shared" si="15"/>
        <v>0</v>
      </c>
      <c r="O32" s="533">
        <f t="shared" si="15"/>
        <v>0</v>
      </c>
      <c r="P32" s="533">
        <f t="shared" si="15"/>
        <v>0</v>
      </c>
      <c r="Q32" s="533">
        <f t="shared" si="15"/>
        <v>0</v>
      </c>
      <c r="R32" s="533">
        <f t="shared" si="15"/>
        <v>0</v>
      </c>
      <c r="S32" s="533">
        <f t="shared" si="15"/>
        <v>0</v>
      </c>
      <c r="T32" s="165">
        <f t="shared" si="3"/>
        <v>0</v>
      </c>
      <c r="U32" s="1048">
        <f t="shared" si="8"/>
        <v>671000</v>
      </c>
      <c r="V32" s="811">
        <f t="shared" si="4"/>
        <v>671000</v>
      </c>
      <c r="W32" s="1048">
        <f t="shared" si="5"/>
        <v>671000</v>
      </c>
    </row>
    <row r="33" spans="2:23" s="342" customFormat="1" ht="12.75">
      <c r="B33" s="336"/>
      <c r="C33" s="343"/>
      <c r="D33" s="338"/>
      <c r="E33" s="343"/>
      <c r="F33" s="512">
        <v>16</v>
      </c>
      <c r="G33" s="513">
        <v>411</v>
      </c>
      <c r="H33" s="1263" t="s">
        <v>27</v>
      </c>
      <c r="I33" s="1264"/>
      <c r="J33" s="1264"/>
      <c r="K33" s="887">
        <v>1320000</v>
      </c>
      <c r="L33" s="887">
        <v>0</v>
      </c>
      <c r="M33" s="523">
        <v>500000</v>
      </c>
      <c r="N33" s="389">
        <v>0</v>
      </c>
      <c r="O33" s="395">
        <v>0</v>
      </c>
      <c r="P33" s="395">
        <v>0</v>
      </c>
      <c r="Q33" s="398">
        <v>0</v>
      </c>
      <c r="R33" s="398">
        <v>0</v>
      </c>
      <c r="S33" s="398">
        <v>0</v>
      </c>
      <c r="T33" s="398">
        <f t="shared" si="3"/>
        <v>0</v>
      </c>
      <c r="U33" s="818">
        <f t="shared" si="8"/>
        <v>500000</v>
      </c>
      <c r="V33" s="591">
        <f t="shared" si="4"/>
        <v>500000</v>
      </c>
      <c r="W33" s="818">
        <f t="shared" si="5"/>
        <v>500000</v>
      </c>
    </row>
    <row r="34" spans="2:23" s="342" customFormat="1" ht="12.75">
      <c r="B34" s="336"/>
      <c r="C34" s="467"/>
      <c r="D34" s="547"/>
      <c r="E34" s="631"/>
      <c r="F34" s="512">
        <v>17</v>
      </c>
      <c r="G34" s="622">
        <v>412</v>
      </c>
      <c r="H34" s="1396" t="s">
        <v>78</v>
      </c>
      <c r="I34" s="1396"/>
      <c r="J34" s="1396"/>
      <c r="K34" s="887">
        <v>228000</v>
      </c>
      <c r="L34" s="887">
        <v>0</v>
      </c>
      <c r="M34" s="523">
        <v>80000</v>
      </c>
      <c r="N34" s="389">
        <v>0</v>
      </c>
      <c r="O34" s="514">
        <v>0</v>
      </c>
      <c r="P34" s="514">
        <v>0</v>
      </c>
      <c r="Q34" s="435">
        <v>0</v>
      </c>
      <c r="R34" s="435">
        <v>0</v>
      </c>
      <c r="S34" s="398">
        <v>0</v>
      </c>
      <c r="T34" s="398">
        <f t="shared" si="3"/>
        <v>0</v>
      </c>
      <c r="U34" s="818">
        <f t="shared" si="8"/>
        <v>80000</v>
      </c>
      <c r="V34" s="591">
        <f t="shared" si="4"/>
        <v>80000</v>
      </c>
      <c r="W34" s="818">
        <f t="shared" si="5"/>
        <v>80000</v>
      </c>
    </row>
    <row r="35" spans="2:23" s="342" customFormat="1" ht="12.75">
      <c r="B35" s="630"/>
      <c r="C35" s="469"/>
      <c r="D35" s="515"/>
      <c r="E35" s="469"/>
      <c r="F35" s="512">
        <v>18</v>
      </c>
      <c r="G35" s="508">
        <v>415</v>
      </c>
      <c r="H35" s="1253" t="s">
        <v>31</v>
      </c>
      <c r="I35" s="1253"/>
      <c r="J35" s="1253"/>
      <c r="K35" s="854">
        <v>96000</v>
      </c>
      <c r="L35" s="854">
        <v>0</v>
      </c>
      <c r="M35" s="854">
        <v>50000</v>
      </c>
      <c r="N35" s="389">
        <v>0</v>
      </c>
      <c r="O35" s="441">
        <v>0</v>
      </c>
      <c r="P35" s="441">
        <v>0</v>
      </c>
      <c r="Q35" s="628">
        <v>0</v>
      </c>
      <c r="R35" s="628">
        <v>0</v>
      </c>
      <c r="S35" s="627">
        <v>0</v>
      </c>
      <c r="T35" s="399">
        <f t="shared" si="3"/>
        <v>0</v>
      </c>
      <c r="U35" s="818">
        <f t="shared" si="8"/>
        <v>50000</v>
      </c>
      <c r="V35" s="591">
        <f t="shared" si="4"/>
        <v>50000</v>
      </c>
      <c r="W35" s="818">
        <f t="shared" si="5"/>
        <v>50000</v>
      </c>
    </row>
    <row r="36" spans="2:23" s="342" customFormat="1" ht="12.75">
      <c r="B36" s="630"/>
      <c r="C36" s="469"/>
      <c r="D36" s="515"/>
      <c r="E36" s="469"/>
      <c r="F36" s="512">
        <v>19</v>
      </c>
      <c r="G36" s="508">
        <v>421</v>
      </c>
      <c r="H36" s="1253" t="s">
        <v>33</v>
      </c>
      <c r="I36" s="1253"/>
      <c r="J36" s="1253"/>
      <c r="K36" s="854">
        <v>1000</v>
      </c>
      <c r="L36" s="854">
        <v>0</v>
      </c>
      <c r="M36" s="854">
        <v>1000</v>
      </c>
      <c r="N36" s="389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06">
        <f t="shared" si="3"/>
        <v>0</v>
      </c>
      <c r="U36" s="818">
        <f t="shared" si="8"/>
        <v>1000</v>
      </c>
      <c r="V36" s="591">
        <f t="shared" si="4"/>
        <v>1000</v>
      </c>
      <c r="W36" s="818">
        <f t="shared" si="5"/>
        <v>1000</v>
      </c>
    </row>
    <row r="37" spans="2:23" s="342" customFormat="1" ht="13.5" thickBot="1">
      <c r="B37" s="630"/>
      <c r="C37" s="469"/>
      <c r="D37" s="515"/>
      <c r="E37" s="469"/>
      <c r="F37" s="512">
        <v>20</v>
      </c>
      <c r="G37" s="508">
        <v>426</v>
      </c>
      <c r="H37" s="1253" t="s">
        <v>38</v>
      </c>
      <c r="I37" s="1253"/>
      <c r="J37" s="1253"/>
      <c r="K37" s="855">
        <v>40000</v>
      </c>
      <c r="L37" s="855">
        <v>0</v>
      </c>
      <c r="M37" s="855">
        <v>40000</v>
      </c>
      <c r="N37" s="389">
        <v>0</v>
      </c>
      <c r="O37" s="441">
        <v>0</v>
      </c>
      <c r="P37" s="441">
        <v>0</v>
      </c>
      <c r="Q37" s="441">
        <v>0</v>
      </c>
      <c r="R37" s="441">
        <v>0</v>
      </c>
      <c r="S37" s="441">
        <v>0</v>
      </c>
      <c r="T37" s="406">
        <f t="shared" si="3"/>
        <v>0</v>
      </c>
      <c r="U37" s="818">
        <f t="shared" si="8"/>
        <v>40000</v>
      </c>
      <c r="V37" s="591">
        <f t="shared" si="4"/>
        <v>40000</v>
      </c>
      <c r="W37" s="818">
        <f t="shared" si="5"/>
        <v>40000</v>
      </c>
    </row>
    <row r="38" spans="2:23" s="484" customFormat="1" ht="12.75" customHeight="1">
      <c r="B38" s="478" t="s">
        <v>315</v>
      </c>
      <c r="C38" s="479"/>
      <c r="D38" s="507"/>
      <c r="E38" s="517"/>
      <c r="F38" s="507"/>
      <c r="G38" s="623"/>
      <c r="H38" s="1420" t="s">
        <v>80</v>
      </c>
      <c r="I38" s="1421"/>
      <c r="J38" s="1422"/>
      <c r="K38" s="856">
        <f>K39</f>
        <v>10510000</v>
      </c>
      <c r="L38" s="856">
        <f>L39</f>
        <v>3394261.94</v>
      </c>
      <c r="M38" s="856">
        <f>M39</f>
        <v>10705100</v>
      </c>
      <c r="N38" s="490">
        <f aca="true" t="shared" si="16" ref="N38:S38">N39</f>
        <v>0</v>
      </c>
      <c r="O38" s="490">
        <f t="shared" si="16"/>
        <v>0</v>
      </c>
      <c r="P38" s="490">
        <f t="shared" si="16"/>
        <v>268764.78</v>
      </c>
      <c r="Q38" s="490">
        <f t="shared" si="16"/>
        <v>0</v>
      </c>
      <c r="R38" s="490">
        <f t="shared" si="16"/>
        <v>0</v>
      </c>
      <c r="S38" s="490">
        <f t="shared" si="16"/>
        <v>0</v>
      </c>
      <c r="T38" s="491">
        <f t="shared" si="3"/>
        <v>268764.78</v>
      </c>
      <c r="U38" s="809">
        <f t="shared" si="8"/>
        <v>10973864.78</v>
      </c>
      <c r="V38" s="813">
        <f t="shared" si="4"/>
        <v>10973864.78</v>
      </c>
      <c r="W38" s="1028">
        <f t="shared" si="5"/>
        <v>10973864.78</v>
      </c>
    </row>
    <row r="39" spans="2:23" s="668" customFormat="1" ht="12.75">
      <c r="B39" s="617"/>
      <c r="C39" s="618"/>
      <c r="D39" s="594"/>
      <c r="E39" s="593" t="s">
        <v>1180</v>
      </c>
      <c r="F39" s="594"/>
      <c r="G39" s="595"/>
      <c r="H39" s="1287" t="s">
        <v>1179</v>
      </c>
      <c r="I39" s="1288"/>
      <c r="J39" s="1289"/>
      <c r="K39" s="847">
        <f aca="true" t="shared" si="17" ref="K39:S39">K40</f>
        <v>10510000</v>
      </c>
      <c r="L39" s="847">
        <f t="shared" si="17"/>
        <v>3394261.94</v>
      </c>
      <c r="M39" s="847">
        <f t="shared" si="17"/>
        <v>10705100</v>
      </c>
      <c r="N39" s="619">
        <f t="shared" si="17"/>
        <v>0</v>
      </c>
      <c r="O39" s="619">
        <f t="shared" si="17"/>
        <v>0</v>
      </c>
      <c r="P39" s="619">
        <f t="shared" si="17"/>
        <v>268764.78</v>
      </c>
      <c r="Q39" s="619">
        <f t="shared" si="17"/>
        <v>0</v>
      </c>
      <c r="R39" s="619">
        <f t="shared" si="17"/>
        <v>0</v>
      </c>
      <c r="S39" s="619">
        <f t="shared" si="17"/>
        <v>0</v>
      </c>
      <c r="T39" s="620">
        <f t="shared" si="3"/>
        <v>268764.78</v>
      </c>
      <c r="U39" s="1027">
        <f t="shared" si="8"/>
        <v>10973864.78</v>
      </c>
      <c r="V39" s="822">
        <f t="shared" si="4"/>
        <v>10973864.78</v>
      </c>
      <c r="W39" s="822">
        <f t="shared" si="5"/>
        <v>10973864.78</v>
      </c>
    </row>
    <row r="40" spans="2:23" ht="13.5" customHeight="1">
      <c r="B40" s="270"/>
      <c r="C40" s="271"/>
      <c r="D40" s="412"/>
      <c r="E40" s="332" t="s">
        <v>1186</v>
      </c>
      <c r="F40" s="412"/>
      <c r="G40" s="413"/>
      <c r="H40" s="1310" t="s">
        <v>1185</v>
      </c>
      <c r="I40" s="1378"/>
      <c r="J40" s="1379"/>
      <c r="K40" s="848">
        <f aca="true" t="shared" si="18" ref="K40:S40">K41</f>
        <v>10510000</v>
      </c>
      <c r="L40" s="848">
        <f t="shared" si="18"/>
        <v>3394261.94</v>
      </c>
      <c r="M40" s="848">
        <f t="shared" si="18"/>
        <v>10705100</v>
      </c>
      <c r="N40" s="276">
        <f t="shared" si="18"/>
        <v>0</v>
      </c>
      <c r="O40" s="276">
        <f t="shared" si="18"/>
        <v>0</v>
      </c>
      <c r="P40" s="276">
        <f t="shared" si="18"/>
        <v>268764.78</v>
      </c>
      <c r="Q40" s="276">
        <f t="shared" si="18"/>
        <v>0</v>
      </c>
      <c r="R40" s="276">
        <f t="shared" si="18"/>
        <v>0</v>
      </c>
      <c r="S40" s="276">
        <f t="shared" si="18"/>
        <v>0</v>
      </c>
      <c r="T40" s="321">
        <f t="shared" si="3"/>
        <v>268764.78</v>
      </c>
      <c r="U40" s="819">
        <f t="shared" si="8"/>
        <v>10973864.78</v>
      </c>
      <c r="V40" s="635">
        <f t="shared" si="4"/>
        <v>10973864.78</v>
      </c>
      <c r="W40" s="635">
        <f t="shared" si="5"/>
        <v>10973864.78</v>
      </c>
    </row>
    <row r="41" spans="2:23" s="574" customFormat="1" ht="26.25" customHeight="1">
      <c r="B41" s="569"/>
      <c r="C41" s="570"/>
      <c r="D41" s="629">
        <v>110</v>
      </c>
      <c r="E41" s="571"/>
      <c r="F41" s="572"/>
      <c r="G41" s="573"/>
      <c r="H41" s="1369" t="s">
        <v>1178</v>
      </c>
      <c r="I41" s="1370"/>
      <c r="J41" s="1371"/>
      <c r="K41" s="575">
        <f aca="true" t="shared" si="19" ref="K41:S41">SUM(K42:K54)</f>
        <v>10510000</v>
      </c>
      <c r="L41" s="575">
        <f t="shared" si="19"/>
        <v>3394261.94</v>
      </c>
      <c r="M41" s="575">
        <f t="shared" si="19"/>
        <v>10705100</v>
      </c>
      <c r="N41" s="575">
        <f t="shared" si="19"/>
        <v>0</v>
      </c>
      <c r="O41" s="575">
        <f t="shared" si="19"/>
        <v>0</v>
      </c>
      <c r="P41" s="575">
        <f t="shared" si="19"/>
        <v>268764.78</v>
      </c>
      <c r="Q41" s="575">
        <f t="shared" si="19"/>
        <v>0</v>
      </c>
      <c r="R41" s="575">
        <f t="shared" si="19"/>
        <v>0</v>
      </c>
      <c r="S41" s="575">
        <f t="shared" si="19"/>
        <v>0</v>
      </c>
      <c r="T41" s="794">
        <f t="shared" si="3"/>
        <v>268764.78</v>
      </c>
      <c r="U41" s="1048">
        <f t="shared" si="8"/>
        <v>10973864.78</v>
      </c>
      <c r="V41" s="811">
        <f t="shared" si="4"/>
        <v>10973864.78</v>
      </c>
      <c r="W41" s="1048">
        <f t="shared" si="5"/>
        <v>10973864.78</v>
      </c>
    </row>
    <row r="42" spans="2:23" s="342" customFormat="1" ht="12.75">
      <c r="B42" s="336"/>
      <c r="C42" s="343"/>
      <c r="D42" s="338"/>
      <c r="E42" s="343"/>
      <c r="F42" s="354">
        <v>21</v>
      </c>
      <c r="G42" s="418">
        <v>411</v>
      </c>
      <c r="H42" s="1263" t="s">
        <v>27</v>
      </c>
      <c r="I42" s="1264"/>
      <c r="J42" s="1265"/>
      <c r="K42" s="857">
        <v>3400000</v>
      </c>
      <c r="L42" s="857">
        <v>1156659.03</v>
      </c>
      <c r="M42" s="857">
        <v>3560000</v>
      </c>
      <c r="N42" s="425">
        <v>0</v>
      </c>
      <c r="O42" s="395">
        <v>0</v>
      </c>
      <c r="P42" s="395">
        <v>0</v>
      </c>
      <c r="Q42" s="398">
        <v>0</v>
      </c>
      <c r="R42" s="398">
        <v>0</v>
      </c>
      <c r="S42" s="398">
        <v>0</v>
      </c>
      <c r="T42" s="398">
        <f t="shared" si="3"/>
        <v>0</v>
      </c>
      <c r="U42" s="818">
        <f t="shared" si="8"/>
        <v>3560000</v>
      </c>
      <c r="V42" s="591">
        <f t="shared" si="4"/>
        <v>3560000</v>
      </c>
      <c r="W42" s="818">
        <f t="shared" si="5"/>
        <v>3560000</v>
      </c>
    </row>
    <row r="43" spans="2:23" s="342" customFormat="1" ht="12.75">
      <c r="B43" s="336"/>
      <c r="C43" s="343"/>
      <c r="D43" s="338"/>
      <c r="E43" s="343"/>
      <c r="F43" s="354">
        <v>22</v>
      </c>
      <c r="G43" s="418">
        <v>412</v>
      </c>
      <c r="H43" s="1263" t="s">
        <v>78</v>
      </c>
      <c r="I43" s="1264"/>
      <c r="J43" s="1265"/>
      <c r="K43" s="857">
        <v>560000</v>
      </c>
      <c r="L43" s="857">
        <v>186800.40999999997</v>
      </c>
      <c r="M43" s="857">
        <v>575000</v>
      </c>
      <c r="N43" s="425">
        <v>0</v>
      </c>
      <c r="O43" s="395">
        <v>0</v>
      </c>
      <c r="P43" s="395">
        <v>0</v>
      </c>
      <c r="Q43" s="398">
        <v>0</v>
      </c>
      <c r="R43" s="398">
        <v>0</v>
      </c>
      <c r="S43" s="398">
        <v>0</v>
      </c>
      <c r="T43" s="398">
        <f t="shared" si="3"/>
        <v>0</v>
      </c>
      <c r="U43" s="818">
        <f t="shared" si="8"/>
        <v>575000</v>
      </c>
      <c r="V43" s="591">
        <f t="shared" si="4"/>
        <v>575000</v>
      </c>
      <c r="W43" s="818">
        <f t="shared" si="5"/>
        <v>575000</v>
      </c>
    </row>
    <row r="44" spans="2:23" s="342" customFormat="1" ht="12.75">
      <c r="B44" s="336"/>
      <c r="C44" s="343"/>
      <c r="D44" s="338"/>
      <c r="E44" s="343"/>
      <c r="F44" s="354">
        <v>23</v>
      </c>
      <c r="G44" s="418">
        <v>414</v>
      </c>
      <c r="H44" s="1299" t="s">
        <v>200</v>
      </c>
      <c r="I44" s="1300"/>
      <c r="J44" s="1301"/>
      <c r="K44" s="857">
        <v>50000</v>
      </c>
      <c r="L44" s="857">
        <v>0</v>
      </c>
      <c r="M44" s="857">
        <v>50000</v>
      </c>
      <c r="N44" s="425">
        <v>0</v>
      </c>
      <c r="O44" s="395">
        <v>0</v>
      </c>
      <c r="P44" s="395">
        <v>0</v>
      </c>
      <c r="Q44" s="398">
        <v>0</v>
      </c>
      <c r="R44" s="398">
        <v>0</v>
      </c>
      <c r="S44" s="398">
        <v>0</v>
      </c>
      <c r="T44" s="398">
        <f t="shared" si="3"/>
        <v>0</v>
      </c>
      <c r="U44" s="818">
        <f t="shared" si="8"/>
        <v>50000</v>
      </c>
      <c r="V44" s="591">
        <f t="shared" si="4"/>
        <v>50000</v>
      </c>
      <c r="W44" s="818">
        <f t="shared" si="5"/>
        <v>50000</v>
      </c>
    </row>
    <row r="45" spans="2:23" s="342" customFormat="1" ht="12.75">
      <c r="B45" s="336"/>
      <c r="C45" s="343"/>
      <c r="D45" s="338"/>
      <c r="E45" s="343"/>
      <c r="F45" s="354">
        <v>24</v>
      </c>
      <c r="G45" s="418">
        <v>415</v>
      </c>
      <c r="H45" s="1299" t="s">
        <v>31</v>
      </c>
      <c r="I45" s="1300"/>
      <c r="J45" s="1301"/>
      <c r="K45" s="857">
        <v>210000</v>
      </c>
      <c r="L45" s="857">
        <v>61955.57000000001</v>
      </c>
      <c r="M45" s="857">
        <v>210000</v>
      </c>
      <c r="N45" s="425">
        <v>0</v>
      </c>
      <c r="O45" s="395">
        <v>0</v>
      </c>
      <c r="P45" s="395">
        <v>0</v>
      </c>
      <c r="Q45" s="398">
        <v>0</v>
      </c>
      <c r="R45" s="398">
        <v>0</v>
      </c>
      <c r="S45" s="398">
        <v>0</v>
      </c>
      <c r="T45" s="398">
        <f t="shared" si="3"/>
        <v>0</v>
      </c>
      <c r="U45" s="818">
        <f t="shared" si="8"/>
        <v>210000</v>
      </c>
      <c r="V45" s="591">
        <f t="shared" si="4"/>
        <v>210000</v>
      </c>
      <c r="W45" s="818">
        <f t="shared" si="5"/>
        <v>210000</v>
      </c>
    </row>
    <row r="46" spans="2:23" s="342" customFormat="1" ht="12.75">
      <c r="B46" s="336"/>
      <c r="C46" s="343"/>
      <c r="D46" s="338"/>
      <c r="E46" s="343"/>
      <c r="F46" s="354">
        <v>25</v>
      </c>
      <c r="G46" s="418">
        <v>421</v>
      </c>
      <c r="H46" s="1299" t="s">
        <v>33</v>
      </c>
      <c r="I46" s="1300"/>
      <c r="J46" s="1301"/>
      <c r="K46" s="857">
        <v>150000</v>
      </c>
      <c r="L46" s="857">
        <v>11574</v>
      </c>
      <c r="M46" s="857">
        <v>150000</v>
      </c>
      <c r="N46" s="425">
        <v>0</v>
      </c>
      <c r="O46" s="395">
        <v>0</v>
      </c>
      <c r="P46" s="395">
        <v>0</v>
      </c>
      <c r="Q46" s="398">
        <v>0</v>
      </c>
      <c r="R46" s="398">
        <v>0</v>
      </c>
      <c r="S46" s="398">
        <v>0</v>
      </c>
      <c r="T46" s="398">
        <f t="shared" si="3"/>
        <v>0</v>
      </c>
      <c r="U46" s="818">
        <f t="shared" si="8"/>
        <v>150000</v>
      </c>
      <c r="V46" s="591">
        <f t="shared" si="4"/>
        <v>150000</v>
      </c>
      <c r="W46" s="818">
        <f t="shared" si="5"/>
        <v>150000</v>
      </c>
    </row>
    <row r="47" spans="2:23" s="342" customFormat="1" ht="12.75">
      <c r="B47" s="336"/>
      <c r="C47" s="343"/>
      <c r="D47" s="338"/>
      <c r="E47" s="343"/>
      <c r="F47" s="354">
        <v>26</v>
      </c>
      <c r="G47" s="418">
        <v>422</v>
      </c>
      <c r="H47" s="1299" t="s">
        <v>34</v>
      </c>
      <c r="I47" s="1300"/>
      <c r="J47" s="1301"/>
      <c r="K47" s="857">
        <v>60000</v>
      </c>
      <c r="L47" s="857">
        <v>0</v>
      </c>
      <c r="M47" s="857">
        <v>60000</v>
      </c>
      <c r="N47" s="425">
        <v>0</v>
      </c>
      <c r="O47" s="395">
        <v>0</v>
      </c>
      <c r="P47" s="395">
        <v>0</v>
      </c>
      <c r="Q47" s="398">
        <v>0</v>
      </c>
      <c r="R47" s="398">
        <v>0</v>
      </c>
      <c r="S47" s="398">
        <v>0</v>
      </c>
      <c r="T47" s="398">
        <f t="shared" si="3"/>
        <v>0</v>
      </c>
      <c r="U47" s="818">
        <f t="shared" si="8"/>
        <v>60000</v>
      </c>
      <c r="V47" s="591">
        <f t="shared" si="4"/>
        <v>60000</v>
      </c>
      <c r="W47" s="818">
        <f t="shared" si="5"/>
        <v>60000</v>
      </c>
    </row>
    <row r="48" spans="2:23" s="342" customFormat="1" ht="12.75">
      <c r="B48" s="336"/>
      <c r="C48" s="343"/>
      <c r="D48" s="338"/>
      <c r="E48" s="343"/>
      <c r="F48" s="354">
        <v>27</v>
      </c>
      <c r="G48" s="418">
        <v>423</v>
      </c>
      <c r="H48" s="1299" t="s">
        <v>1332</v>
      </c>
      <c r="I48" s="1300"/>
      <c r="J48" s="1301"/>
      <c r="K48" s="857">
        <v>1500000</v>
      </c>
      <c r="L48" s="857">
        <v>585968.8</v>
      </c>
      <c r="M48" s="857">
        <v>1500000</v>
      </c>
      <c r="N48" s="425">
        <v>0</v>
      </c>
      <c r="O48" s="395">
        <v>0</v>
      </c>
      <c r="P48" s="395">
        <v>268764.78</v>
      </c>
      <c r="Q48" s="398">
        <v>0</v>
      </c>
      <c r="R48" s="398">
        <v>0</v>
      </c>
      <c r="S48" s="398">
        <v>0</v>
      </c>
      <c r="T48" s="398">
        <f t="shared" si="3"/>
        <v>268764.78</v>
      </c>
      <c r="U48" s="818">
        <f t="shared" si="8"/>
        <v>1768764.78</v>
      </c>
      <c r="V48" s="591">
        <f t="shared" si="4"/>
        <v>1768764.78</v>
      </c>
      <c r="W48" s="818">
        <f t="shared" si="5"/>
        <v>1768764.78</v>
      </c>
    </row>
    <row r="49" spans="2:23" s="342" customFormat="1" ht="12.75">
      <c r="B49" s="336"/>
      <c r="C49" s="343"/>
      <c r="D49" s="338"/>
      <c r="E49" s="343"/>
      <c r="F49" s="354">
        <v>28</v>
      </c>
      <c r="G49" s="513">
        <v>423</v>
      </c>
      <c r="H49" s="1413" t="s">
        <v>35</v>
      </c>
      <c r="I49" s="1414"/>
      <c r="J49" s="1416"/>
      <c r="K49" s="857">
        <v>3000000</v>
      </c>
      <c r="L49" s="857">
        <v>1147892.27</v>
      </c>
      <c r="M49" s="857">
        <v>3500000</v>
      </c>
      <c r="N49" s="425">
        <v>0</v>
      </c>
      <c r="O49" s="395">
        <v>0</v>
      </c>
      <c r="P49" s="395">
        <v>0</v>
      </c>
      <c r="Q49" s="398">
        <v>0</v>
      </c>
      <c r="R49" s="398">
        <v>0</v>
      </c>
      <c r="S49" s="398">
        <v>0</v>
      </c>
      <c r="T49" s="398">
        <f t="shared" si="3"/>
        <v>0</v>
      </c>
      <c r="U49" s="818">
        <f t="shared" si="8"/>
        <v>3500000</v>
      </c>
      <c r="V49" s="591">
        <f t="shared" si="4"/>
        <v>3500000</v>
      </c>
      <c r="W49" s="818">
        <f t="shared" si="5"/>
        <v>3500000</v>
      </c>
    </row>
    <row r="50" spans="2:23" s="342" customFormat="1" ht="12.75">
      <c r="B50" s="336"/>
      <c r="C50" s="343"/>
      <c r="D50" s="338"/>
      <c r="E50" s="343"/>
      <c r="F50" s="354">
        <v>29</v>
      </c>
      <c r="G50" s="508">
        <v>423</v>
      </c>
      <c r="H50" s="1372" t="s">
        <v>1538</v>
      </c>
      <c r="I50" s="1373"/>
      <c r="J50" s="1444"/>
      <c r="K50" s="857">
        <v>500000</v>
      </c>
      <c r="L50" s="857">
        <v>0</v>
      </c>
      <c r="M50" s="857">
        <v>100</v>
      </c>
      <c r="N50" s="425">
        <v>0</v>
      </c>
      <c r="O50" s="395">
        <v>0</v>
      </c>
      <c r="P50" s="395">
        <v>0</v>
      </c>
      <c r="Q50" s="398">
        <v>0</v>
      </c>
      <c r="R50" s="398">
        <v>0</v>
      </c>
      <c r="S50" s="398">
        <v>0</v>
      </c>
      <c r="T50" s="398">
        <f t="shared" si="3"/>
        <v>0</v>
      </c>
      <c r="U50" s="818">
        <f t="shared" si="8"/>
        <v>100</v>
      </c>
      <c r="V50" s="591">
        <f t="shared" si="4"/>
        <v>100</v>
      </c>
      <c r="W50" s="818">
        <f t="shared" si="5"/>
        <v>100</v>
      </c>
    </row>
    <row r="51" spans="2:23" s="342" customFormat="1" ht="12.75">
      <c r="B51" s="336"/>
      <c r="C51" s="343"/>
      <c r="D51" s="338"/>
      <c r="E51" s="343"/>
      <c r="F51" s="354">
        <v>30</v>
      </c>
      <c r="G51" s="720">
        <v>423</v>
      </c>
      <c r="H51" s="1383" t="s">
        <v>1333</v>
      </c>
      <c r="I51" s="1384"/>
      <c r="J51" s="1415"/>
      <c r="K51" s="857">
        <v>100000</v>
      </c>
      <c r="L51" s="857">
        <v>0</v>
      </c>
      <c r="M51" s="857">
        <v>100000</v>
      </c>
      <c r="N51" s="425">
        <v>0</v>
      </c>
      <c r="O51" s="395">
        <v>0</v>
      </c>
      <c r="P51" s="395">
        <v>0</v>
      </c>
      <c r="Q51" s="398">
        <v>0</v>
      </c>
      <c r="R51" s="398">
        <v>0</v>
      </c>
      <c r="S51" s="398">
        <v>0</v>
      </c>
      <c r="T51" s="398">
        <f t="shared" si="3"/>
        <v>0</v>
      </c>
      <c r="U51" s="818">
        <f t="shared" si="8"/>
        <v>100000</v>
      </c>
      <c r="V51" s="591">
        <f t="shared" si="4"/>
        <v>100000</v>
      </c>
      <c r="W51" s="818">
        <f t="shared" si="5"/>
        <v>100000</v>
      </c>
    </row>
    <row r="52" spans="2:23" s="342" customFormat="1" ht="12.75">
      <c r="B52" s="336"/>
      <c r="C52" s="343"/>
      <c r="D52" s="338"/>
      <c r="E52" s="343"/>
      <c r="F52" s="354">
        <v>31</v>
      </c>
      <c r="G52" s="428">
        <v>424</v>
      </c>
      <c r="H52" s="1269" t="s">
        <v>36</v>
      </c>
      <c r="I52" s="1270"/>
      <c r="J52" s="1271"/>
      <c r="K52" s="871">
        <v>50000</v>
      </c>
      <c r="L52" s="871">
        <v>36000</v>
      </c>
      <c r="M52" s="871">
        <v>70000</v>
      </c>
      <c r="N52" s="425">
        <v>0</v>
      </c>
      <c r="O52" s="395">
        <v>0</v>
      </c>
      <c r="P52" s="395">
        <v>0</v>
      </c>
      <c r="Q52" s="398">
        <v>0</v>
      </c>
      <c r="R52" s="398">
        <v>0</v>
      </c>
      <c r="S52" s="398">
        <v>0</v>
      </c>
      <c r="T52" s="398">
        <f t="shared" si="3"/>
        <v>0</v>
      </c>
      <c r="U52" s="818">
        <f t="shared" si="8"/>
        <v>70000</v>
      </c>
      <c r="V52" s="591">
        <f t="shared" si="4"/>
        <v>70000</v>
      </c>
      <c r="W52" s="818">
        <f t="shared" si="5"/>
        <v>70000</v>
      </c>
    </row>
    <row r="53" spans="2:23" s="342" customFormat="1" ht="12.75">
      <c r="B53" s="546"/>
      <c r="C53" s="467"/>
      <c r="D53" s="547"/>
      <c r="E53" s="467"/>
      <c r="F53" s="354">
        <v>32</v>
      </c>
      <c r="G53" s="513">
        <v>426</v>
      </c>
      <c r="H53" s="1413" t="s">
        <v>38</v>
      </c>
      <c r="I53" s="1414"/>
      <c r="J53" s="1414"/>
      <c r="K53" s="887">
        <v>900000</v>
      </c>
      <c r="L53" s="887">
        <v>207411.86000000002</v>
      </c>
      <c r="M53" s="887">
        <v>900000</v>
      </c>
      <c r="N53" s="389">
        <v>0</v>
      </c>
      <c r="O53" s="395">
        <v>0</v>
      </c>
      <c r="P53" s="395">
        <v>0</v>
      </c>
      <c r="Q53" s="398">
        <v>0</v>
      </c>
      <c r="R53" s="398">
        <v>0</v>
      </c>
      <c r="S53" s="398">
        <v>0</v>
      </c>
      <c r="T53" s="398">
        <f t="shared" si="3"/>
        <v>0</v>
      </c>
      <c r="U53" s="818">
        <f t="shared" si="8"/>
        <v>900000</v>
      </c>
      <c r="V53" s="591">
        <f t="shared" si="4"/>
        <v>900000</v>
      </c>
      <c r="W53" s="818">
        <f t="shared" si="5"/>
        <v>900000</v>
      </c>
    </row>
    <row r="54" spans="2:23" s="342" customFormat="1" ht="13.5" thickBot="1">
      <c r="B54" s="469"/>
      <c r="C54" s="469"/>
      <c r="D54" s="515"/>
      <c r="E54" s="469"/>
      <c r="F54" s="354">
        <v>33</v>
      </c>
      <c r="G54" s="466">
        <v>482</v>
      </c>
      <c r="H54" s="1335" t="s">
        <v>81</v>
      </c>
      <c r="I54" s="1335"/>
      <c r="J54" s="1404"/>
      <c r="K54" s="523">
        <v>30000</v>
      </c>
      <c r="L54" s="523">
        <v>0</v>
      </c>
      <c r="M54" s="523">
        <v>30000</v>
      </c>
      <c r="N54" s="389">
        <v>0</v>
      </c>
      <c r="O54" s="395">
        <v>0</v>
      </c>
      <c r="P54" s="395">
        <v>0</v>
      </c>
      <c r="Q54" s="398">
        <v>0</v>
      </c>
      <c r="R54" s="398">
        <v>0</v>
      </c>
      <c r="S54" s="398">
        <v>0</v>
      </c>
      <c r="T54" s="398">
        <f t="shared" si="3"/>
        <v>0</v>
      </c>
      <c r="U54" s="818">
        <f t="shared" si="8"/>
        <v>30000</v>
      </c>
      <c r="V54" s="591">
        <f t="shared" si="4"/>
        <v>30000</v>
      </c>
      <c r="W54" s="818">
        <f t="shared" si="5"/>
        <v>30000</v>
      </c>
    </row>
    <row r="55" spans="2:23" s="484" customFormat="1" ht="12.75">
      <c r="B55" s="673" t="s">
        <v>316</v>
      </c>
      <c r="C55" s="674"/>
      <c r="D55" s="507"/>
      <c r="E55" s="517"/>
      <c r="F55" s="507"/>
      <c r="G55" s="507"/>
      <c r="H55" s="670" t="s">
        <v>85</v>
      </c>
      <c r="I55" s="671"/>
      <c r="J55" s="672"/>
      <c r="K55" s="846">
        <f aca="true" t="shared" si="20" ref="K55:M57">K56</f>
        <v>7550000</v>
      </c>
      <c r="L55" s="846">
        <f t="shared" si="20"/>
        <v>2464524.64</v>
      </c>
      <c r="M55" s="846">
        <f t="shared" si="20"/>
        <v>8220000</v>
      </c>
      <c r="N55" s="482">
        <f aca="true" t="shared" si="21" ref="N55:S55">N56</f>
        <v>0</v>
      </c>
      <c r="O55" s="482">
        <f t="shared" si="21"/>
        <v>0</v>
      </c>
      <c r="P55" s="482">
        <f t="shared" si="21"/>
        <v>0</v>
      </c>
      <c r="Q55" s="482">
        <f t="shared" si="21"/>
        <v>0</v>
      </c>
      <c r="R55" s="482">
        <f t="shared" si="21"/>
        <v>0</v>
      </c>
      <c r="S55" s="482">
        <f t="shared" si="21"/>
        <v>0</v>
      </c>
      <c r="T55" s="483">
        <f t="shared" si="3"/>
        <v>0</v>
      </c>
      <c r="U55" s="809">
        <f t="shared" si="8"/>
        <v>8220000</v>
      </c>
      <c r="V55" s="809">
        <f t="shared" si="4"/>
        <v>8220000</v>
      </c>
      <c r="W55" s="1028">
        <f t="shared" si="5"/>
        <v>8220000</v>
      </c>
    </row>
    <row r="56" spans="2:23" s="668" customFormat="1" ht="12.75">
      <c r="B56" s="617"/>
      <c r="C56" s="618"/>
      <c r="D56" s="594"/>
      <c r="E56" s="593" t="s">
        <v>1180</v>
      </c>
      <c r="F56" s="594"/>
      <c r="G56" s="595"/>
      <c r="H56" s="1287" t="s">
        <v>1179</v>
      </c>
      <c r="I56" s="1288"/>
      <c r="J56" s="1289"/>
      <c r="K56" s="847">
        <f t="shared" si="20"/>
        <v>7550000</v>
      </c>
      <c r="L56" s="847">
        <f t="shared" si="20"/>
        <v>2464524.64</v>
      </c>
      <c r="M56" s="847">
        <f t="shared" si="20"/>
        <v>8220000</v>
      </c>
      <c r="N56" s="619">
        <f aca="true" t="shared" si="22" ref="N56:S57">N57</f>
        <v>0</v>
      </c>
      <c r="O56" s="619">
        <f t="shared" si="22"/>
        <v>0</v>
      </c>
      <c r="P56" s="619">
        <f t="shared" si="22"/>
        <v>0</v>
      </c>
      <c r="Q56" s="619">
        <f t="shared" si="22"/>
        <v>0</v>
      </c>
      <c r="R56" s="619">
        <f t="shared" si="22"/>
        <v>0</v>
      </c>
      <c r="S56" s="620">
        <f t="shared" si="22"/>
        <v>0</v>
      </c>
      <c r="T56" s="620">
        <f t="shared" si="3"/>
        <v>0</v>
      </c>
      <c r="U56" s="1027">
        <f t="shared" si="8"/>
        <v>8220000</v>
      </c>
      <c r="V56" s="822">
        <f t="shared" si="4"/>
        <v>8220000</v>
      </c>
      <c r="W56" s="822">
        <f t="shared" si="5"/>
        <v>8220000</v>
      </c>
    </row>
    <row r="57" spans="2:23" ht="12.75" customHeight="1">
      <c r="B57" s="270"/>
      <c r="C57" s="271"/>
      <c r="D57" s="412"/>
      <c r="E57" s="332" t="s">
        <v>1186</v>
      </c>
      <c r="F57" s="412"/>
      <c r="G57" s="413"/>
      <c r="H57" s="1310" t="s">
        <v>1185</v>
      </c>
      <c r="I57" s="1378"/>
      <c r="J57" s="1379"/>
      <c r="K57" s="848">
        <f t="shared" si="20"/>
        <v>7550000</v>
      </c>
      <c r="L57" s="848">
        <f t="shared" si="20"/>
        <v>2464524.64</v>
      </c>
      <c r="M57" s="848">
        <f t="shared" si="20"/>
        <v>8220000</v>
      </c>
      <c r="N57" s="276">
        <f t="shared" si="22"/>
        <v>0</v>
      </c>
      <c r="O57" s="276">
        <f t="shared" si="22"/>
        <v>0</v>
      </c>
      <c r="P57" s="276">
        <f t="shared" si="22"/>
        <v>0</v>
      </c>
      <c r="Q57" s="276">
        <f t="shared" si="22"/>
        <v>0</v>
      </c>
      <c r="R57" s="276">
        <f t="shared" si="22"/>
        <v>0</v>
      </c>
      <c r="S57" s="321">
        <f t="shared" si="22"/>
        <v>0</v>
      </c>
      <c r="T57" s="321">
        <f t="shared" si="3"/>
        <v>0</v>
      </c>
      <c r="U57" s="819">
        <f t="shared" si="8"/>
        <v>8220000</v>
      </c>
      <c r="V57" s="635">
        <f t="shared" si="4"/>
        <v>8220000</v>
      </c>
      <c r="W57" s="635">
        <f t="shared" si="5"/>
        <v>8220000</v>
      </c>
    </row>
    <row r="58" spans="2:23" s="574" customFormat="1" ht="27" customHeight="1">
      <c r="B58" s="569"/>
      <c r="C58" s="570"/>
      <c r="D58" s="629">
        <v>110</v>
      </c>
      <c r="E58" s="571"/>
      <c r="F58" s="572"/>
      <c r="G58" s="573"/>
      <c r="H58" s="1369" t="s">
        <v>1198</v>
      </c>
      <c r="I58" s="1370"/>
      <c r="J58" s="1371"/>
      <c r="K58" s="575">
        <f>SUM(K59:K71)</f>
        <v>7550000</v>
      </c>
      <c r="L58" s="575">
        <f aca="true" t="shared" si="23" ref="L58:S58">SUM(L59:L71)</f>
        <v>2464524.64</v>
      </c>
      <c r="M58" s="575">
        <f t="shared" si="23"/>
        <v>8220000</v>
      </c>
      <c r="N58" s="575">
        <f t="shared" si="23"/>
        <v>0</v>
      </c>
      <c r="O58" s="575">
        <f t="shared" si="23"/>
        <v>0</v>
      </c>
      <c r="P58" s="575">
        <f t="shared" si="23"/>
        <v>0</v>
      </c>
      <c r="Q58" s="575">
        <f t="shared" si="23"/>
        <v>0</v>
      </c>
      <c r="R58" s="575">
        <f t="shared" si="23"/>
        <v>0</v>
      </c>
      <c r="S58" s="575">
        <f t="shared" si="23"/>
        <v>0</v>
      </c>
      <c r="T58" s="575">
        <f t="shared" si="3"/>
        <v>0</v>
      </c>
      <c r="U58" s="1048">
        <f t="shared" si="8"/>
        <v>8220000</v>
      </c>
      <c r="V58" s="575">
        <f t="shared" si="4"/>
        <v>8220000</v>
      </c>
      <c r="W58" s="1048">
        <f t="shared" si="5"/>
        <v>8220000</v>
      </c>
    </row>
    <row r="59" spans="2:23" s="342" customFormat="1" ht="12.75">
      <c r="B59" s="336"/>
      <c r="C59" s="343"/>
      <c r="D59" s="338"/>
      <c r="E59" s="343"/>
      <c r="F59" s="354">
        <v>34</v>
      </c>
      <c r="G59" s="418">
        <v>411</v>
      </c>
      <c r="H59" s="1355" t="s">
        <v>27</v>
      </c>
      <c r="I59" s="1356"/>
      <c r="J59" s="1357"/>
      <c r="K59" s="860">
        <v>4700000</v>
      </c>
      <c r="L59" s="860">
        <v>1608098.4000000001</v>
      </c>
      <c r="M59" s="860">
        <v>4930000</v>
      </c>
      <c r="N59" s="425">
        <v>0</v>
      </c>
      <c r="O59" s="395">
        <v>0</v>
      </c>
      <c r="P59" s="395">
        <v>0</v>
      </c>
      <c r="Q59" s="398">
        <v>0</v>
      </c>
      <c r="R59" s="398">
        <v>0</v>
      </c>
      <c r="S59" s="398">
        <v>0</v>
      </c>
      <c r="T59" s="398">
        <f t="shared" si="3"/>
        <v>0</v>
      </c>
      <c r="U59" s="818">
        <f t="shared" si="8"/>
        <v>4930000</v>
      </c>
      <c r="V59" s="591">
        <f t="shared" si="4"/>
        <v>4930000</v>
      </c>
      <c r="W59" s="818">
        <f t="shared" si="5"/>
        <v>4930000</v>
      </c>
    </row>
    <row r="60" spans="2:23" s="342" customFormat="1" ht="12.75">
      <c r="B60" s="336"/>
      <c r="C60" s="343"/>
      <c r="D60" s="338"/>
      <c r="E60" s="343"/>
      <c r="F60" s="354">
        <v>35</v>
      </c>
      <c r="G60" s="418">
        <v>412</v>
      </c>
      <c r="H60" s="1355" t="s">
        <v>78</v>
      </c>
      <c r="I60" s="1356"/>
      <c r="J60" s="1357"/>
      <c r="K60" s="860">
        <v>800000</v>
      </c>
      <c r="L60" s="860">
        <v>259707.88</v>
      </c>
      <c r="M60" s="860">
        <v>810000</v>
      </c>
      <c r="N60" s="425">
        <v>0</v>
      </c>
      <c r="O60" s="395">
        <v>0</v>
      </c>
      <c r="P60" s="395">
        <v>0</v>
      </c>
      <c r="Q60" s="398">
        <v>0</v>
      </c>
      <c r="R60" s="398">
        <v>0</v>
      </c>
      <c r="S60" s="398">
        <v>0</v>
      </c>
      <c r="T60" s="398">
        <f t="shared" si="3"/>
        <v>0</v>
      </c>
      <c r="U60" s="818">
        <f t="shared" si="8"/>
        <v>810000</v>
      </c>
      <c r="V60" s="591">
        <f t="shared" si="4"/>
        <v>810000</v>
      </c>
      <c r="W60" s="818">
        <f t="shared" si="5"/>
        <v>810000</v>
      </c>
    </row>
    <row r="61" spans="2:23" s="342" customFormat="1" ht="12.75">
      <c r="B61" s="336"/>
      <c r="C61" s="343"/>
      <c r="D61" s="338"/>
      <c r="E61" s="343"/>
      <c r="F61" s="354">
        <v>36</v>
      </c>
      <c r="G61" s="418">
        <v>414</v>
      </c>
      <c r="H61" s="1363" t="s">
        <v>200</v>
      </c>
      <c r="I61" s="1364"/>
      <c r="J61" s="1365"/>
      <c r="K61" s="860">
        <v>50000</v>
      </c>
      <c r="L61" s="860">
        <v>0</v>
      </c>
      <c r="M61" s="860">
        <v>50000</v>
      </c>
      <c r="N61" s="425">
        <v>0</v>
      </c>
      <c r="O61" s="395">
        <v>0</v>
      </c>
      <c r="P61" s="395">
        <v>0</v>
      </c>
      <c r="Q61" s="398">
        <v>0</v>
      </c>
      <c r="R61" s="398">
        <v>0</v>
      </c>
      <c r="S61" s="398">
        <v>0</v>
      </c>
      <c r="T61" s="398">
        <f t="shared" si="3"/>
        <v>0</v>
      </c>
      <c r="U61" s="818">
        <f t="shared" si="8"/>
        <v>50000</v>
      </c>
      <c r="V61" s="591">
        <f t="shared" si="4"/>
        <v>50000</v>
      </c>
      <c r="W61" s="818">
        <f t="shared" si="5"/>
        <v>50000</v>
      </c>
    </row>
    <row r="62" spans="2:23" s="342" customFormat="1" ht="12.75">
      <c r="B62" s="336"/>
      <c r="C62" s="343"/>
      <c r="D62" s="338"/>
      <c r="E62" s="343"/>
      <c r="F62" s="354">
        <v>37</v>
      </c>
      <c r="G62" s="418">
        <v>415</v>
      </c>
      <c r="H62" s="1355" t="s">
        <v>31</v>
      </c>
      <c r="I62" s="1356"/>
      <c r="J62" s="1357"/>
      <c r="K62" s="860">
        <v>400000</v>
      </c>
      <c r="L62" s="860">
        <v>113288.88</v>
      </c>
      <c r="M62" s="860">
        <v>400000</v>
      </c>
      <c r="N62" s="425">
        <v>0</v>
      </c>
      <c r="O62" s="395">
        <v>0</v>
      </c>
      <c r="P62" s="395">
        <v>0</v>
      </c>
      <c r="Q62" s="398">
        <v>0</v>
      </c>
      <c r="R62" s="398">
        <v>0</v>
      </c>
      <c r="S62" s="398">
        <v>0</v>
      </c>
      <c r="T62" s="398">
        <f t="shared" si="3"/>
        <v>0</v>
      </c>
      <c r="U62" s="818">
        <f t="shared" si="8"/>
        <v>400000</v>
      </c>
      <c r="V62" s="591">
        <f t="shared" si="4"/>
        <v>400000</v>
      </c>
      <c r="W62" s="818">
        <f t="shared" si="5"/>
        <v>400000</v>
      </c>
    </row>
    <row r="63" spans="2:23" s="342" customFormat="1" ht="12.75">
      <c r="B63" s="336"/>
      <c r="C63" s="343"/>
      <c r="D63" s="338"/>
      <c r="E63" s="343"/>
      <c r="F63" s="354">
        <v>38</v>
      </c>
      <c r="G63" s="418">
        <v>416</v>
      </c>
      <c r="H63" s="1102" t="s">
        <v>197</v>
      </c>
      <c r="I63" s="1103"/>
      <c r="J63" s="1104"/>
      <c r="K63" s="860">
        <v>100000</v>
      </c>
      <c r="L63" s="860">
        <v>0</v>
      </c>
      <c r="M63" s="860">
        <v>100000</v>
      </c>
      <c r="N63" s="425">
        <v>0</v>
      </c>
      <c r="O63" s="395">
        <v>0</v>
      </c>
      <c r="P63" s="395">
        <v>0</v>
      </c>
      <c r="Q63" s="398">
        <v>0</v>
      </c>
      <c r="R63" s="398">
        <v>0</v>
      </c>
      <c r="S63" s="398">
        <v>0</v>
      </c>
      <c r="T63" s="398">
        <f t="shared" si="3"/>
        <v>0</v>
      </c>
      <c r="U63" s="818">
        <f t="shared" si="8"/>
        <v>100000</v>
      </c>
      <c r="V63" s="591">
        <f t="shared" si="4"/>
        <v>100000</v>
      </c>
      <c r="W63" s="818">
        <f t="shared" si="5"/>
        <v>100000</v>
      </c>
    </row>
    <row r="64" spans="2:23" s="342" customFormat="1" ht="12.75">
      <c r="B64" s="336"/>
      <c r="C64" s="343"/>
      <c r="D64" s="338"/>
      <c r="E64" s="343"/>
      <c r="F64" s="354">
        <v>39</v>
      </c>
      <c r="G64" s="418">
        <v>421</v>
      </c>
      <c r="H64" s="1363" t="s">
        <v>33</v>
      </c>
      <c r="I64" s="1364"/>
      <c r="J64" s="1365"/>
      <c r="K64" s="860">
        <v>100000</v>
      </c>
      <c r="L64" s="860">
        <v>0</v>
      </c>
      <c r="M64" s="860">
        <v>100000</v>
      </c>
      <c r="N64" s="425">
        <v>0</v>
      </c>
      <c r="O64" s="395">
        <v>0</v>
      </c>
      <c r="P64" s="395">
        <v>0</v>
      </c>
      <c r="Q64" s="398">
        <v>0</v>
      </c>
      <c r="R64" s="398">
        <v>0</v>
      </c>
      <c r="S64" s="398">
        <v>0</v>
      </c>
      <c r="T64" s="398">
        <f t="shared" si="3"/>
        <v>0</v>
      </c>
      <c r="U64" s="818">
        <f t="shared" si="8"/>
        <v>100000</v>
      </c>
      <c r="V64" s="591">
        <f t="shared" si="4"/>
        <v>100000</v>
      </c>
      <c r="W64" s="818">
        <f t="shared" si="5"/>
        <v>100000</v>
      </c>
    </row>
    <row r="65" spans="2:23" s="342" customFormat="1" ht="12.75">
      <c r="B65" s="336"/>
      <c r="C65" s="343"/>
      <c r="D65" s="338"/>
      <c r="E65" s="343"/>
      <c r="F65" s="354">
        <v>40</v>
      </c>
      <c r="G65" s="418">
        <v>422</v>
      </c>
      <c r="H65" s="1363" t="s">
        <v>34</v>
      </c>
      <c r="I65" s="1364"/>
      <c r="J65" s="1365"/>
      <c r="K65" s="860">
        <v>50000</v>
      </c>
      <c r="L65" s="860">
        <v>0</v>
      </c>
      <c r="M65" s="860">
        <v>50000</v>
      </c>
      <c r="N65" s="425">
        <v>0</v>
      </c>
      <c r="O65" s="395">
        <v>0</v>
      </c>
      <c r="P65" s="395">
        <v>0</v>
      </c>
      <c r="Q65" s="398">
        <v>0</v>
      </c>
      <c r="R65" s="398">
        <v>0</v>
      </c>
      <c r="S65" s="398">
        <v>0</v>
      </c>
      <c r="T65" s="398">
        <f t="shared" si="3"/>
        <v>0</v>
      </c>
      <c r="U65" s="818">
        <f t="shared" si="8"/>
        <v>50000</v>
      </c>
      <c r="V65" s="591">
        <f t="shared" si="4"/>
        <v>50000</v>
      </c>
      <c r="W65" s="818">
        <f t="shared" si="5"/>
        <v>50000</v>
      </c>
    </row>
    <row r="66" spans="2:23" s="342" customFormat="1" ht="12.75">
      <c r="B66" s="336"/>
      <c r="C66" s="343"/>
      <c r="D66" s="338"/>
      <c r="E66" s="343"/>
      <c r="F66" s="354">
        <v>41</v>
      </c>
      <c r="G66" s="418">
        <v>423</v>
      </c>
      <c r="H66" s="1363" t="s">
        <v>35</v>
      </c>
      <c r="I66" s="1364"/>
      <c r="J66" s="1365"/>
      <c r="K66" s="860">
        <v>200000</v>
      </c>
      <c r="L66" s="860">
        <v>28150.38</v>
      </c>
      <c r="M66" s="860">
        <v>200000</v>
      </c>
      <c r="N66" s="425">
        <v>0</v>
      </c>
      <c r="O66" s="395">
        <v>0</v>
      </c>
      <c r="P66" s="395">
        <v>0</v>
      </c>
      <c r="Q66" s="398">
        <v>0</v>
      </c>
      <c r="R66" s="398">
        <v>0</v>
      </c>
      <c r="S66" s="398">
        <v>0</v>
      </c>
      <c r="T66" s="398">
        <f t="shared" si="3"/>
        <v>0</v>
      </c>
      <c r="U66" s="818">
        <f t="shared" si="8"/>
        <v>200000</v>
      </c>
      <c r="V66" s="591">
        <f t="shared" si="4"/>
        <v>200000</v>
      </c>
      <c r="W66" s="818">
        <f t="shared" si="5"/>
        <v>200000</v>
      </c>
    </row>
    <row r="67" spans="2:23" s="342" customFormat="1" ht="12.75">
      <c r="B67" s="336"/>
      <c r="C67" s="343"/>
      <c r="D67" s="338"/>
      <c r="E67" s="343"/>
      <c r="F67" s="354">
        <v>42</v>
      </c>
      <c r="G67" s="428">
        <v>423</v>
      </c>
      <c r="H67" s="1257" t="s">
        <v>1379</v>
      </c>
      <c r="I67" s="1258"/>
      <c r="J67" s="1259"/>
      <c r="K67" s="723">
        <v>340000</v>
      </c>
      <c r="L67" s="723">
        <v>101250</v>
      </c>
      <c r="M67" s="723">
        <v>340000</v>
      </c>
      <c r="N67" s="425">
        <v>0</v>
      </c>
      <c r="O67" s="395">
        <v>0</v>
      </c>
      <c r="P67" s="395">
        <v>0</v>
      </c>
      <c r="Q67" s="398">
        <v>0</v>
      </c>
      <c r="R67" s="398">
        <v>0</v>
      </c>
      <c r="S67" s="398">
        <v>0</v>
      </c>
      <c r="T67" s="398">
        <f t="shared" si="3"/>
        <v>0</v>
      </c>
      <c r="U67" s="818">
        <f t="shared" si="8"/>
        <v>340000</v>
      </c>
      <c r="V67" s="591">
        <f t="shared" si="4"/>
        <v>340000</v>
      </c>
      <c r="W67" s="818">
        <f t="shared" si="5"/>
        <v>340000</v>
      </c>
    </row>
    <row r="68" spans="2:23" s="342" customFormat="1" ht="12.75">
      <c r="B68" s="336"/>
      <c r="C68" s="343"/>
      <c r="D68" s="338"/>
      <c r="E68" s="343"/>
      <c r="F68" s="354">
        <v>43</v>
      </c>
      <c r="G68" s="418">
        <v>423</v>
      </c>
      <c r="H68" s="1355" t="s">
        <v>86</v>
      </c>
      <c r="I68" s="1356"/>
      <c r="J68" s="1357"/>
      <c r="K68" s="860">
        <v>100000</v>
      </c>
      <c r="L68" s="860">
        <v>0</v>
      </c>
      <c r="M68" s="860">
        <v>100000</v>
      </c>
      <c r="N68" s="425">
        <v>0</v>
      </c>
      <c r="O68" s="395">
        <v>0</v>
      </c>
      <c r="P68" s="395">
        <v>0</v>
      </c>
      <c r="Q68" s="398">
        <v>0</v>
      </c>
      <c r="R68" s="398">
        <v>0</v>
      </c>
      <c r="S68" s="398">
        <v>0</v>
      </c>
      <c r="T68" s="398">
        <f t="shared" si="3"/>
        <v>0</v>
      </c>
      <c r="U68" s="818">
        <f t="shared" si="8"/>
        <v>100000</v>
      </c>
      <c r="V68" s="591">
        <f t="shared" si="4"/>
        <v>100000</v>
      </c>
      <c r="W68" s="818">
        <f t="shared" si="5"/>
        <v>100000</v>
      </c>
    </row>
    <row r="69" spans="2:23" s="342" customFormat="1" ht="12.75">
      <c r="B69" s="336"/>
      <c r="C69" s="343"/>
      <c r="D69" s="338"/>
      <c r="E69" s="343"/>
      <c r="F69" s="354">
        <v>44</v>
      </c>
      <c r="G69" s="418">
        <v>423</v>
      </c>
      <c r="H69" s="1366" t="s">
        <v>1332</v>
      </c>
      <c r="I69" s="1367"/>
      <c r="J69" s="1368"/>
      <c r="K69" s="861">
        <v>300000</v>
      </c>
      <c r="L69" s="861">
        <v>124490.44</v>
      </c>
      <c r="M69" s="861">
        <v>550000</v>
      </c>
      <c r="N69" s="425">
        <v>0</v>
      </c>
      <c r="O69" s="395">
        <v>0</v>
      </c>
      <c r="P69" s="395">
        <v>0</v>
      </c>
      <c r="Q69" s="398">
        <v>0</v>
      </c>
      <c r="R69" s="398">
        <v>0</v>
      </c>
      <c r="S69" s="398">
        <v>0</v>
      </c>
      <c r="T69" s="398">
        <f t="shared" si="3"/>
        <v>0</v>
      </c>
      <c r="U69" s="818">
        <f t="shared" si="8"/>
        <v>550000</v>
      </c>
      <c r="V69" s="591">
        <f t="shared" si="4"/>
        <v>550000</v>
      </c>
      <c r="W69" s="818">
        <f t="shared" si="5"/>
        <v>550000</v>
      </c>
    </row>
    <row r="70" spans="2:23" s="342" customFormat="1" ht="12.75">
      <c r="B70" s="336"/>
      <c r="C70" s="343"/>
      <c r="D70" s="338"/>
      <c r="E70" s="343"/>
      <c r="F70" s="354">
        <v>45</v>
      </c>
      <c r="G70" s="513">
        <v>426</v>
      </c>
      <c r="H70" s="1403" t="s">
        <v>38</v>
      </c>
      <c r="I70" s="1403"/>
      <c r="J70" s="1403"/>
      <c r="K70" s="979">
        <v>360000</v>
      </c>
      <c r="L70" s="979">
        <v>179538.66</v>
      </c>
      <c r="M70" s="979">
        <v>540000</v>
      </c>
      <c r="N70" s="389">
        <v>0</v>
      </c>
      <c r="O70" s="395">
        <v>0</v>
      </c>
      <c r="P70" s="395">
        <v>0</v>
      </c>
      <c r="Q70" s="398">
        <v>0</v>
      </c>
      <c r="R70" s="398">
        <v>0</v>
      </c>
      <c r="S70" s="398">
        <v>0</v>
      </c>
      <c r="T70" s="398">
        <f t="shared" si="3"/>
        <v>0</v>
      </c>
      <c r="U70" s="818">
        <f t="shared" si="8"/>
        <v>540000</v>
      </c>
      <c r="V70" s="591">
        <f t="shared" si="4"/>
        <v>540000</v>
      </c>
      <c r="W70" s="818">
        <f t="shared" si="5"/>
        <v>540000</v>
      </c>
    </row>
    <row r="71" spans="2:23" s="342" customFormat="1" ht="12.75">
      <c r="B71" s="336"/>
      <c r="C71" s="343"/>
      <c r="D71" s="338"/>
      <c r="E71" s="343"/>
      <c r="F71" s="354" t="s">
        <v>1568</v>
      </c>
      <c r="G71" s="771">
        <v>472</v>
      </c>
      <c r="H71" s="1254" t="s">
        <v>1583</v>
      </c>
      <c r="I71" s="1255"/>
      <c r="J71" s="1256"/>
      <c r="K71" s="979">
        <v>50000</v>
      </c>
      <c r="L71" s="979">
        <v>50000</v>
      </c>
      <c r="M71" s="979">
        <v>50000</v>
      </c>
      <c r="N71" s="389">
        <v>0</v>
      </c>
      <c r="O71" s="388">
        <v>0</v>
      </c>
      <c r="P71" s="388">
        <v>0</v>
      </c>
      <c r="Q71" s="401">
        <v>0</v>
      </c>
      <c r="R71" s="401"/>
      <c r="S71" s="401">
        <v>0</v>
      </c>
      <c r="T71" s="401">
        <f t="shared" si="3"/>
        <v>0</v>
      </c>
      <c r="U71" s="818">
        <f>M71+N71+O71+P71+Q71</f>
        <v>50000</v>
      </c>
      <c r="V71" s="591">
        <f t="shared" si="4"/>
        <v>50000</v>
      </c>
      <c r="W71" s="818">
        <f t="shared" si="5"/>
        <v>50000</v>
      </c>
    </row>
    <row r="72" spans="2:23" s="484" customFormat="1" ht="12.75">
      <c r="B72" s="485" t="s">
        <v>1166</v>
      </c>
      <c r="C72" s="486"/>
      <c r="D72" s="487"/>
      <c r="E72" s="488"/>
      <c r="F72" s="487"/>
      <c r="G72" s="980"/>
      <c r="H72" s="1375" t="s">
        <v>88</v>
      </c>
      <c r="I72" s="1376"/>
      <c r="J72" s="1377"/>
      <c r="K72" s="846">
        <f aca="true" t="shared" si="24" ref="K72:S72">K73+K130+K138+K143+K191+K205+K247+K261+K278+K293+K317+K328+K333+K346+K365+K386+K409+K421+K437+K448+K461+K474+K487</f>
        <v>425966689</v>
      </c>
      <c r="L72" s="846">
        <f t="shared" si="24"/>
        <v>107461859.83</v>
      </c>
      <c r="M72" s="846">
        <f t="shared" si="24"/>
        <v>453460869</v>
      </c>
      <c r="N72" s="489">
        <f t="shared" si="24"/>
        <v>182000</v>
      </c>
      <c r="O72" s="489">
        <f t="shared" si="24"/>
        <v>610000</v>
      </c>
      <c r="P72" s="489">
        <f t="shared" si="24"/>
        <v>73956477.47</v>
      </c>
      <c r="Q72" s="489">
        <f t="shared" si="24"/>
        <v>101708979</v>
      </c>
      <c r="R72" s="489">
        <f t="shared" si="24"/>
        <v>0</v>
      </c>
      <c r="S72" s="489">
        <f t="shared" si="24"/>
        <v>427000</v>
      </c>
      <c r="T72" s="795">
        <f aca="true" t="shared" si="25" ref="T72:T135">SUM(N72:S72)</f>
        <v>176884456.47</v>
      </c>
      <c r="U72" s="809">
        <f aca="true" t="shared" si="26" ref="U72:U135">M72+N72+O72+P72+Q72+R72+S72</f>
        <v>630345325.47</v>
      </c>
      <c r="V72" s="810">
        <f t="shared" si="4"/>
        <v>630345325.47</v>
      </c>
      <c r="W72" s="1028">
        <f t="shared" si="5"/>
        <v>630345325.47</v>
      </c>
    </row>
    <row r="73" spans="2:23" s="668" customFormat="1" ht="12.75">
      <c r="B73" s="617"/>
      <c r="C73" s="618"/>
      <c r="D73" s="594"/>
      <c r="E73" s="593" t="s">
        <v>279</v>
      </c>
      <c r="F73" s="594"/>
      <c r="G73" s="595"/>
      <c r="H73" s="1287" t="s">
        <v>1238</v>
      </c>
      <c r="I73" s="1288"/>
      <c r="J73" s="1288"/>
      <c r="K73" s="889">
        <f>K74+K106+K117+K124+K127</f>
        <v>99296641</v>
      </c>
      <c r="L73" s="889">
        <f>L74+L106+L117+L124+L127</f>
        <v>27099927.820000004</v>
      </c>
      <c r="M73" s="889">
        <f>M74+M106+M117+M124+M127</f>
        <v>107263741</v>
      </c>
      <c r="N73" s="619">
        <f aca="true" t="shared" si="27" ref="N73:S73">N74+N106+N117+N124+N127+N112</f>
        <v>0</v>
      </c>
      <c r="O73" s="619">
        <f t="shared" si="27"/>
        <v>0</v>
      </c>
      <c r="P73" s="619">
        <f t="shared" si="27"/>
        <v>5922765.470000001</v>
      </c>
      <c r="Q73" s="619">
        <f t="shared" si="27"/>
        <v>3830000</v>
      </c>
      <c r="R73" s="619">
        <f t="shared" si="27"/>
        <v>0</v>
      </c>
      <c r="S73" s="619">
        <f t="shared" si="27"/>
        <v>0</v>
      </c>
      <c r="T73" s="620">
        <f t="shared" si="25"/>
        <v>9752765.47</v>
      </c>
      <c r="U73" s="1027">
        <f t="shared" si="26"/>
        <v>117016506.47</v>
      </c>
      <c r="V73" s="1220">
        <f aca="true" t="shared" si="28" ref="V73:V136">U73</f>
        <v>117016506.47</v>
      </c>
      <c r="W73" s="822">
        <f aca="true" t="shared" si="29" ref="W73:W136">U73</f>
        <v>117016506.47</v>
      </c>
    </row>
    <row r="74" spans="2:23" ht="13.5" customHeight="1">
      <c r="B74" s="270"/>
      <c r="C74" s="271"/>
      <c r="D74" s="412"/>
      <c r="E74" s="332" t="s">
        <v>281</v>
      </c>
      <c r="F74" s="412"/>
      <c r="G74" s="413"/>
      <c r="H74" s="1310" t="s">
        <v>308</v>
      </c>
      <c r="I74" s="1378"/>
      <c r="J74" s="1379"/>
      <c r="K74" s="848">
        <f aca="true" t="shared" si="30" ref="K74:S74">K75</f>
        <v>93493641</v>
      </c>
      <c r="L74" s="848">
        <f t="shared" si="30"/>
        <v>26788091.820000004</v>
      </c>
      <c r="M74" s="848">
        <f t="shared" si="30"/>
        <v>99333741</v>
      </c>
      <c r="N74" s="848">
        <f t="shared" si="30"/>
        <v>0</v>
      </c>
      <c r="O74" s="276">
        <f t="shared" si="30"/>
        <v>0</v>
      </c>
      <c r="P74" s="276">
        <f t="shared" si="30"/>
        <v>5922765.470000001</v>
      </c>
      <c r="Q74" s="276">
        <f t="shared" si="30"/>
        <v>3830000</v>
      </c>
      <c r="R74" s="276">
        <f t="shared" si="30"/>
        <v>0</v>
      </c>
      <c r="S74" s="276">
        <f t="shared" si="30"/>
        <v>0</v>
      </c>
      <c r="T74" s="321">
        <f t="shared" si="25"/>
        <v>9752765.47</v>
      </c>
      <c r="U74" s="819">
        <f t="shared" si="26"/>
        <v>109086506.47</v>
      </c>
      <c r="V74" s="635">
        <f t="shared" si="28"/>
        <v>109086506.47</v>
      </c>
      <c r="W74" s="635">
        <f t="shared" si="29"/>
        <v>109086506.47</v>
      </c>
    </row>
    <row r="75" spans="2:23" s="23" customFormat="1" ht="12.75">
      <c r="B75" s="529"/>
      <c r="C75" s="530"/>
      <c r="D75" s="56">
        <v>130</v>
      </c>
      <c r="E75" s="58"/>
      <c r="F75" s="531"/>
      <c r="G75" s="532"/>
      <c r="H75" s="1296" t="s">
        <v>89</v>
      </c>
      <c r="I75" s="1297"/>
      <c r="J75" s="708"/>
      <c r="K75" s="522">
        <f>SUM(K76:K105)</f>
        <v>93493641</v>
      </c>
      <c r="L75" s="522">
        <f>SUM(L76:L105)</f>
        <v>26788091.820000004</v>
      </c>
      <c r="M75" s="522">
        <f>SUM(M76:M105)</f>
        <v>99333741</v>
      </c>
      <c r="N75" s="68">
        <f aca="true" t="shared" si="31" ref="N75:S75">SUM(N76:N105)</f>
        <v>0</v>
      </c>
      <c r="O75" s="68">
        <f t="shared" si="31"/>
        <v>0</v>
      </c>
      <c r="P75" s="68">
        <f t="shared" si="31"/>
        <v>5922765.470000001</v>
      </c>
      <c r="Q75" s="68">
        <f t="shared" si="31"/>
        <v>3830000</v>
      </c>
      <c r="R75" s="68">
        <f t="shared" si="31"/>
        <v>0</v>
      </c>
      <c r="S75" s="68">
        <f t="shared" si="31"/>
        <v>0</v>
      </c>
      <c r="T75" s="324">
        <f t="shared" si="25"/>
        <v>9752765.47</v>
      </c>
      <c r="U75" s="1048">
        <f t="shared" si="26"/>
        <v>109086506.47</v>
      </c>
      <c r="V75" s="811">
        <f t="shared" si="28"/>
        <v>109086506.47</v>
      </c>
      <c r="W75" s="1048">
        <f t="shared" si="29"/>
        <v>109086506.47</v>
      </c>
    </row>
    <row r="76" spans="2:23" s="342" customFormat="1" ht="12.75">
      <c r="B76" s="336"/>
      <c r="C76" s="343"/>
      <c r="D76" s="338"/>
      <c r="E76" s="343"/>
      <c r="F76" s="354">
        <v>46</v>
      </c>
      <c r="G76" s="418">
        <v>411</v>
      </c>
      <c r="H76" s="1263" t="s">
        <v>27</v>
      </c>
      <c r="I76" s="1264"/>
      <c r="J76" s="1265"/>
      <c r="K76" s="857">
        <v>33000000</v>
      </c>
      <c r="L76" s="857">
        <v>10708987.510000002</v>
      </c>
      <c r="M76" s="358">
        <v>34790000</v>
      </c>
      <c r="N76" s="425">
        <v>0</v>
      </c>
      <c r="O76" s="395">
        <v>0</v>
      </c>
      <c r="P76" s="395">
        <v>0</v>
      </c>
      <c r="Q76" s="398">
        <v>0</v>
      </c>
      <c r="R76" s="398">
        <v>0</v>
      </c>
      <c r="S76" s="398">
        <v>0</v>
      </c>
      <c r="T76" s="398">
        <f t="shared" si="25"/>
        <v>0</v>
      </c>
      <c r="U76" s="818">
        <f t="shared" si="26"/>
        <v>34790000</v>
      </c>
      <c r="V76" s="591">
        <f t="shared" si="28"/>
        <v>34790000</v>
      </c>
      <c r="W76" s="818">
        <f t="shared" si="29"/>
        <v>34790000</v>
      </c>
    </row>
    <row r="77" spans="2:23" s="342" customFormat="1" ht="12.75">
      <c r="B77" s="336"/>
      <c r="C77" s="343"/>
      <c r="D77" s="338"/>
      <c r="E77" s="343"/>
      <c r="F77" s="354">
        <v>47</v>
      </c>
      <c r="G77" s="418">
        <v>412</v>
      </c>
      <c r="H77" s="1257" t="s">
        <v>78</v>
      </c>
      <c r="I77" s="1258"/>
      <c r="J77" s="1259"/>
      <c r="K77" s="358">
        <v>5900000</v>
      </c>
      <c r="L77" s="358">
        <v>1725178.4100000004</v>
      </c>
      <c r="M77" s="358">
        <v>5700000</v>
      </c>
      <c r="N77" s="425">
        <v>0</v>
      </c>
      <c r="O77" s="395">
        <v>0</v>
      </c>
      <c r="P77" s="395">
        <v>0</v>
      </c>
      <c r="Q77" s="398">
        <v>0</v>
      </c>
      <c r="R77" s="398">
        <v>0</v>
      </c>
      <c r="S77" s="398">
        <v>0</v>
      </c>
      <c r="T77" s="398">
        <f t="shared" si="25"/>
        <v>0</v>
      </c>
      <c r="U77" s="818">
        <f t="shared" si="26"/>
        <v>5700000</v>
      </c>
      <c r="V77" s="591">
        <f t="shared" si="28"/>
        <v>5700000</v>
      </c>
      <c r="W77" s="818">
        <f t="shared" si="29"/>
        <v>5700000</v>
      </c>
    </row>
    <row r="78" spans="2:23" s="342" customFormat="1" ht="12.75">
      <c r="B78" s="336"/>
      <c r="C78" s="343"/>
      <c r="D78" s="338"/>
      <c r="E78" s="343"/>
      <c r="F78" s="354">
        <v>48</v>
      </c>
      <c r="G78" s="418">
        <v>414</v>
      </c>
      <c r="H78" s="1257" t="s">
        <v>30</v>
      </c>
      <c r="I78" s="1258"/>
      <c r="J78" s="1259"/>
      <c r="K78" s="358">
        <v>1000000</v>
      </c>
      <c r="L78" s="358">
        <v>54550.07000000001</v>
      </c>
      <c r="M78" s="358">
        <v>1000000</v>
      </c>
      <c r="N78" s="425">
        <v>0</v>
      </c>
      <c r="O78" s="395">
        <v>0</v>
      </c>
      <c r="P78" s="395">
        <v>0</v>
      </c>
      <c r="Q78" s="398">
        <v>0</v>
      </c>
      <c r="R78" s="398">
        <v>0</v>
      </c>
      <c r="S78" s="398">
        <v>0</v>
      </c>
      <c r="T78" s="398">
        <f t="shared" si="25"/>
        <v>0</v>
      </c>
      <c r="U78" s="818">
        <f t="shared" si="26"/>
        <v>1000000</v>
      </c>
      <c r="V78" s="591">
        <f t="shared" si="28"/>
        <v>1000000</v>
      </c>
      <c r="W78" s="818">
        <f t="shared" si="29"/>
        <v>1000000</v>
      </c>
    </row>
    <row r="79" spans="2:23" s="342" customFormat="1" ht="12.75">
      <c r="B79" s="336"/>
      <c r="C79" s="343"/>
      <c r="D79" s="338"/>
      <c r="E79" s="343"/>
      <c r="F79" s="354">
        <v>49</v>
      </c>
      <c r="G79" s="418">
        <v>415</v>
      </c>
      <c r="H79" s="1257" t="s">
        <v>31</v>
      </c>
      <c r="I79" s="1258"/>
      <c r="J79" s="1259"/>
      <c r="K79" s="358">
        <v>2160000</v>
      </c>
      <c r="L79" s="358">
        <v>610200.1</v>
      </c>
      <c r="M79" s="358">
        <v>2160000</v>
      </c>
      <c r="N79" s="425">
        <v>0</v>
      </c>
      <c r="O79" s="395">
        <v>0</v>
      </c>
      <c r="P79" s="395">
        <v>0</v>
      </c>
      <c r="Q79" s="398">
        <v>0</v>
      </c>
      <c r="R79" s="398">
        <v>0</v>
      </c>
      <c r="S79" s="398">
        <v>0</v>
      </c>
      <c r="T79" s="398">
        <f t="shared" si="25"/>
        <v>0</v>
      </c>
      <c r="U79" s="818">
        <f t="shared" si="26"/>
        <v>2160000</v>
      </c>
      <c r="V79" s="591">
        <f t="shared" si="28"/>
        <v>2160000</v>
      </c>
      <c r="W79" s="818">
        <f t="shared" si="29"/>
        <v>2160000</v>
      </c>
    </row>
    <row r="80" spans="2:23" s="342" customFormat="1" ht="12.75">
      <c r="B80" s="336"/>
      <c r="C80" s="343"/>
      <c r="D80" s="338"/>
      <c r="E80" s="343"/>
      <c r="F80" s="354">
        <v>50</v>
      </c>
      <c r="G80" s="418">
        <v>416</v>
      </c>
      <c r="H80" s="1269" t="s">
        <v>197</v>
      </c>
      <c r="I80" s="1270"/>
      <c r="J80" s="1271"/>
      <c r="K80" s="358">
        <v>350000</v>
      </c>
      <c r="L80" s="358">
        <v>266907</v>
      </c>
      <c r="M80" s="358">
        <v>550000</v>
      </c>
      <c r="N80" s="425">
        <v>0</v>
      </c>
      <c r="O80" s="395">
        <v>0</v>
      </c>
      <c r="P80" s="395">
        <v>0</v>
      </c>
      <c r="Q80" s="398">
        <v>0</v>
      </c>
      <c r="R80" s="398">
        <v>0</v>
      </c>
      <c r="S80" s="398">
        <v>0</v>
      </c>
      <c r="T80" s="398">
        <f t="shared" si="25"/>
        <v>0</v>
      </c>
      <c r="U80" s="818">
        <f t="shared" si="26"/>
        <v>550000</v>
      </c>
      <c r="V80" s="591">
        <f t="shared" si="28"/>
        <v>550000</v>
      </c>
      <c r="W80" s="818">
        <f t="shared" si="29"/>
        <v>550000</v>
      </c>
    </row>
    <row r="81" spans="2:23" s="342" customFormat="1" ht="12.75">
      <c r="B81" s="336"/>
      <c r="C81" s="343"/>
      <c r="D81" s="338"/>
      <c r="E81" s="343"/>
      <c r="F81" s="354">
        <v>51</v>
      </c>
      <c r="G81" s="428">
        <v>421</v>
      </c>
      <c r="H81" s="1257" t="s">
        <v>33</v>
      </c>
      <c r="I81" s="1258"/>
      <c r="J81" s="1259"/>
      <c r="K81" s="358">
        <v>6000000</v>
      </c>
      <c r="L81" s="358">
        <v>3737025.26</v>
      </c>
      <c r="M81" s="358">
        <v>9000000</v>
      </c>
      <c r="N81" s="425">
        <v>0</v>
      </c>
      <c r="O81" s="395">
        <v>0</v>
      </c>
      <c r="P81" s="395">
        <v>53748</v>
      </c>
      <c r="Q81" s="398">
        <v>0</v>
      </c>
      <c r="R81" s="398">
        <v>0</v>
      </c>
      <c r="S81" s="398">
        <v>0</v>
      </c>
      <c r="T81" s="398">
        <f t="shared" si="25"/>
        <v>53748</v>
      </c>
      <c r="U81" s="818">
        <f t="shared" si="26"/>
        <v>9053748</v>
      </c>
      <c r="V81" s="591">
        <f t="shared" si="28"/>
        <v>9053748</v>
      </c>
      <c r="W81" s="818">
        <f t="shared" si="29"/>
        <v>9053748</v>
      </c>
    </row>
    <row r="82" spans="2:23" s="342" customFormat="1" ht="12.75">
      <c r="B82" s="336"/>
      <c r="C82" s="343"/>
      <c r="D82" s="338"/>
      <c r="E82" s="343"/>
      <c r="F82" s="354">
        <v>52</v>
      </c>
      <c r="G82" s="428">
        <v>422</v>
      </c>
      <c r="H82" s="1269" t="s">
        <v>34</v>
      </c>
      <c r="I82" s="1270"/>
      <c r="J82" s="1271"/>
      <c r="K82" s="358">
        <v>50000</v>
      </c>
      <c r="L82" s="358">
        <v>1680</v>
      </c>
      <c r="M82" s="358">
        <v>50000</v>
      </c>
      <c r="N82" s="425">
        <v>0</v>
      </c>
      <c r="O82" s="395">
        <v>0</v>
      </c>
      <c r="P82" s="395">
        <v>0</v>
      </c>
      <c r="Q82" s="398">
        <v>0</v>
      </c>
      <c r="R82" s="398">
        <v>0</v>
      </c>
      <c r="S82" s="398">
        <v>0</v>
      </c>
      <c r="T82" s="398">
        <f t="shared" si="25"/>
        <v>0</v>
      </c>
      <c r="U82" s="818">
        <f t="shared" si="26"/>
        <v>50000</v>
      </c>
      <c r="V82" s="591">
        <f t="shared" si="28"/>
        <v>50000</v>
      </c>
      <c r="W82" s="818">
        <f t="shared" si="29"/>
        <v>50000</v>
      </c>
    </row>
    <row r="83" spans="2:23" s="342" customFormat="1" ht="12.75">
      <c r="B83" s="336"/>
      <c r="C83" s="343"/>
      <c r="D83" s="338"/>
      <c r="E83" s="343"/>
      <c r="F83" s="354">
        <v>53</v>
      </c>
      <c r="G83" s="428">
        <v>423</v>
      </c>
      <c r="H83" s="1269" t="s">
        <v>35</v>
      </c>
      <c r="I83" s="1270"/>
      <c r="J83" s="1271"/>
      <c r="K83" s="358">
        <v>20000000</v>
      </c>
      <c r="L83" s="358">
        <v>5776715.159999999</v>
      </c>
      <c r="M83" s="358">
        <v>21000000</v>
      </c>
      <c r="N83" s="425">
        <v>0</v>
      </c>
      <c r="O83" s="395">
        <v>0</v>
      </c>
      <c r="P83" s="395">
        <v>5181748.32</v>
      </c>
      <c r="Q83" s="398">
        <v>3000000</v>
      </c>
      <c r="R83" s="398">
        <v>0</v>
      </c>
      <c r="S83" s="398">
        <v>0</v>
      </c>
      <c r="T83" s="398">
        <f t="shared" si="25"/>
        <v>8181748.32</v>
      </c>
      <c r="U83" s="818">
        <f>SUM(M83:S83)</f>
        <v>29181748.32</v>
      </c>
      <c r="V83" s="591">
        <f t="shared" si="28"/>
        <v>29181748.32</v>
      </c>
      <c r="W83" s="818">
        <f t="shared" si="29"/>
        <v>29181748.32</v>
      </c>
    </row>
    <row r="84" spans="1:23" s="342" customFormat="1" ht="12.75">
      <c r="A84" s="342" t="s">
        <v>1443</v>
      </c>
      <c r="B84" s="336"/>
      <c r="C84" s="343"/>
      <c r="D84" s="338"/>
      <c r="E84" s="343"/>
      <c r="F84" s="354">
        <v>54</v>
      </c>
      <c r="G84" s="428">
        <v>423</v>
      </c>
      <c r="H84" s="1269" t="s">
        <v>1444</v>
      </c>
      <c r="I84" s="1270"/>
      <c r="J84" s="1271"/>
      <c r="K84" s="358">
        <v>200000</v>
      </c>
      <c r="L84" s="358">
        <v>0</v>
      </c>
      <c r="M84" s="358">
        <v>200000</v>
      </c>
      <c r="N84" s="425">
        <v>0</v>
      </c>
      <c r="O84" s="395">
        <v>0</v>
      </c>
      <c r="P84" s="395">
        <v>0</v>
      </c>
      <c r="Q84" s="398">
        <v>0</v>
      </c>
      <c r="R84" s="398">
        <v>0</v>
      </c>
      <c r="S84" s="398">
        <v>0</v>
      </c>
      <c r="T84" s="398">
        <f t="shared" si="25"/>
        <v>0</v>
      </c>
      <c r="U84" s="818">
        <f t="shared" si="26"/>
        <v>200000</v>
      </c>
      <c r="V84" s="591">
        <f t="shared" si="28"/>
        <v>200000</v>
      </c>
      <c r="W84" s="818">
        <f t="shared" si="29"/>
        <v>200000</v>
      </c>
    </row>
    <row r="85" spans="2:23" s="342" customFormat="1" ht="12.75">
      <c r="B85" s="336"/>
      <c r="C85" s="343"/>
      <c r="D85" s="338"/>
      <c r="E85" s="343"/>
      <c r="F85" s="354">
        <v>55</v>
      </c>
      <c r="G85" s="418">
        <v>423</v>
      </c>
      <c r="H85" s="1257" t="s">
        <v>1332</v>
      </c>
      <c r="I85" s="1258"/>
      <c r="J85" s="1259"/>
      <c r="K85" s="358">
        <v>200000</v>
      </c>
      <c r="L85" s="358">
        <v>147125.01</v>
      </c>
      <c r="M85" s="358">
        <v>800000</v>
      </c>
      <c r="N85" s="425">
        <v>0</v>
      </c>
      <c r="O85" s="395">
        <v>0</v>
      </c>
      <c r="P85" s="395">
        <v>0</v>
      </c>
      <c r="Q85" s="398">
        <v>0</v>
      </c>
      <c r="R85" s="398">
        <v>0</v>
      </c>
      <c r="S85" s="398">
        <v>0</v>
      </c>
      <c r="T85" s="398">
        <f t="shared" si="25"/>
        <v>0</v>
      </c>
      <c r="U85" s="818">
        <f t="shared" si="26"/>
        <v>800000</v>
      </c>
      <c r="V85" s="591">
        <f t="shared" si="28"/>
        <v>800000</v>
      </c>
      <c r="W85" s="818">
        <f t="shared" si="29"/>
        <v>800000</v>
      </c>
    </row>
    <row r="86" spans="2:23" s="342" customFormat="1" ht="12.75">
      <c r="B86" s="336"/>
      <c r="C86" s="343"/>
      <c r="D86" s="430"/>
      <c r="E86" s="431"/>
      <c r="F86" s="354">
        <v>56</v>
      </c>
      <c r="G86" s="432">
        <v>423</v>
      </c>
      <c r="H86" s="1380" t="s">
        <v>1334</v>
      </c>
      <c r="I86" s="1381"/>
      <c r="J86" s="1382"/>
      <c r="K86" s="862">
        <v>100000</v>
      </c>
      <c r="L86" s="862">
        <v>0</v>
      </c>
      <c r="M86" s="862">
        <v>100000</v>
      </c>
      <c r="N86" s="425">
        <v>0</v>
      </c>
      <c r="O86" s="405">
        <v>0</v>
      </c>
      <c r="P86" s="405">
        <v>0</v>
      </c>
      <c r="Q86" s="398">
        <v>0</v>
      </c>
      <c r="R86" s="398">
        <v>0</v>
      </c>
      <c r="S86" s="392">
        <v>0</v>
      </c>
      <c r="T86" s="392">
        <f t="shared" si="25"/>
        <v>0</v>
      </c>
      <c r="U86" s="818">
        <f t="shared" si="26"/>
        <v>100000</v>
      </c>
      <c r="V86" s="591">
        <f t="shared" si="28"/>
        <v>100000</v>
      </c>
      <c r="W86" s="818">
        <f t="shared" si="29"/>
        <v>100000</v>
      </c>
    </row>
    <row r="87" spans="2:23" s="494" customFormat="1" ht="12.75">
      <c r="B87" s="495"/>
      <c r="C87" s="436"/>
      <c r="D87" s="496"/>
      <c r="E87" s="436"/>
      <c r="F87" s="354">
        <v>57</v>
      </c>
      <c r="G87" s="418">
        <v>423</v>
      </c>
      <c r="H87" s="1355" t="s">
        <v>1335</v>
      </c>
      <c r="I87" s="1356"/>
      <c r="J87" s="1357"/>
      <c r="K87" s="860">
        <v>100000</v>
      </c>
      <c r="L87" s="860">
        <v>0</v>
      </c>
      <c r="M87" s="860">
        <v>100000</v>
      </c>
      <c r="N87" s="425">
        <v>0</v>
      </c>
      <c r="O87" s="497">
        <v>0</v>
      </c>
      <c r="P87" s="497">
        <v>0</v>
      </c>
      <c r="Q87" s="398">
        <v>0</v>
      </c>
      <c r="R87" s="398">
        <v>0</v>
      </c>
      <c r="S87" s="400">
        <v>0</v>
      </c>
      <c r="T87" s="400">
        <f t="shared" si="25"/>
        <v>0</v>
      </c>
      <c r="U87" s="818">
        <f t="shared" si="26"/>
        <v>100000</v>
      </c>
      <c r="V87" s="591">
        <f t="shared" si="28"/>
        <v>100000</v>
      </c>
      <c r="W87" s="818">
        <f t="shared" si="29"/>
        <v>100000</v>
      </c>
    </row>
    <row r="88" spans="2:23" s="494" customFormat="1" ht="12.75">
      <c r="B88" s="495"/>
      <c r="C88" s="436"/>
      <c r="D88" s="496"/>
      <c r="E88" s="436"/>
      <c r="F88" s="354">
        <v>58</v>
      </c>
      <c r="G88" s="418">
        <v>423</v>
      </c>
      <c r="H88" s="1363" t="s">
        <v>1336</v>
      </c>
      <c r="I88" s="1364"/>
      <c r="J88" s="1365"/>
      <c r="K88" s="860">
        <v>200000</v>
      </c>
      <c r="L88" s="860">
        <v>0</v>
      </c>
      <c r="M88" s="860">
        <v>100</v>
      </c>
      <c r="N88" s="425">
        <v>0</v>
      </c>
      <c r="O88" s="497">
        <v>0</v>
      </c>
      <c r="P88" s="497">
        <v>0</v>
      </c>
      <c r="Q88" s="398">
        <v>0</v>
      </c>
      <c r="R88" s="398">
        <v>0</v>
      </c>
      <c r="S88" s="400">
        <v>0</v>
      </c>
      <c r="T88" s="400">
        <f t="shared" si="25"/>
        <v>0</v>
      </c>
      <c r="U88" s="818">
        <f t="shared" si="26"/>
        <v>100</v>
      </c>
      <c r="V88" s="591">
        <f t="shared" si="28"/>
        <v>100</v>
      </c>
      <c r="W88" s="818">
        <f t="shared" si="29"/>
        <v>100</v>
      </c>
    </row>
    <row r="89" spans="2:23" s="342" customFormat="1" ht="12.75">
      <c r="B89" s="336"/>
      <c r="C89" s="343"/>
      <c r="D89" s="338"/>
      <c r="E89" s="343"/>
      <c r="F89" s="354">
        <v>59</v>
      </c>
      <c r="G89" s="418">
        <v>424</v>
      </c>
      <c r="H89" s="1257" t="s">
        <v>36</v>
      </c>
      <c r="I89" s="1258"/>
      <c r="J89" s="1259"/>
      <c r="K89" s="723">
        <v>1000000</v>
      </c>
      <c r="L89" s="723">
        <v>426260.95</v>
      </c>
      <c r="M89" s="723">
        <v>1300000</v>
      </c>
      <c r="N89" s="425">
        <v>0</v>
      </c>
      <c r="O89" s="395">
        <v>0</v>
      </c>
      <c r="P89" s="395">
        <v>0</v>
      </c>
      <c r="Q89" s="398">
        <v>0</v>
      </c>
      <c r="R89" s="398">
        <v>0</v>
      </c>
      <c r="S89" s="398">
        <v>0</v>
      </c>
      <c r="T89" s="398">
        <f t="shared" si="25"/>
        <v>0</v>
      </c>
      <c r="U89" s="818">
        <f t="shared" si="26"/>
        <v>1300000</v>
      </c>
      <c r="V89" s="591">
        <f t="shared" si="28"/>
        <v>1300000</v>
      </c>
      <c r="W89" s="818">
        <f t="shared" si="29"/>
        <v>1300000</v>
      </c>
    </row>
    <row r="90" spans="2:23" s="342" customFormat="1" ht="12.75">
      <c r="B90" s="336"/>
      <c r="C90" s="343"/>
      <c r="D90" s="338"/>
      <c r="E90" s="343"/>
      <c r="F90" s="354">
        <v>60</v>
      </c>
      <c r="G90" s="418">
        <v>425</v>
      </c>
      <c r="H90" s="1257" t="s">
        <v>90</v>
      </c>
      <c r="I90" s="1258"/>
      <c r="J90" s="1259"/>
      <c r="K90" s="723">
        <v>3000000</v>
      </c>
      <c r="L90" s="723">
        <v>360257.35000000003</v>
      </c>
      <c r="M90" s="723">
        <v>3500000</v>
      </c>
      <c r="N90" s="425">
        <v>0</v>
      </c>
      <c r="O90" s="395">
        <v>0</v>
      </c>
      <c r="P90" s="395">
        <v>0</v>
      </c>
      <c r="Q90" s="398">
        <v>0</v>
      </c>
      <c r="R90" s="398">
        <v>0</v>
      </c>
      <c r="S90" s="398">
        <v>0</v>
      </c>
      <c r="T90" s="398">
        <f t="shared" si="25"/>
        <v>0</v>
      </c>
      <c r="U90" s="818">
        <f t="shared" si="26"/>
        <v>3500000</v>
      </c>
      <c r="V90" s="591">
        <f t="shared" si="28"/>
        <v>3500000</v>
      </c>
      <c r="W90" s="818">
        <f t="shared" si="29"/>
        <v>3500000</v>
      </c>
    </row>
    <row r="91" spans="2:23" s="342" customFormat="1" ht="12.75">
      <c r="B91" s="336"/>
      <c r="C91" s="343"/>
      <c r="D91" s="430"/>
      <c r="E91" s="431"/>
      <c r="F91" s="354">
        <v>61</v>
      </c>
      <c r="G91" s="432">
        <v>425</v>
      </c>
      <c r="H91" s="1380" t="s">
        <v>1164</v>
      </c>
      <c r="I91" s="1381"/>
      <c r="J91" s="1382"/>
      <c r="K91" s="862">
        <v>300000</v>
      </c>
      <c r="L91" s="862">
        <v>0</v>
      </c>
      <c r="M91" s="862">
        <v>300000</v>
      </c>
      <c r="N91" s="425">
        <v>0</v>
      </c>
      <c r="O91" s="405">
        <v>0</v>
      </c>
      <c r="P91" s="405">
        <v>0</v>
      </c>
      <c r="Q91" s="398">
        <v>0</v>
      </c>
      <c r="R91" s="398">
        <v>0</v>
      </c>
      <c r="S91" s="392">
        <v>0</v>
      </c>
      <c r="T91" s="392">
        <f t="shared" si="25"/>
        <v>0</v>
      </c>
      <c r="U91" s="818">
        <f t="shared" si="26"/>
        <v>300000</v>
      </c>
      <c r="V91" s="591">
        <f t="shared" si="28"/>
        <v>300000</v>
      </c>
      <c r="W91" s="818">
        <f t="shared" si="29"/>
        <v>300000</v>
      </c>
    </row>
    <row r="92" spans="2:23" s="342" customFormat="1" ht="12.75">
      <c r="B92" s="336"/>
      <c r="C92" s="343"/>
      <c r="D92" s="338"/>
      <c r="E92" s="343"/>
      <c r="F92" s="354">
        <v>62</v>
      </c>
      <c r="G92" s="418">
        <v>426</v>
      </c>
      <c r="H92" s="1257" t="s">
        <v>38</v>
      </c>
      <c r="I92" s="1258"/>
      <c r="J92" s="1259"/>
      <c r="K92" s="723">
        <v>2763641</v>
      </c>
      <c r="L92" s="723">
        <v>723595.1000000002</v>
      </c>
      <c r="M92" s="723">
        <v>2763641</v>
      </c>
      <c r="N92" s="425">
        <v>0</v>
      </c>
      <c r="O92" s="395">
        <v>0</v>
      </c>
      <c r="P92" s="395">
        <v>405669.15</v>
      </c>
      <c r="Q92" s="398">
        <v>30000</v>
      </c>
      <c r="R92" s="398">
        <v>0</v>
      </c>
      <c r="S92" s="398">
        <v>0</v>
      </c>
      <c r="T92" s="398">
        <f t="shared" si="25"/>
        <v>435669.15</v>
      </c>
      <c r="U92" s="818">
        <f t="shared" si="26"/>
        <v>3199310.15</v>
      </c>
      <c r="V92" s="591">
        <f t="shared" si="28"/>
        <v>3199310.15</v>
      </c>
      <c r="W92" s="818">
        <f t="shared" si="29"/>
        <v>3199310.15</v>
      </c>
    </row>
    <row r="93" spans="2:23" s="342" customFormat="1" ht="12.75">
      <c r="B93" s="336"/>
      <c r="C93" s="343"/>
      <c r="D93" s="430"/>
      <c r="E93" s="431"/>
      <c r="F93" s="354">
        <v>63</v>
      </c>
      <c r="G93" s="432">
        <v>426</v>
      </c>
      <c r="H93" s="1380" t="s">
        <v>17</v>
      </c>
      <c r="I93" s="1381"/>
      <c r="J93" s="1382"/>
      <c r="K93" s="862">
        <v>50000</v>
      </c>
      <c r="L93" s="862">
        <v>0</v>
      </c>
      <c r="M93" s="862">
        <v>50000</v>
      </c>
      <c r="N93" s="425">
        <v>0</v>
      </c>
      <c r="O93" s="405">
        <v>0</v>
      </c>
      <c r="P93" s="405">
        <v>0</v>
      </c>
      <c r="Q93" s="398">
        <v>0</v>
      </c>
      <c r="R93" s="398">
        <v>0</v>
      </c>
      <c r="S93" s="392">
        <v>0</v>
      </c>
      <c r="T93" s="392">
        <f t="shared" si="25"/>
        <v>0</v>
      </c>
      <c r="U93" s="818">
        <f t="shared" si="26"/>
        <v>50000</v>
      </c>
      <c r="V93" s="591">
        <f t="shared" si="28"/>
        <v>50000</v>
      </c>
      <c r="W93" s="818">
        <f t="shared" si="29"/>
        <v>50000</v>
      </c>
    </row>
    <row r="94" spans="2:23" s="342" customFormat="1" ht="12.75">
      <c r="B94" s="336"/>
      <c r="C94" s="343"/>
      <c r="D94" s="338"/>
      <c r="E94" s="343"/>
      <c r="F94" s="354">
        <v>64</v>
      </c>
      <c r="G94" s="428">
        <v>465</v>
      </c>
      <c r="H94" s="1269" t="s">
        <v>1388</v>
      </c>
      <c r="I94" s="1270"/>
      <c r="J94" s="1271"/>
      <c r="K94" s="723">
        <v>500000</v>
      </c>
      <c r="L94" s="723">
        <v>0</v>
      </c>
      <c r="M94" s="723">
        <v>500000</v>
      </c>
      <c r="N94" s="425">
        <v>0</v>
      </c>
      <c r="O94" s="395">
        <v>0</v>
      </c>
      <c r="P94" s="395">
        <v>0</v>
      </c>
      <c r="Q94" s="398">
        <v>0</v>
      </c>
      <c r="R94" s="398">
        <v>0</v>
      </c>
      <c r="S94" s="398">
        <v>0</v>
      </c>
      <c r="T94" s="398">
        <f t="shared" si="25"/>
        <v>0</v>
      </c>
      <c r="U94" s="818">
        <f t="shared" si="26"/>
        <v>500000</v>
      </c>
      <c r="V94" s="591">
        <f t="shared" si="28"/>
        <v>500000</v>
      </c>
      <c r="W94" s="818">
        <f t="shared" si="29"/>
        <v>500000</v>
      </c>
    </row>
    <row r="95" spans="2:23" s="342" customFormat="1" ht="12.75">
      <c r="B95" s="336"/>
      <c r="C95" s="343"/>
      <c r="D95" s="338"/>
      <c r="E95" s="343"/>
      <c r="F95" s="354">
        <v>65</v>
      </c>
      <c r="G95" s="418">
        <v>465</v>
      </c>
      <c r="H95" s="1257" t="s">
        <v>275</v>
      </c>
      <c r="I95" s="1258"/>
      <c r="J95" s="1259"/>
      <c r="K95" s="723">
        <v>600000</v>
      </c>
      <c r="L95" s="723">
        <v>193258.5</v>
      </c>
      <c r="M95" s="723">
        <v>650000</v>
      </c>
      <c r="N95" s="425">
        <v>0</v>
      </c>
      <c r="O95" s="395">
        <v>0</v>
      </c>
      <c r="P95" s="395">
        <v>0</v>
      </c>
      <c r="Q95" s="398">
        <v>0</v>
      </c>
      <c r="R95" s="398">
        <v>0</v>
      </c>
      <c r="S95" s="398">
        <v>0</v>
      </c>
      <c r="T95" s="398">
        <f t="shared" si="25"/>
        <v>0</v>
      </c>
      <c r="U95" s="818">
        <f t="shared" si="26"/>
        <v>650000</v>
      </c>
      <c r="V95" s="591">
        <f t="shared" si="28"/>
        <v>650000</v>
      </c>
      <c r="W95" s="818">
        <f t="shared" si="29"/>
        <v>650000</v>
      </c>
    </row>
    <row r="96" spans="2:23" s="342" customFormat="1" ht="12.75">
      <c r="B96" s="336"/>
      <c r="C96" s="343"/>
      <c r="D96" s="167"/>
      <c r="E96" s="167"/>
      <c r="F96" s="354">
        <v>66</v>
      </c>
      <c r="G96" s="432">
        <v>472</v>
      </c>
      <c r="H96" s="1257" t="s">
        <v>1337</v>
      </c>
      <c r="I96" s="1258"/>
      <c r="J96" s="1259"/>
      <c r="K96" s="723">
        <v>50000</v>
      </c>
      <c r="L96" s="723">
        <v>0</v>
      </c>
      <c r="M96" s="723">
        <v>50000</v>
      </c>
      <c r="N96" s="425">
        <v>0</v>
      </c>
      <c r="O96" s="434">
        <v>0</v>
      </c>
      <c r="P96" s="434">
        <v>0</v>
      </c>
      <c r="Q96" s="402">
        <v>0</v>
      </c>
      <c r="R96" s="398">
        <v>0</v>
      </c>
      <c r="S96" s="402">
        <v>0</v>
      </c>
      <c r="T96" s="402">
        <f t="shared" si="25"/>
        <v>0</v>
      </c>
      <c r="U96" s="818">
        <f t="shared" si="26"/>
        <v>50000</v>
      </c>
      <c r="V96" s="591">
        <f t="shared" si="28"/>
        <v>50000</v>
      </c>
      <c r="W96" s="818">
        <f t="shared" si="29"/>
        <v>50000</v>
      </c>
    </row>
    <row r="97" spans="2:23" s="342" customFormat="1" ht="12.75">
      <c r="B97" s="336"/>
      <c r="C97" s="343"/>
      <c r="D97" s="167"/>
      <c r="E97" s="167"/>
      <c r="F97" s="354">
        <v>67</v>
      </c>
      <c r="G97" s="339">
        <v>481</v>
      </c>
      <c r="H97" s="1257" t="s">
        <v>1397</v>
      </c>
      <c r="I97" s="1258"/>
      <c r="J97" s="1259"/>
      <c r="K97" s="723">
        <v>500000</v>
      </c>
      <c r="L97" s="723">
        <v>500000</v>
      </c>
      <c r="M97" s="723">
        <v>500000</v>
      </c>
      <c r="N97" s="425">
        <v>0</v>
      </c>
      <c r="O97" s="609">
        <v>0</v>
      </c>
      <c r="P97" s="402">
        <v>0</v>
      </c>
      <c r="Q97" s="402">
        <v>0</v>
      </c>
      <c r="R97" s="398">
        <v>0</v>
      </c>
      <c r="S97" s="341">
        <v>0</v>
      </c>
      <c r="T97" s="402">
        <f t="shared" si="25"/>
        <v>0</v>
      </c>
      <c r="U97" s="818">
        <f t="shared" si="26"/>
        <v>500000</v>
      </c>
      <c r="V97" s="591">
        <f t="shared" si="28"/>
        <v>500000</v>
      </c>
      <c r="W97" s="818">
        <f t="shared" si="29"/>
        <v>500000</v>
      </c>
    </row>
    <row r="98" spans="2:23" s="342" customFormat="1" ht="12.75">
      <c r="B98" s="336"/>
      <c r="C98" s="343"/>
      <c r="D98" s="167"/>
      <c r="E98" s="167"/>
      <c r="F98" s="354">
        <v>68</v>
      </c>
      <c r="G98" s="432">
        <v>481</v>
      </c>
      <c r="H98" s="1269" t="s">
        <v>1338</v>
      </c>
      <c r="I98" s="1270"/>
      <c r="J98" s="1271"/>
      <c r="K98" s="723">
        <v>4000000</v>
      </c>
      <c r="L98" s="723">
        <v>884951.4</v>
      </c>
      <c r="M98" s="723">
        <v>4000000</v>
      </c>
      <c r="N98" s="425">
        <v>0</v>
      </c>
      <c r="O98" s="514">
        <v>0</v>
      </c>
      <c r="P98" s="398">
        <v>0</v>
      </c>
      <c r="Q98" s="398">
        <v>0</v>
      </c>
      <c r="R98" s="398">
        <v>0</v>
      </c>
      <c r="S98" s="340">
        <v>0</v>
      </c>
      <c r="T98" s="402">
        <f t="shared" si="25"/>
        <v>0</v>
      </c>
      <c r="U98" s="818">
        <f t="shared" si="26"/>
        <v>4000000</v>
      </c>
      <c r="V98" s="591">
        <f t="shared" si="28"/>
        <v>4000000</v>
      </c>
      <c r="W98" s="818">
        <f t="shared" si="29"/>
        <v>4000000</v>
      </c>
    </row>
    <row r="99" spans="2:23" s="342" customFormat="1" ht="12.75">
      <c r="B99" s="336"/>
      <c r="C99" s="343"/>
      <c r="D99" s="338"/>
      <c r="E99" s="343"/>
      <c r="F99" s="354">
        <v>69</v>
      </c>
      <c r="G99" s="418">
        <v>482</v>
      </c>
      <c r="H99" s="1257" t="s">
        <v>81</v>
      </c>
      <c r="I99" s="1258"/>
      <c r="J99" s="1259"/>
      <c r="K99" s="723">
        <v>3000000</v>
      </c>
      <c r="L99" s="723">
        <v>671400</v>
      </c>
      <c r="M99" s="723">
        <v>3000000</v>
      </c>
      <c r="N99" s="425">
        <v>0</v>
      </c>
      <c r="O99" s="514">
        <v>0</v>
      </c>
      <c r="P99" s="395">
        <v>0</v>
      </c>
      <c r="Q99" s="398">
        <v>800000</v>
      </c>
      <c r="R99" s="398">
        <v>0</v>
      </c>
      <c r="S99" s="398">
        <v>0</v>
      </c>
      <c r="T99" s="398">
        <f t="shared" si="25"/>
        <v>800000</v>
      </c>
      <c r="U99" s="818">
        <f t="shared" si="26"/>
        <v>3800000</v>
      </c>
      <c r="V99" s="591">
        <f t="shared" si="28"/>
        <v>3800000</v>
      </c>
      <c r="W99" s="818">
        <f t="shared" si="29"/>
        <v>3800000</v>
      </c>
    </row>
    <row r="100" spans="2:23" s="342" customFormat="1" ht="12.75">
      <c r="B100" s="336"/>
      <c r="C100" s="343"/>
      <c r="D100" s="338"/>
      <c r="E100" s="343"/>
      <c r="F100" s="354">
        <v>70</v>
      </c>
      <c r="G100" s="418">
        <v>483</v>
      </c>
      <c r="H100" s="1257" t="s">
        <v>91</v>
      </c>
      <c r="I100" s="1258"/>
      <c r="J100" s="1259"/>
      <c r="K100" s="723">
        <v>400000</v>
      </c>
      <c r="L100" s="723">
        <v>0</v>
      </c>
      <c r="M100" s="723">
        <v>400000</v>
      </c>
      <c r="N100" s="425">
        <v>0</v>
      </c>
      <c r="O100" s="514">
        <v>0</v>
      </c>
      <c r="P100" s="395">
        <v>0</v>
      </c>
      <c r="Q100" s="398">
        <v>0</v>
      </c>
      <c r="R100" s="398">
        <v>0</v>
      </c>
      <c r="S100" s="398">
        <v>0</v>
      </c>
      <c r="T100" s="398">
        <f t="shared" si="25"/>
        <v>0</v>
      </c>
      <c r="U100" s="818">
        <f t="shared" si="26"/>
        <v>400000</v>
      </c>
      <c r="V100" s="591">
        <f t="shared" si="28"/>
        <v>400000</v>
      </c>
      <c r="W100" s="818">
        <f t="shared" si="29"/>
        <v>400000</v>
      </c>
    </row>
    <row r="101" spans="2:23" s="342" customFormat="1" ht="12.75">
      <c r="B101" s="336"/>
      <c r="C101" s="343"/>
      <c r="D101" s="338"/>
      <c r="E101" s="343"/>
      <c r="F101" s="354">
        <v>71</v>
      </c>
      <c r="G101" s="418">
        <v>485</v>
      </c>
      <c r="H101" s="1257" t="s">
        <v>92</v>
      </c>
      <c r="I101" s="1258"/>
      <c r="J101" s="1259"/>
      <c r="K101" s="723">
        <v>400000</v>
      </c>
      <c r="L101" s="723">
        <v>0</v>
      </c>
      <c r="M101" s="723">
        <v>400000</v>
      </c>
      <c r="N101" s="425">
        <v>0</v>
      </c>
      <c r="O101" s="514">
        <v>0</v>
      </c>
      <c r="P101" s="395">
        <v>0</v>
      </c>
      <c r="Q101" s="398">
        <v>0</v>
      </c>
      <c r="R101" s="398">
        <v>0</v>
      </c>
      <c r="S101" s="398">
        <v>0</v>
      </c>
      <c r="T101" s="398">
        <f t="shared" si="25"/>
        <v>0</v>
      </c>
      <c r="U101" s="818">
        <f t="shared" si="26"/>
        <v>400000</v>
      </c>
      <c r="V101" s="591">
        <f t="shared" si="28"/>
        <v>400000</v>
      </c>
      <c r="W101" s="818">
        <f t="shared" si="29"/>
        <v>400000</v>
      </c>
    </row>
    <row r="102" spans="2:23" s="342" customFormat="1" ht="12.75">
      <c r="B102" s="336"/>
      <c r="C102" s="343"/>
      <c r="D102" s="338"/>
      <c r="E102" s="343"/>
      <c r="F102" s="354">
        <v>72</v>
      </c>
      <c r="G102" s="418">
        <v>512</v>
      </c>
      <c r="H102" s="1257" t="s">
        <v>82</v>
      </c>
      <c r="I102" s="1258"/>
      <c r="J102" s="1259"/>
      <c r="K102" s="723">
        <v>6400000</v>
      </c>
      <c r="L102" s="723">
        <v>0</v>
      </c>
      <c r="M102" s="723">
        <v>5200000</v>
      </c>
      <c r="N102" s="425">
        <v>0</v>
      </c>
      <c r="O102" s="514">
        <v>0</v>
      </c>
      <c r="P102" s="395">
        <v>281600</v>
      </c>
      <c r="Q102" s="400">
        <v>0</v>
      </c>
      <c r="R102" s="398">
        <v>0</v>
      </c>
      <c r="S102" s="398">
        <v>0</v>
      </c>
      <c r="T102" s="398">
        <f t="shared" si="25"/>
        <v>281600</v>
      </c>
      <c r="U102" s="818">
        <f t="shared" si="26"/>
        <v>5481600</v>
      </c>
      <c r="V102" s="591">
        <f t="shared" si="28"/>
        <v>5481600</v>
      </c>
      <c r="W102" s="818">
        <f t="shared" si="29"/>
        <v>5481600</v>
      </c>
    </row>
    <row r="103" spans="2:23" s="342" customFormat="1" ht="12.75">
      <c r="B103" s="336"/>
      <c r="C103" s="343"/>
      <c r="D103" s="430"/>
      <c r="E103" s="431"/>
      <c r="F103" s="354">
        <v>73</v>
      </c>
      <c r="G103" s="432">
        <v>512</v>
      </c>
      <c r="H103" s="1380" t="s">
        <v>272</v>
      </c>
      <c r="I103" s="1381"/>
      <c r="J103" s="1382"/>
      <c r="K103" s="863">
        <v>110000</v>
      </c>
      <c r="L103" s="863">
        <v>0</v>
      </c>
      <c r="M103" s="863">
        <v>110000</v>
      </c>
      <c r="N103" s="983">
        <v>0</v>
      </c>
      <c r="O103" s="514">
        <v>0</v>
      </c>
      <c r="P103" s="405">
        <v>0</v>
      </c>
      <c r="Q103" s="392">
        <v>0</v>
      </c>
      <c r="R103" s="398">
        <v>0</v>
      </c>
      <c r="S103" s="392">
        <v>0</v>
      </c>
      <c r="T103" s="392">
        <f t="shared" si="25"/>
        <v>0</v>
      </c>
      <c r="U103" s="818">
        <f t="shared" si="26"/>
        <v>110000</v>
      </c>
      <c r="V103" s="591">
        <f t="shared" si="28"/>
        <v>110000</v>
      </c>
      <c r="W103" s="818">
        <f t="shared" si="29"/>
        <v>110000</v>
      </c>
    </row>
    <row r="104" spans="2:23" s="342" customFormat="1" ht="12.75">
      <c r="B104" s="336"/>
      <c r="C104" s="343"/>
      <c r="D104" s="430"/>
      <c r="E104" s="431"/>
      <c r="F104" s="354">
        <v>74</v>
      </c>
      <c r="G104" s="432">
        <v>515</v>
      </c>
      <c r="H104" s="1428" t="s">
        <v>211</v>
      </c>
      <c r="I104" s="1429"/>
      <c r="J104" s="1429"/>
      <c r="K104" s="706">
        <v>660000</v>
      </c>
      <c r="L104" s="706">
        <v>0</v>
      </c>
      <c r="M104" s="706">
        <v>660000</v>
      </c>
      <c r="N104" s="441">
        <v>0</v>
      </c>
      <c r="O104" s="715">
        <v>0</v>
      </c>
      <c r="P104" s="390">
        <v>0</v>
      </c>
      <c r="Q104" s="392">
        <v>0</v>
      </c>
      <c r="R104" s="398">
        <v>0</v>
      </c>
      <c r="S104" s="392">
        <v>0</v>
      </c>
      <c r="T104" s="392">
        <f t="shared" si="25"/>
        <v>0</v>
      </c>
      <c r="U104" s="818">
        <f t="shared" si="26"/>
        <v>660000</v>
      </c>
      <c r="V104" s="591">
        <f t="shared" si="28"/>
        <v>660000</v>
      </c>
      <c r="W104" s="818">
        <f t="shared" si="29"/>
        <v>660000</v>
      </c>
    </row>
    <row r="105" spans="2:23" s="342" customFormat="1" ht="12.75">
      <c r="B105" s="336"/>
      <c r="C105" s="343"/>
      <c r="D105" s="338"/>
      <c r="E105" s="343"/>
      <c r="F105" s="354">
        <v>75</v>
      </c>
      <c r="G105" s="428">
        <v>541</v>
      </c>
      <c r="H105" s="1252" t="s">
        <v>201</v>
      </c>
      <c r="I105" s="1252"/>
      <c r="J105" s="1276"/>
      <c r="K105" s="523">
        <v>500000</v>
      </c>
      <c r="L105" s="523">
        <v>0</v>
      </c>
      <c r="M105" s="523">
        <v>500000</v>
      </c>
      <c r="N105" s="441">
        <v>0</v>
      </c>
      <c r="O105" s="715">
        <v>0</v>
      </c>
      <c r="P105" s="388">
        <v>0</v>
      </c>
      <c r="Q105" s="398">
        <v>0</v>
      </c>
      <c r="R105" s="398">
        <v>0</v>
      </c>
      <c r="S105" s="398">
        <v>0</v>
      </c>
      <c r="T105" s="398">
        <f t="shared" si="25"/>
        <v>0</v>
      </c>
      <c r="U105" s="818">
        <f t="shared" si="26"/>
        <v>500000</v>
      </c>
      <c r="V105" s="591">
        <f t="shared" si="28"/>
        <v>500000</v>
      </c>
      <c r="W105" s="818">
        <f t="shared" si="29"/>
        <v>500000</v>
      </c>
    </row>
    <row r="106" spans="2:23" ht="27.75" customHeight="1">
      <c r="B106" s="270"/>
      <c r="C106" s="271"/>
      <c r="D106" s="412"/>
      <c r="E106" s="332" t="s">
        <v>1231</v>
      </c>
      <c r="F106" s="412"/>
      <c r="G106" s="413"/>
      <c r="H106" s="1411" t="s">
        <v>314</v>
      </c>
      <c r="I106" s="1412"/>
      <c r="J106" s="1412"/>
      <c r="K106" s="984">
        <f aca="true" t="shared" si="32" ref="K106:S106">SUM(K108:K111)</f>
        <v>2550000</v>
      </c>
      <c r="L106" s="984">
        <f t="shared" si="32"/>
        <v>0</v>
      </c>
      <c r="M106" s="984">
        <f t="shared" si="32"/>
        <v>2550000</v>
      </c>
      <c r="N106" s="635">
        <f t="shared" si="32"/>
        <v>0</v>
      </c>
      <c r="O106" s="276">
        <f t="shared" si="32"/>
        <v>0</v>
      </c>
      <c r="P106" s="276">
        <f t="shared" si="32"/>
        <v>0</v>
      </c>
      <c r="Q106" s="276">
        <f t="shared" si="32"/>
        <v>0</v>
      </c>
      <c r="R106" s="276">
        <f t="shared" si="32"/>
        <v>0</v>
      </c>
      <c r="S106" s="276">
        <f t="shared" si="32"/>
        <v>0</v>
      </c>
      <c r="T106" s="321">
        <f t="shared" si="25"/>
        <v>0</v>
      </c>
      <c r="U106" s="819">
        <f t="shared" si="26"/>
        <v>2550000</v>
      </c>
      <c r="V106" s="635">
        <f t="shared" si="28"/>
        <v>2550000</v>
      </c>
      <c r="W106" s="635">
        <f t="shared" si="29"/>
        <v>2550000</v>
      </c>
    </row>
    <row r="107" spans="2:23" ht="12.75">
      <c r="B107" s="414"/>
      <c r="C107" s="415"/>
      <c r="D107" s="56">
        <v>130</v>
      </c>
      <c r="E107" s="58"/>
      <c r="F107" s="416"/>
      <c r="G107" s="417"/>
      <c r="H107" s="1296" t="s">
        <v>89</v>
      </c>
      <c r="I107" s="1297"/>
      <c r="J107" s="1298"/>
      <c r="K107" s="727">
        <f aca="true" t="shared" si="33" ref="K107:S107">SUM(K108:K111)</f>
        <v>2550000</v>
      </c>
      <c r="L107" s="727">
        <f t="shared" si="33"/>
        <v>0</v>
      </c>
      <c r="M107" s="727">
        <f t="shared" si="33"/>
        <v>2550000</v>
      </c>
      <c r="N107" s="727">
        <f t="shared" si="33"/>
        <v>0</v>
      </c>
      <c r="O107" s="727">
        <f t="shared" si="33"/>
        <v>0</v>
      </c>
      <c r="P107" s="168">
        <f t="shared" si="33"/>
        <v>0</v>
      </c>
      <c r="Q107" s="168">
        <f t="shared" si="33"/>
        <v>0</v>
      </c>
      <c r="R107" s="168">
        <f t="shared" si="33"/>
        <v>0</v>
      </c>
      <c r="S107" s="168">
        <f t="shared" si="33"/>
        <v>0</v>
      </c>
      <c r="T107" s="322">
        <f t="shared" si="25"/>
        <v>0</v>
      </c>
      <c r="U107" s="1048">
        <f t="shared" si="26"/>
        <v>2550000</v>
      </c>
      <c r="V107" s="811">
        <f t="shared" si="28"/>
        <v>2550000</v>
      </c>
      <c r="W107" s="1048">
        <f t="shared" si="29"/>
        <v>2550000</v>
      </c>
    </row>
    <row r="108" spans="2:23" ht="12.75">
      <c r="B108" s="414"/>
      <c r="C108" s="415"/>
      <c r="D108" s="344"/>
      <c r="E108" s="443"/>
      <c r="F108" s="611" t="s">
        <v>1481</v>
      </c>
      <c r="G108" s="417">
        <v>421</v>
      </c>
      <c r="H108" s="1257" t="s">
        <v>1341</v>
      </c>
      <c r="I108" s="1258"/>
      <c r="J108" s="1259"/>
      <c r="K108" s="358">
        <v>10000</v>
      </c>
      <c r="L108" s="358">
        <v>0</v>
      </c>
      <c r="M108" s="358">
        <v>10000</v>
      </c>
      <c r="N108" s="358">
        <v>0</v>
      </c>
      <c r="O108" s="723">
        <v>0</v>
      </c>
      <c r="P108" s="723">
        <v>0</v>
      </c>
      <c r="Q108" s="345">
        <v>0</v>
      </c>
      <c r="R108" s="723">
        <v>0</v>
      </c>
      <c r="S108" s="345">
        <v>0</v>
      </c>
      <c r="T108" s="345">
        <f t="shared" si="25"/>
        <v>0</v>
      </c>
      <c r="U108" s="818">
        <f t="shared" si="26"/>
        <v>10000</v>
      </c>
      <c r="V108" s="742">
        <f t="shared" si="28"/>
        <v>10000</v>
      </c>
      <c r="W108" s="818">
        <f t="shared" si="29"/>
        <v>10000</v>
      </c>
    </row>
    <row r="109" spans="2:23" ht="12.75">
      <c r="B109" s="414"/>
      <c r="C109" s="415"/>
      <c r="D109" s="344"/>
      <c r="E109" s="443"/>
      <c r="F109" s="611" t="s">
        <v>1483</v>
      </c>
      <c r="G109" s="417">
        <v>422</v>
      </c>
      <c r="H109" s="1269" t="s">
        <v>34</v>
      </c>
      <c r="I109" s="1270"/>
      <c r="J109" s="1271"/>
      <c r="K109" s="358">
        <v>10000</v>
      </c>
      <c r="L109" s="358">
        <v>0</v>
      </c>
      <c r="M109" s="358">
        <v>10000</v>
      </c>
      <c r="N109" s="358">
        <v>0</v>
      </c>
      <c r="O109" s="723">
        <v>0</v>
      </c>
      <c r="P109" s="723">
        <v>0</v>
      </c>
      <c r="Q109" s="345">
        <v>0</v>
      </c>
      <c r="R109" s="723">
        <v>0</v>
      </c>
      <c r="S109" s="345">
        <v>0</v>
      </c>
      <c r="T109" s="345">
        <f t="shared" si="25"/>
        <v>0</v>
      </c>
      <c r="U109" s="818">
        <f t="shared" si="26"/>
        <v>10000</v>
      </c>
      <c r="V109" s="742">
        <f t="shared" si="28"/>
        <v>10000</v>
      </c>
      <c r="W109" s="818">
        <f t="shared" si="29"/>
        <v>10000</v>
      </c>
    </row>
    <row r="110" spans="2:23" s="342" customFormat="1" ht="12.75">
      <c r="B110" s="336"/>
      <c r="C110" s="343"/>
      <c r="D110" s="338"/>
      <c r="E110" s="343"/>
      <c r="F110" s="650" t="s">
        <v>1482</v>
      </c>
      <c r="G110" s="428">
        <v>423</v>
      </c>
      <c r="H110" s="1257" t="s">
        <v>1339</v>
      </c>
      <c r="I110" s="1258"/>
      <c r="J110" s="1259"/>
      <c r="K110" s="358">
        <v>2520000</v>
      </c>
      <c r="L110" s="358">
        <v>0</v>
      </c>
      <c r="M110" s="358">
        <v>2520000</v>
      </c>
      <c r="N110" s="425">
        <v>0</v>
      </c>
      <c r="O110" s="395">
        <v>0</v>
      </c>
      <c r="P110" s="395">
        <v>0</v>
      </c>
      <c r="Q110" s="398">
        <v>0</v>
      </c>
      <c r="R110" s="395">
        <v>0</v>
      </c>
      <c r="S110" s="398">
        <v>0</v>
      </c>
      <c r="T110" s="401">
        <f t="shared" si="25"/>
        <v>0</v>
      </c>
      <c r="U110" s="818">
        <f t="shared" si="26"/>
        <v>2520000</v>
      </c>
      <c r="V110" s="742">
        <f t="shared" si="28"/>
        <v>2520000</v>
      </c>
      <c r="W110" s="818">
        <f t="shared" si="29"/>
        <v>2520000</v>
      </c>
    </row>
    <row r="111" spans="2:23" s="342" customFormat="1" ht="12.75">
      <c r="B111" s="336"/>
      <c r="C111" s="343"/>
      <c r="D111" s="338"/>
      <c r="E111" s="343"/>
      <c r="F111" s="987" t="s">
        <v>1484</v>
      </c>
      <c r="G111" s="418">
        <v>426</v>
      </c>
      <c r="H111" s="1257" t="s">
        <v>1340</v>
      </c>
      <c r="I111" s="1258"/>
      <c r="J111" s="1259"/>
      <c r="K111" s="723">
        <v>10000</v>
      </c>
      <c r="L111" s="723">
        <v>0</v>
      </c>
      <c r="M111" s="723">
        <v>10000</v>
      </c>
      <c r="N111" s="425">
        <v>0</v>
      </c>
      <c r="O111" s="395">
        <v>0</v>
      </c>
      <c r="P111" s="395">
        <v>0</v>
      </c>
      <c r="Q111" s="398">
        <v>0</v>
      </c>
      <c r="R111" s="395">
        <v>0</v>
      </c>
      <c r="S111" s="398">
        <v>0</v>
      </c>
      <c r="T111" s="401">
        <f t="shared" si="25"/>
        <v>0</v>
      </c>
      <c r="U111" s="818">
        <f t="shared" si="26"/>
        <v>10000</v>
      </c>
      <c r="V111" s="742">
        <f t="shared" si="28"/>
        <v>10000</v>
      </c>
      <c r="W111" s="818">
        <f t="shared" si="29"/>
        <v>10000</v>
      </c>
    </row>
    <row r="112" spans="2:23" ht="12.75" customHeight="1" hidden="1">
      <c r="B112" s="270"/>
      <c r="C112" s="271"/>
      <c r="D112" s="412"/>
      <c r="E112" s="332"/>
      <c r="F112" s="412"/>
      <c r="G112" s="413"/>
      <c r="H112" s="1430"/>
      <c r="I112" s="1431"/>
      <c r="J112" s="1432"/>
      <c r="K112" s="864">
        <f>K113</f>
        <v>4650000</v>
      </c>
      <c r="L112" s="864">
        <f>L113</f>
        <v>0</v>
      </c>
      <c r="M112" s="864">
        <f>M113</f>
        <v>0</v>
      </c>
      <c r="N112" s="276">
        <f aca="true" t="shared" si="34" ref="N112:S112">N113</f>
        <v>0</v>
      </c>
      <c r="O112" s="276">
        <f t="shared" si="34"/>
        <v>0</v>
      </c>
      <c r="P112" s="276">
        <f t="shared" si="34"/>
        <v>0</v>
      </c>
      <c r="Q112" s="276">
        <f t="shared" si="34"/>
        <v>0</v>
      </c>
      <c r="R112" s="276">
        <f t="shared" si="34"/>
        <v>0</v>
      </c>
      <c r="S112" s="321">
        <f t="shared" si="34"/>
        <v>0</v>
      </c>
      <c r="T112" s="793">
        <f t="shared" si="25"/>
        <v>0</v>
      </c>
      <c r="U112" s="809">
        <f t="shared" si="26"/>
        <v>0</v>
      </c>
      <c r="V112" s="635">
        <f t="shared" si="28"/>
        <v>0</v>
      </c>
      <c r="W112" s="635">
        <f t="shared" si="29"/>
        <v>0</v>
      </c>
    </row>
    <row r="113" spans="2:23" s="42" customFormat="1" ht="12.75" hidden="1">
      <c r="B113" s="314"/>
      <c r="C113" s="315"/>
      <c r="D113" s="318"/>
      <c r="E113" s="315"/>
      <c r="F113" s="318"/>
      <c r="G113" s="995"/>
      <c r="H113" s="1272"/>
      <c r="I113" s="1273"/>
      <c r="J113" s="1443"/>
      <c r="K113" s="985">
        <f>SUM(K114:K116)</f>
        <v>4650000</v>
      </c>
      <c r="L113" s="985">
        <f>SUM(L114:L116)</f>
        <v>0</v>
      </c>
      <c r="M113" s="985"/>
      <c r="N113" s="316"/>
      <c r="O113" s="316"/>
      <c r="P113" s="316"/>
      <c r="Q113" s="316"/>
      <c r="R113" s="316"/>
      <c r="S113" s="327"/>
      <c r="T113" s="796">
        <f t="shared" si="25"/>
        <v>0</v>
      </c>
      <c r="U113" s="809">
        <f t="shared" si="26"/>
        <v>0</v>
      </c>
      <c r="V113" s="361">
        <f t="shared" si="28"/>
        <v>0</v>
      </c>
      <c r="W113" s="635">
        <f t="shared" si="29"/>
        <v>0</v>
      </c>
    </row>
    <row r="114" spans="2:23" s="342" customFormat="1" ht="12.75" customHeight="1" hidden="1">
      <c r="B114" s="347"/>
      <c r="C114" s="348"/>
      <c r="D114" s="349"/>
      <c r="E114" s="611"/>
      <c r="F114" s="337"/>
      <c r="G114" s="624"/>
      <c r="H114" s="1266"/>
      <c r="I114" s="1267"/>
      <c r="J114" s="1268"/>
      <c r="K114" s="986">
        <v>150000</v>
      </c>
      <c r="L114" s="986">
        <v>0</v>
      </c>
      <c r="M114" s="986"/>
      <c r="N114" s="389"/>
      <c r="O114" s="520"/>
      <c r="P114" s="520"/>
      <c r="Q114" s="520"/>
      <c r="R114" s="598"/>
      <c r="S114" s="642"/>
      <c r="T114" s="797">
        <f t="shared" si="25"/>
        <v>0</v>
      </c>
      <c r="U114" s="809">
        <f t="shared" si="26"/>
        <v>0</v>
      </c>
      <c r="V114" s="362">
        <f t="shared" si="28"/>
        <v>0</v>
      </c>
      <c r="W114" s="635">
        <f t="shared" si="29"/>
        <v>0</v>
      </c>
    </row>
    <row r="115" spans="2:23" s="342" customFormat="1" ht="12.75" customHeight="1" hidden="1">
      <c r="B115" s="347"/>
      <c r="C115" s="348"/>
      <c r="D115" s="349"/>
      <c r="E115" s="343"/>
      <c r="F115" s="738"/>
      <c r="G115" s="338"/>
      <c r="H115" s="1266"/>
      <c r="I115" s="1267"/>
      <c r="J115" s="1268"/>
      <c r="K115" s="986">
        <v>2250000</v>
      </c>
      <c r="L115" s="986">
        <v>0</v>
      </c>
      <c r="M115" s="986"/>
      <c r="N115" s="389"/>
      <c r="O115" s="614"/>
      <c r="P115" s="614"/>
      <c r="Q115" s="614"/>
      <c r="R115" s="579"/>
      <c r="S115" s="640"/>
      <c r="T115" s="797">
        <f t="shared" si="25"/>
        <v>0</v>
      </c>
      <c r="U115" s="809">
        <f t="shared" si="26"/>
        <v>0</v>
      </c>
      <c r="V115" s="362">
        <f t="shared" si="28"/>
        <v>0</v>
      </c>
      <c r="W115" s="635">
        <f t="shared" si="29"/>
        <v>0</v>
      </c>
    </row>
    <row r="116" spans="2:23" s="342" customFormat="1" ht="12.75" customHeight="1" hidden="1">
      <c r="B116" s="347"/>
      <c r="C116" s="348"/>
      <c r="D116" s="349"/>
      <c r="E116" s="587"/>
      <c r="F116" s="739"/>
      <c r="G116" s="625"/>
      <c r="H116" s="1282"/>
      <c r="I116" s="1283"/>
      <c r="J116" s="1438"/>
      <c r="K116" s="986">
        <v>2250000</v>
      </c>
      <c r="L116" s="986">
        <v>0</v>
      </c>
      <c r="M116" s="986"/>
      <c r="N116" s="389"/>
      <c r="O116" s="612"/>
      <c r="P116" s="612"/>
      <c r="Q116" s="612"/>
      <c r="R116" s="613"/>
      <c r="S116" s="641"/>
      <c r="T116" s="797">
        <f t="shared" si="25"/>
        <v>0</v>
      </c>
      <c r="U116" s="809">
        <f t="shared" si="26"/>
        <v>0</v>
      </c>
      <c r="V116" s="362">
        <f t="shared" si="28"/>
        <v>0</v>
      </c>
      <c r="W116" s="635">
        <f t="shared" si="29"/>
        <v>0</v>
      </c>
    </row>
    <row r="117" spans="2:23" s="342" customFormat="1" ht="12.75">
      <c r="B117" s="270"/>
      <c r="C117" s="271"/>
      <c r="D117" s="412"/>
      <c r="E117" s="332" t="s">
        <v>1189</v>
      </c>
      <c r="F117" s="332"/>
      <c r="G117" s="584"/>
      <c r="H117" s="1260" t="s">
        <v>1241</v>
      </c>
      <c r="I117" s="1261"/>
      <c r="J117" s="1262"/>
      <c r="K117" s="851">
        <f aca="true" t="shared" si="35" ref="K117:S117">K118</f>
        <v>1880000</v>
      </c>
      <c r="L117" s="851">
        <f t="shared" si="35"/>
        <v>311836</v>
      </c>
      <c r="M117" s="851">
        <f t="shared" si="35"/>
        <v>1880000</v>
      </c>
      <c r="N117" s="276">
        <f t="shared" si="35"/>
        <v>0</v>
      </c>
      <c r="O117" s="276">
        <f t="shared" si="35"/>
        <v>0</v>
      </c>
      <c r="P117" s="276">
        <f t="shared" si="35"/>
        <v>0</v>
      </c>
      <c r="Q117" s="276">
        <f t="shared" si="35"/>
        <v>0</v>
      </c>
      <c r="R117" s="276">
        <f t="shared" si="35"/>
        <v>0</v>
      </c>
      <c r="S117" s="276">
        <f t="shared" si="35"/>
        <v>0</v>
      </c>
      <c r="T117" s="321">
        <f t="shared" si="25"/>
        <v>0</v>
      </c>
      <c r="U117" s="819">
        <f t="shared" si="26"/>
        <v>1880000</v>
      </c>
      <c r="V117" s="635">
        <f t="shared" si="28"/>
        <v>1880000</v>
      </c>
      <c r="W117" s="635">
        <f t="shared" si="29"/>
        <v>1880000</v>
      </c>
    </row>
    <row r="118" spans="2:23" s="342" customFormat="1" ht="12.75">
      <c r="B118" s="336"/>
      <c r="C118" s="343"/>
      <c r="D118" s="56">
        <v>220</v>
      </c>
      <c r="E118" s="167"/>
      <c r="F118" s="343"/>
      <c r="G118" s="339"/>
      <c r="H118" s="1296" t="s">
        <v>1232</v>
      </c>
      <c r="I118" s="1297"/>
      <c r="J118" s="1298"/>
      <c r="K118" s="168">
        <f>SUM(K119:K123)</f>
        <v>1880000</v>
      </c>
      <c r="L118" s="168">
        <f>SUM(L119:L123)</f>
        <v>311836</v>
      </c>
      <c r="M118" s="168">
        <f>SUM(M119:M123)</f>
        <v>1880000</v>
      </c>
      <c r="N118" s="168">
        <f aca="true" t="shared" si="36" ref="N118:S118">SUM(N119:N123)</f>
        <v>0</v>
      </c>
      <c r="O118" s="168">
        <f t="shared" si="36"/>
        <v>0</v>
      </c>
      <c r="P118" s="168">
        <f t="shared" si="36"/>
        <v>0</v>
      </c>
      <c r="Q118" s="168">
        <f t="shared" si="36"/>
        <v>0</v>
      </c>
      <c r="R118" s="168">
        <f t="shared" si="36"/>
        <v>0</v>
      </c>
      <c r="S118" s="168">
        <f t="shared" si="36"/>
        <v>0</v>
      </c>
      <c r="T118" s="322">
        <f t="shared" si="25"/>
        <v>0</v>
      </c>
      <c r="U118" s="1048">
        <f t="shared" si="26"/>
        <v>1880000</v>
      </c>
      <c r="V118" s="361">
        <f t="shared" si="28"/>
        <v>1880000</v>
      </c>
      <c r="W118" s="1048">
        <f t="shared" si="29"/>
        <v>1880000</v>
      </c>
    </row>
    <row r="119" spans="2:23" s="494" customFormat="1" ht="12.75">
      <c r="B119" s="495"/>
      <c r="C119" s="436"/>
      <c r="D119" s="496"/>
      <c r="E119" s="436"/>
      <c r="F119" s="987" t="s">
        <v>419</v>
      </c>
      <c r="G119" s="513">
        <v>423</v>
      </c>
      <c r="H119" s="1363" t="s">
        <v>1343</v>
      </c>
      <c r="I119" s="1364"/>
      <c r="J119" s="1365"/>
      <c r="K119" s="860">
        <v>580000</v>
      </c>
      <c r="L119" s="860">
        <v>134236</v>
      </c>
      <c r="M119" s="723">
        <v>580000</v>
      </c>
      <c r="N119" s="425">
        <v>0</v>
      </c>
      <c r="O119" s="497">
        <v>0</v>
      </c>
      <c r="P119" s="497">
        <v>0</v>
      </c>
      <c r="Q119" s="400">
        <v>0</v>
      </c>
      <c r="R119" s="398">
        <v>0</v>
      </c>
      <c r="S119" s="400">
        <v>0</v>
      </c>
      <c r="T119" s="400">
        <f t="shared" si="25"/>
        <v>0</v>
      </c>
      <c r="U119" s="818">
        <f t="shared" si="26"/>
        <v>580000</v>
      </c>
      <c r="V119" s="814">
        <f t="shared" si="28"/>
        <v>580000</v>
      </c>
      <c r="W119" s="818">
        <f t="shared" si="29"/>
        <v>580000</v>
      </c>
    </row>
    <row r="120" spans="2:23" s="342" customFormat="1" ht="12.75">
      <c r="B120" s="355"/>
      <c r="C120" s="348"/>
      <c r="D120" s="349"/>
      <c r="E120" s="348"/>
      <c r="F120" s="343" t="s">
        <v>1485</v>
      </c>
      <c r="G120" s="466">
        <v>424</v>
      </c>
      <c r="H120" s="1436" t="s">
        <v>1344</v>
      </c>
      <c r="I120" s="1436"/>
      <c r="J120" s="1437"/>
      <c r="K120" s="862">
        <v>1000000</v>
      </c>
      <c r="L120" s="862">
        <v>177600</v>
      </c>
      <c r="M120" s="862">
        <v>1000000</v>
      </c>
      <c r="N120" s="425">
        <v>0</v>
      </c>
      <c r="O120" s="425">
        <v>0</v>
      </c>
      <c r="P120" s="425">
        <v>0</v>
      </c>
      <c r="Q120" s="399">
        <v>0</v>
      </c>
      <c r="R120" s="398">
        <v>0</v>
      </c>
      <c r="S120" s="399">
        <v>0</v>
      </c>
      <c r="T120" s="399">
        <f t="shared" si="25"/>
        <v>0</v>
      </c>
      <c r="U120" s="818">
        <f t="shared" si="26"/>
        <v>1000000</v>
      </c>
      <c r="V120" s="591">
        <f t="shared" si="28"/>
        <v>1000000</v>
      </c>
      <c r="W120" s="818">
        <f t="shared" si="29"/>
        <v>1000000</v>
      </c>
    </row>
    <row r="121" spans="2:23" s="342" customFormat="1" ht="12.75">
      <c r="B121" s="355"/>
      <c r="C121" s="348"/>
      <c r="D121" s="349"/>
      <c r="E121" s="348"/>
      <c r="F121" s="343" t="s">
        <v>1395</v>
      </c>
      <c r="G121" s="466">
        <v>472</v>
      </c>
      <c r="H121" s="981" t="s">
        <v>1457</v>
      </c>
      <c r="I121" s="982"/>
      <c r="J121" s="982"/>
      <c r="K121" s="862">
        <v>100000</v>
      </c>
      <c r="L121" s="862">
        <v>0</v>
      </c>
      <c r="M121" s="862">
        <v>100000</v>
      </c>
      <c r="N121" s="425">
        <v>0</v>
      </c>
      <c r="O121" s="389">
        <v>0</v>
      </c>
      <c r="P121" s="389">
        <v>0</v>
      </c>
      <c r="Q121" s="406">
        <v>0</v>
      </c>
      <c r="R121" s="406">
        <v>0</v>
      </c>
      <c r="S121" s="406">
        <v>0</v>
      </c>
      <c r="T121" s="399">
        <f t="shared" si="25"/>
        <v>0</v>
      </c>
      <c r="U121" s="818">
        <f t="shared" si="26"/>
        <v>100000</v>
      </c>
      <c r="V121" s="591">
        <f t="shared" si="28"/>
        <v>100000</v>
      </c>
      <c r="W121" s="818">
        <f t="shared" si="29"/>
        <v>100000</v>
      </c>
    </row>
    <row r="122" spans="2:23" s="342" customFormat="1" ht="12.75">
      <c r="B122" s="355"/>
      <c r="C122" s="348"/>
      <c r="D122" s="349"/>
      <c r="E122" s="348"/>
      <c r="F122" s="343" t="s">
        <v>1268</v>
      </c>
      <c r="G122" s="466">
        <v>426</v>
      </c>
      <c r="H122" s="782" t="s">
        <v>38</v>
      </c>
      <c r="I122" s="1000"/>
      <c r="J122" s="1000"/>
      <c r="K122" s="862">
        <v>100000</v>
      </c>
      <c r="L122" s="862">
        <v>0</v>
      </c>
      <c r="M122" s="862">
        <v>100000</v>
      </c>
      <c r="N122" s="425">
        <v>0</v>
      </c>
      <c r="O122" s="389">
        <v>0</v>
      </c>
      <c r="P122" s="389">
        <v>0</v>
      </c>
      <c r="Q122" s="406">
        <v>0</v>
      </c>
      <c r="R122" s="406">
        <v>0</v>
      </c>
      <c r="S122" s="406">
        <v>0</v>
      </c>
      <c r="T122" s="399">
        <f t="shared" si="25"/>
        <v>0</v>
      </c>
      <c r="U122" s="818">
        <f t="shared" si="26"/>
        <v>100000</v>
      </c>
      <c r="V122" s="591">
        <f t="shared" si="28"/>
        <v>100000</v>
      </c>
      <c r="W122" s="818">
        <f t="shared" si="29"/>
        <v>100000</v>
      </c>
    </row>
    <row r="123" spans="2:23" s="342" customFormat="1" ht="12.75">
      <c r="B123" s="355"/>
      <c r="C123" s="348"/>
      <c r="D123" s="349"/>
      <c r="E123" s="348"/>
      <c r="F123" s="343" t="s">
        <v>1269</v>
      </c>
      <c r="G123" s="466">
        <v>512</v>
      </c>
      <c r="H123" s="1381" t="s">
        <v>1163</v>
      </c>
      <c r="I123" s="1381"/>
      <c r="J123" s="1382"/>
      <c r="K123" s="862">
        <v>100000</v>
      </c>
      <c r="L123" s="862">
        <v>0</v>
      </c>
      <c r="M123" s="862">
        <v>100000</v>
      </c>
      <c r="N123" s="425">
        <v>0</v>
      </c>
      <c r="O123" s="389">
        <v>0</v>
      </c>
      <c r="P123" s="389">
        <v>0</v>
      </c>
      <c r="Q123" s="406">
        <v>0</v>
      </c>
      <c r="R123" s="406">
        <v>0</v>
      </c>
      <c r="S123" s="406">
        <v>0</v>
      </c>
      <c r="T123" s="406">
        <f t="shared" si="25"/>
        <v>0</v>
      </c>
      <c r="U123" s="818">
        <f t="shared" si="26"/>
        <v>100000</v>
      </c>
      <c r="V123" s="591">
        <f t="shared" si="28"/>
        <v>100000</v>
      </c>
      <c r="W123" s="818">
        <f t="shared" si="29"/>
        <v>100000</v>
      </c>
    </row>
    <row r="124" spans="2:23" s="42" customFormat="1" ht="12.75">
      <c r="B124" s="270"/>
      <c r="C124" s="271"/>
      <c r="D124" s="412"/>
      <c r="E124" s="332" t="s">
        <v>282</v>
      </c>
      <c r="F124" s="332"/>
      <c r="G124" s="413"/>
      <c r="H124" s="1433" t="s">
        <v>1188</v>
      </c>
      <c r="I124" s="1434"/>
      <c r="J124" s="1435"/>
      <c r="K124" s="1062">
        <f aca="true" t="shared" si="37" ref="K124:S125">K125</f>
        <v>450000</v>
      </c>
      <c r="L124" s="1017">
        <f t="shared" si="37"/>
        <v>0</v>
      </c>
      <c r="M124" s="973">
        <f t="shared" si="37"/>
        <v>500000</v>
      </c>
      <c r="N124" s="272">
        <f t="shared" si="37"/>
        <v>0</v>
      </c>
      <c r="O124" s="272">
        <f t="shared" si="37"/>
        <v>0</v>
      </c>
      <c r="P124" s="272">
        <f t="shared" si="37"/>
        <v>0</v>
      </c>
      <c r="Q124" s="272">
        <f t="shared" si="37"/>
        <v>0</v>
      </c>
      <c r="R124" s="272">
        <f t="shared" si="37"/>
        <v>0</v>
      </c>
      <c r="S124" s="272">
        <f t="shared" si="37"/>
        <v>0</v>
      </c>
      <c r="T124" s="320">
        <f t="shared" si="25"/>
        <v>0</v>
      </c>
      <c r="U124" s="819">
        <f t="shared" si="26"/>
        <v>500000</v>
      </c>
      <c r="V124" s="635">
        <f t="shared" si="28"/>
        <v>500000</v>
      </c>
      <c r="W124" s="635">
        <f t="shared" si="29"/>
        <v>500000</v>
      </c>
    </row>
    <row r="125" spans="2:23" s="42" customFormat="1" ht="12.75">
      <c r="B125" s="336"/>
      <c r="C125" s="343"/>
      <c r="D125" s="56">
        <v>160</v>
      </c>
      <c r="E125" s="167"/>
      <c r="F125" s="343"/>
      <c r="G125" s="339"/>
      <c r="H125" s="1296" t="s">
        <v>1473</v>
      </c>
      <c r="I125" s="1297"/>
      <c r="J125" s="1297"/>
      <c r="K125" s="812">
        <f t="shared" si="37"/>
        <v>450000</v>
      </c>
      <c r="L125" s="812">
        <f t="shared" si="37"/>
        <v>0</v>
      </c>
      <c r="M125" s="744">
        <f t="shared" si="37"/>
        <v>500000</v>
      </c>
      <c r="N125" s="556">
        <f t="shared" si="37"/>
        <v>0</v>
      </c>
      <c r="O125" s="65">
        <f t="shared" si="37"/>
        <v>0</v>
      </c>
      <c r="P125" s="65">
        <f t="shared" si="37"/>
        <v>0</v>
      </c>
      <c r="Q125" s="65">
        <f t="shared" si="37"/>
        <v>0</v>
      </c>
      <c r="R125" s="65">
        <f t="shared" si="37"/>
        <v>0</v>
      </c>
      <c r="S125" s="65">
        <f t="shared" si="37"/>
        <v>0</v>
      </c>
      <c r="T125" s="326">
        <f t="shared" si="25"/>
        <v>0</v>
      </c>
      <c r="U125" s="1048">
        <f t="shared" si="26"/>
        <v>500000</v>
      </c>
      <c r="V125" s="361">
        <f t="shared" si="28"/>
        <v>500000</v>
      </c>
      <c r="W125" s="1048">
        <f t="shared" si="29"/>
        <v>500000</v>
      </c>
    </row>
    <row r="126" spans="2:23" s="42" customFormat="1" ht="12.75">
      <c r="B126" s="336"/>
      <c r="C126" s="343"/>
      <c r="D126" s="338"/>
      <c r="E126" s="587"/>
      <c r="F126" s="343" t="s">
        <v>1550</v>
      </c>
      <c r="G126" s="588">
        <v>499</v>
      </c>
      <c r="H126" s="1351" t="s">
        <v>83</v>
      </c>
      <c r="I126" s="1332"/>
      <c r="J126" s="1332"/>
      <c r="K126" s="523">
        <v>450000</v>
      </c>
      <c r="L126" s="523">
        <v>0</v>
      </c>
      <c r="M126" s="866">
        <v>500000</v>
      </c>
      <c r="N126" s="441">
        <v>0</v>
      </c>
      <c r="O126" s="388">
        <v>0</v>
      </c>
      <c r="P126" s="395">
        <v>0</v>
      </c>
      <c r="Q126" s="398">
        <v>0</v>
      </c>
      <c r="R126" s="398">
        <v>0</v>
      </c>
      <c r="S126" s="398">
        <v>0</v>
      </c>
      <c r="T126" s="398">
        <f t="shared" si="25"/>
        <v>0</v>
      </c>
      <c r="U126" s="818">
        <f t="shared" si="26"/>
        <v>500000</v>
      </c>
      <c r="V126" s="591">
        <f t="shared" si="28"/>
        <v>500000</v>
      </c>
      <c r="W126" s="818">
        <f t="shared" si="29"/>
        <v>500000</v>
      </c>
    </row>
    <row r="127" spans="2:23" s="42" customFormat="1" ht="12.75">
      <c r="B127" s="580"/>
      <c r="C127" s="581"/>
      <c r="D127" s="582"/>
      <c r="E127" s="332" t="s">
        <v>848</v>
      </c>
      <c r="F127" s="332"/>
      <c r="G127" s="584"/>
      <c r="H127" s="1433" t="s">
        <v>1187</v>
      </c>
      <c r="I127" s="1439"/>
      <c r="J127" s="1439"/>
      <c r="K127" s="1018">
        <f>K129</f>
        <v>923000</v>
      </c>
      <c r="L127" s="1018">
        <f>L129</f>
        <v>0</v>
      </c>
      <c r="M127" s="867">
        <f>M129</f>
        <v>3000000</v>
      </c>
      <c r="N127" s="601">
        <f aca="true" t="shared" si="38" ref="N127:S127">N129</f>
        <v>0</v>
      </c>
      <c r="O127" s="585">
        <f t="shared" si="38"/>
        <v>0</v>
      </c>
      <c r="P127" s="585">
        <f t="shared" si="38"/>
        <v>0</v>
      </c>
      <c r="Q127" s="585">
        <f t="shared" si="38"/>
        <v>0</v>
      </c>
      <c r="R127" s="585">
        <f t="shared" si="38"/>
        <v>0</v>
      </c>
      <c r="S127" s="585">
        <f t="shared" si="38"/>
        <v>0</v>
      </c>
      <c r="T127" s="586">
        <f t="shared" si="25"/>
        <v>0</v>
      </c>
      <c r="U127" s="819">
        <f t="shared" si="26"/>
        <v>3000000</v>
      </c>
      <c r="V127" s="815">
        <f t="shared" si="28"/>
        <v>3000000</v>
      </c>
      <c r="W127" s="635">
        <f t="shared" si="29"/>
        <v>3000000</v>
      </c>
    </row>
    <row r="128" spans="2:23" s="42" customFormat="1" ht="12.75">
      <c r="B128" s="336"/>
      <c r="C128" s="343"/>
      <c r="D128" s="56">
        <v>160</v>
      </c>
      <c r="E128" s="167"/>
      <c r="F128" s="343"/>
      <c r="G128" s="339"/>
      <c r="H128" s="1296" t="s">
        <v>1473</v>
      </c>
      <c r="I128" s="1297"/>
      <c r="J128" s="1297"/>
      <c r="K128" s="812">
        <f>K129</f>
        <v>923000</v>
      </c>
      <c r="L128" s="812">
        <f>L129</f>
        <v>0</v>
      </c>
      <c r="M128" s="727">
        <f>M129</f>
        <v>3000000</v>
      </c>
      <c r="N128" s="718">
        <f aca="true" t="shared" si="39" ref="N128:S128">N129</f>
        <v>0</v>
      </c>
      <c r="O128" s="65">
        <f t="shared" si="39"/>
        <v>0</v>
      </c>
      <c r="P128" s="65">
        <f t="shared" si="39"/>
        <v>0</v>
      </c>
      <c r="Q128" s="65">
        <f t="shared" si="39"/>
        <v>0</v>
      </c>
      <c r="R128" s="65">
        <f t="shared" si="39"/>
        <v>0</v>
      </c>
      <c r="S128" s="65">
        <f t="shared" si="39"/>
        <v>0</v>
      </c>
      <c r="T128" s="326">
        <f t="shared" si="25"/>
        <v>0</v>
      </c>
      <c r="U128" s="1048">
        <f t="shared" si="26"/>
        <v>3000000</v>
      </c>
      <c r="V128" s="361">
        <f t="shared" si="28"/>
        <v>3000000</v>
      </c>
      <c r="W128" s="1048">
        <f t="shared" si="29"/>
        <v>3000000</v>
      </c>
    </row>
    <row r="129" spans="2:23" s="342" customFormat="1" ht="12.75">
      <c r="B129" s="336"/>
      <c r="C129" s="343"/>
      <c r="D129" s="339"/>
      <c r="E129" s="469"/>
      <c r="F129" s="343" t="s">
        <v>1555</v>
      </c>
      <c r="G129" s="466">
        <v>499</v>
      </c>
      <c r="H129" s="1284" t="s">
        <v>84</v>
      </c>
      <c r="I129" s="1285"/>
      <c r="J129" s="1285"/>
      <c r="K129" s="523">
        <v>923000</v>
      </c>
      <c r="L129" s="523">
        <v>0</v>
      </c>
      <c r="M129" s="859">
        <v>3000000</v>
      </c>
      <c r="N129" s="425">
        <v>0</v>
      </c>
      <c r="O129" s="395">
        <v>0</v>
      </c>
      <c r="P129" s="395">
        <v>0</v>
      </c>
      <c r="Q129" s="398">
        <v>0</v>
      </c>
      <c r="R129" s="398">
        <v>0</v>
      </c>
      <c r="S129" s="398">
        <v>0</v>
      </c>
      <c r="T129" s="398">
        <f t="shared" si="25"/>
        <v>0</v>
      </c>
      <c r="U129" s="818">
        <f t="shared" si="26"/>
        <v>3000000</v>
      </c>
      <c r="V129" s="591">
        <f t="shared" si="28"/>
        <v>3000000</v>
      </c>
      <c r="W129" s="818">
        <f t="shared" si="29"/>
        <v>3000000</v>
      </c>
    </row>
    <row r="130" spans="2:23" s="668" customFormat="1" ht="12.75">
      <c r="B130" s="617"/>
      <c r="C130" s="618"/>
      <c r="D130" s="594"/>
      <c r="E130" s="593" t="s">
        <v>286</v>
      </c>
      <c r="F130" s="594"/>
      <c r="G130" s="595"/>
      <c r="H130" s="1302" t="s">
        <v>1201</v>
      </c>
      <c r="I130" s="1303"/>
      <c r="J130" s="1304"/>
      <c r="K130" s="868">
        <f aca="true" t="shared" si="40" ref="K130:S130">K131+K135</f>
        <v>7400000</v>
      </c>
      <c r="L130" s="996">
        <f t="shared" si="40"/>
        <v>1995529</v>
      </c>
      <c r="M130" s="994">
        <f t="shared" si="40"/>
        <v>9900000</v>
      </c>
      <c r="N130" s="619">
        <f t="shared" si="40"/>
        <v>0</v>
      </c>
      <c r="O130" s="619">
        <f t="shared" si="40"/>
        <v>0</v>
      </c>
      <c r="P130" s="619">
        <f t="shared" si="40"/>
        <v>0</v>
      </c>
      <c r="Q130" s="619">
        <f t="shared" si="40"/>
        <v>0</v>
      </c>
      <c r="R130" s="619">
        <f t="shared" si="40"/>
        <v>0</v>
      </c>
      <c r="S130" s="619">
        <f t="shared" si="40"/>
        <v>0</v>
      </c>
      <c r="T130" s="620">
        <f t="shared" si="25"/>
        <v>0</v>
      </c>
      <c r="U130" s="1027">
        <f t="shared" si="26"/>
        <v>9900000</v>
      </c>
      <c r="V130" s="822">
        <f t="shared" si="28"/>
        <v>9900000</v>
      </c>
      <c r="W130" s="822">
        <f t="shared" si="29"/>
        <v>9900000</v>
      </c>
    </row>
    <row r="131" spans="2:23" ht="14.25" customHeight="1">
      <c r="B131" s="270"/>
      <c r="C131" s="271"/>
      <c r="D131" s="412"/>
      <c r="E131" s="332" t="s">
        <v>297</v>
      </c>
      <c r="F131" s="412"/>
      <c r="G131" s="413"/>
      <c r="H131" s="1310" t="s">
        <v>1256</v>
      </c>
      <c r="I131" s="1378"/>
      <c r="J131" s="1379"/>
      <c r="K131" s="848">
        <f aca="true" t="shared" si="41" ref="K131:S131">K132</f>
        <v>3000000</v>
      </c>
      <c r="L131" s="848">
        <f t="shared" si="41"/>
        <v>1995529</v>
      </c>
      <c r="M131" s="848">
        <f t="shared" si="41"/>
        <v>5500000</v>
      </c>
      <c r="N131" s="276">
        <f t="shared" si="41"/>
        <v>0</v>
      </c>
      <c r="O131" s="276">
        <f t="shared" si="41"/>
        <v>0</v>
      </c>
      <c r="P131" s="276">
        <f t="shared" si="41"/>
        <v>0</v>
      </c>
      <c r="Q131" s="276">
        <f t="shared" si="41"/>
        <v>0</v>
      </c>
      <c r="R131" s="276">
        <f t="shared" si="41"/>
        <v>0</v>
      </c>
      <c r="S131" s="321">
        <f t="shared" si="41"/>
        <v>0</v>
      </c>
      <c r="T131" s="321">
        <f t="shared" si="25"/>
        <v>0</v>
      </c>
      <c r="U131" s="819">
        <f t="shared" si="26"/>
        <v>5500000</v>
      </c>
      <c r="V131" s="635">
        <f t="shared" si="28"/>
        <v>5500000</v>
      </c>
      <c r="W131" s="635">
        <f t="shared" si="29"/>
        <v>5500000</v>
      </c>
    </row>
    <row r="132" spans="2:23" s="342" customFormat="1" ht="12.75">
      <c r="B132" s="336"/>
      <c r="C132" s="343"/>
      <c r="D132" s="56">
        <v>820</v>
      </c>
      <c r="E132" s="167"/>
      <c r="F132" s="338"/>
      <c r="G132" s="339"/>
      <c r="H132" s="1296" t="s">
        <v>167</v>
      </c>
      <c r="I132" s="1297"/>
      <c r="J132" s="1298"/>
      <c r="K132" s="168">
        <f aca="true" t="shared" si="42" ref="K132:S132">SUM(K133:K134)</f>
        <v>3000000</v>
      </c>
      <c r="L132" s="168">
        <f t="shared" si="42"/>
        <v>1995529</v>
      </c>
      <c r="M132" s="168">
        <f t="shared" si="42"/>
        <v>5500000</v>
      </c>
      <c r="N132" s="65">
        <f t="shared" si="42"/>
        <v>0</v>
      </c>
      <c r="O132" s="65">
        <f t="shared" si="42"/>
        <v>0</v>
      </c>
      <c r="P132" s="65">
        <f t="shared" si="42"/>
        <v>0</v>
      </c>
      <c r="Q132" s="65">
        <f t="shared" si="42"/>
        <v>0</v>
      </c>
      <c r="R132" s="65">
        <f t="shared" si="42"/>
        <v>0</v>
      </c>
      <c r="S132" s="65">
        <f t="shared" si="42"/>
        <v>0</v>
      </c>
      <c r="T132" s="325">
        <f t="shared" si="25"/>
        <v>0</v>
      </c>
      <c r="U132" s="1048">
        <f t="shared" si="26"/>
        <v>5500000</v>
      </c>
      <c r="V132" s="361">
        <f t="shared" si="28"/>
        <v>5500000</v>
      </c>
      <c r="W132" s="1048">
        <f t="shared" si="29"/>
        <v>5500000</v>
      </c>
    </row>
    <row r="133" spans="2:23" s="342" customFormat="1" ht="12.75">
      <c r="B133" s="336"/>
      <c r="C133" s="343"/>
      <c r="D133" s="56"/>
      <c r="E133" s="167"/>
      <c r="F133" s="343" t="s">
        <v>1556</v>
      </c>
      <c r="G133" s="432">
        <v>481</v>
      </c>
      <c r="H133" s="1257" t="s">
        <v>1589</v>
      </c>
      <c r="I133" s="1258"/>
      <c r="J133" s="1259"/>
      <c r="K133" s="723">
        <v>2000000</v>
      </c>
      <c r="L133" s="723">
        <v>1995529</v>
      </c>
      <c r="M133" s="723">
        <v>4000000</v>
      </c>
      <c r="N133" s="425">
        <v>0</v>
      </c>
      <c r="O133" s="434">
        <v>0</v>
      </c>
      <c r="P133" s="434">
        <v>0</v>
      </c>
      <c r="Q133" s="402">
        <v>0</v>
      </c>
      <c r="R133" s="395">
        <v>0</v>
      </c>
      <c r="S133" s="402">
        <v>0</v>
      </c>
      <c r="T133" s="341">
        <f t="shared" si="25"/>
        <v>0</v>
      </c>
      <c r="U133" s="818">
        <f t="shared" si="26"/>
        <v>4000000</v>
      </c>
      <c r="V133" s="362">
        <f t="shared" si="28"/>
        <v>4000000</v>
      </c>
      <c r="W133" s="818">
        <f t="shared" si="29"/>
        <v>4000000</v>
      </c>
    </row>
    <row r="134" spans="2:23" s="342" customFormat="1" ht="12.75">
      <c r="B134" s="336"/>
      <c r="C134" s="343"/>
      <c r="D134" s="338"/>
      <c r="E134" s="343"/>
      <c r="F134" s="770">
        <v>88</v>
      </c>
      <c r="G134" s="418">
        <v>481</v>
      </c>
      <c r="H134" s="1257" t="s">
        <v>1376</v>
      </c>
      <c r="I134" s="1258"/>
      <c r="J134" s="1259"/>
      <c r="K134" s="723">
        <v>1000000</v>
      </c>
      <c r="L134" s="723">
        <v>0</v>
      </c>
      <c r="M134" s="723">
        <v>1500000</v>
      </c>
      <c r="N134" s="425">
        <v>0</v>
      </c>
      <c r="O134" s="395">
        <v>0</v>
      </c>
      <c r="P134" s="395">
        <v>0</v>
      </c>
      <c r="Q134" s="398">
        <v>0</v>
      </c>
      <c r="R134" s="395">
        <v>0</v>
      </c>
      <c r="S134" s="398">
        <v>0</v>
      </c>
      <c r="T134" s="401">
        <f t="shared" si="25"/>
        <v>0</v>
      </c>
      <c r="U134" s="818">
        <f t="shared" si="26"/>
        <v>1500000</v>
      </c>
      <c r="V134" s="591">
        <f t="shared" si="28"/>
        <v>1500000</v>
      </c>
      <c r="W134" s="818">
        <f t="shared" si="29"/>
        <v>1500000</v>
      </c>
    </row>
    <row r="135" spans="2:23" ht="30" customHeight="1">
      <c r="B135" s="270"/>
      <c r="C135" s="271"/>
      <c r="D135" s="583"/>
      <c r="E135" s="332" t="s">
        <v>1199</v>
      </c>
      <c r="F135" s="412"/>
      <c r="G135" s="413"/>
      <c r="H135" s="1260" t="s">
        <v>1200</v>
      </c>
      <c r="I135" s="1261"/>
      <c r="J135" s="1262"/>
      <c r="K135" s="851">
        <f>K137</f>
        <v>4400000</v>
      </c>
      <c r="L135" s="851">
        <f>L137</f>
        <v>0</v>
      </c>
      <c r="M135" s="276">
        <f>M137</f>
        <v>4400000</v>
      </c>
      <c r="N135" s="276">
        <f aca="true" t="shared" si="43" ref="N135:S135">N137</f>
        <v>0</v>
      </c>
      <c r="O135" s="276">
        <f t="shared" si="43"/>
        <v>0</v>
      </c>
      <c r="P135" s="276">
        <f t="shared" si="43"/>
        <v>0</v>
      </c>
      <c r="Q135" s="276">
        <f t="shared" si="43"/>
        <v>0</v>
      </c>
      <c r="R135" s="276">
        <f t="shared" si="43"/>
        <v>0</v>
      </c>
      <c r="S135" s="321">
        <f t="shared" si="43"/>
        <v>0</v>
      </c>
      <c r="T135" s="321">
        <f t="shared" si="25"/>
        <v>0</v>
      </c>
      <c r="U135" s="819">
        <f t="shared" si="26"/>
        <v>4400000</v>
      </c>
      <c r="V135" s="635">
        <f t="shared" si="28"/>
        <v>4400000</v>
      </c>
      <c r="W135" s="635">
        <f t="shared" si="29"/>
        <v>4400000</v>
      </c>
    </row>
    <row r="136" spans="2:23" ht="12.75">
      <c r="B136" s="414"/>
      <c r="C136" s="415"/>
      <c r="D136" s="56">
        <v>830</v>
      </c>
      <c r="E136" s="58"/>
      <c r="F136" s="416"/>
      <c r="G136" s="417"/>
      <c r="H136" s="1296" t="s">
        <v>1202</v>
      </c>
      <c r="I136" s="1297"/>
      <c r="J136" s="1298"/>
      <c r="K136" s="168">
        <f aca="true" t="shared" si="44" ref="K136:S136">K137</f>
        <v>4400000</v>
      </c>
      <c r="L136" s="168">
        <f t="shared" si="44"/>
        <v>0</v>
      </c>
      <c r="M136" s="168">
        <f t="shared" si="44"/>
        <v>4400000</v>
      </c>
      <c r="N136" s="68">
        <f t="shared" si="44"/>
        <v>0</v>
      </c>
      <c r="O136" s="68">
        <f t="shared" si="44"/>
        <v>0</v>
      </c>
      <c r="P136" s="68">
        <f t="shared" si="44"/>
        <v>0</v>
      </c>
      <c r="Q136" s="68">
        <f t="shared" si="44"/>
        <v>0</v>
      </c>
      <c r="R136" s="68">
        <f t="shared" si="44"/>
        <v>0</v>
      </c>
      <c r="S136" s="324">
        <f t="shared" si="44"/>
        <v>0</v>
      </c>
      <c r="T136" s="324">
        <f aca="true" t="shared" si="45" ref="T136:T199">SUM(N136:S136)</f>
        <v>0</v>
      </c>
      <c r="U136" s="1048">
        <f aca="true" t="shared" si="46" ref="U136:U200">M136+N136+O136+P136+Q136+R136+S136</f>
        <v>4400000</v>
      </c>
      <c r="V136" s="811">
        <f t="shared" si="28"/>
        <v>4400000</v>
      </c>
      <c r="W136" s="1048">
        <f t="shared" si="29"/>
        <v>4400000</v>
      </c>
    </row>
    <row r="137" spans="1:250" s="440" customFormat="1" ht="12.75">
      <c r="A137" s="336"/>
      <c r="B137" s="336"/>
      <c r="C137" s="343"/>
      <c r="D137" s="343"/>
      <c r="E137" s="343"/>
      <c r="F137" s="354">
        <v>89</v>
      </c>
      <c r="G137" s="436" t="s">
        <v>476</v>
      </c>
      <c r="H137" s="366" t="s">
        <v>1474</v>
      </c>
      <c r="I137" s="419"/>
      <c r="J137" s="437"/>
      <c r="K137" s="1013">
        <v>4400000</v>
      </c>
      <c r="L137" s="1013">
        <v>0</v>
      </c>
      <c r="M137" s="1013">
        <v>4400000</v>
      </c>
      <c r="N137" s="425">
        <v>0</v>
      </c>
      <c r="O137" s="395">
        <v>0</v>
      </c>
      <c r="P137" s="395">
        <v>0</v>
      </c>
      <c r="Q137" s="395">
        <v>0</v>
      </c>
      <c r="R137" s="398">
        <v>0</v>
      </c>
      <c r="S137" s="398">
        <v>0</v>
      </c>
      <c r="T137" s="438">
        <f t="shared" si="45"/>
        <v>0</v>
      </c>
      <c r="U137" s="818">
        <f t="shared" si="46"/>
        <v>4400000</v>
      </c>
      <c r="V137" s="742">
        <f aca="true" t="shared" si="47" ref="V137:V202">U137</f>
        <v>4400000</v>
      </c>
      <c r="W137" s="818">
        <f aca="true" t="shared" si="48" ref="W137:W202">U137</f>
        <v>4400000</v>
      </c>
      <c r="X137" s="439"/>
      <c r="Y137" s="439"/>
      <c r="Z137" s="439"/>
      <c r="AA137" s="439"/>
      <c r="AB137" s="439"/>
      <c r="AC137" s="439"/>
      <c r="AD137" s="439"/>
      <c r="AE137" s="439"/>
      <c r="AF137" s="439"/>
      <c r="AG137" s="439"/>
      <c r="AH137" s="439"/>
      <c r="AI137" s="439"/>
      <c r="AJ137" s="439"/>
      <c r="AK137" s="439"/>
      <c r="AL137" s="439"/>
      <c r="AM137" s="439"/>
      <c r="AN137" s="439"/>
      <c r="AO137" s="439"/>
      <c r="AP137" s="439"/>
      <c r="AQ137" s="439"/>
      <c r="AR137" s="439"/>
      <c r="AS137" s="439"/>
      <c r="AT137" s="439"/>
      <c r="AU137" s="439"/>
      <c r="AV137" s="439"/>
      <c r="AW137" s="439"/>
      <c r="AX137" s="439"/>
      <c r="AY137" s="439"/>
      <c r="AZ137" s="439"/>
      <c r="BA137" s="439"/>
      <c r="BB137" s="439"/>
      <c r="BC137" s="439"/>
      <c r="BD137" s="439"/>
      <c r="BE137" s="439"/>
      <c r="BF137" s="439"/>
      <c r="BG137" s="439"/>
      <c r="BH137" s="439"/>
      <c r="BI137" s="439"/>
      <c r="BJ137" s="439"/>
      <c r="BK137" s="439"/>
      <c r="BL137" s="439"/>
      <c r="BM137" s="439"/>
      <c r="BN137" s="439"/>
      <c r="BO137" s="439"/>
      <c r="BP137" s="439"/>
      <c r="BQ137" s="439"/>
      <c r="BR137" s="439"/>
      <c r="BS137" s="439"/>
      <c r="BT137" s="439"/>
      <c r="BU137" s="439"/>
      <c r="BV137" s="439"/>
      <c r="BW137" s="439"/>
      <c r="BX137" s="439"/>
      <c r="BY137" s="439"/>
      <c r="BZ137" s="439"/>
      <c r="CA137" s="439"/>
      <c r="CB137" s="439"/>
      <c r="CC137" s="439"/>
      <c r="CD137" s="439"/>
      <c r="CE137" s="439"/>
      <c r="CF137" s="439"/>
      <c r="CG137" s="439"/>
      <c r="CH137" s="439"/>
      <c r="CI137" s="439"/>
      <c r="CJ137" s="439"/>
      <c r="CK137" s="439"/>
      <c r="CL137" s="439"/>
      <c r="CM137" s="439"/>
      <c r="CN137" s="439"/>
      <c r="CO137" s="439"/>
      <c r="CP137" s="439"/>
      <c r="CQ137" s="439"/>
      <c r="CR137" s="439"/>
      <c r="CS137" s="439"/>
      <c r="CT137" s="439"/>
      <c r="CU137" s="439"/>
      <c r="CV137" s="439"/>
      <c r="CW137" s="439"/>
      <c r="CX137" s="439"/>
      <c r="CY137" s="439"/>
      <c r="CZ137" s="439"/>
      <c r="DA137" s="439"/>
      <c r="DB137" s="439"/>
      <c r="DC137" s="439"/>
      <c r="DD137" s="439"/>
      <c r="DE137" s="439"/>
      <c r="DF137" s="439"/>
      <c r="DG137" s="439"/>
      <c r="DH137" s="439"/>
      <c r="DI137" s="439"/>
      <c r="DJ137" s="439"/>
      <c r="DK137" s="439"/>
      <c r="DL137" s="439"/>
      <c r="DM137" s="439"/>
      <c r="DN137" s="439"/>
      <c r="DO137" s="439"/>
      <c r="DP137" s="439"/>
      <c r="DQ137" s="439"/>
      <c r="DR137" s="439"/>
      <c r="DS137" s="439"/>
      <c r="DT137" s="439"/>
      <c r="DU137" s="439"/>
      <c r="DV137" s="439"/>
      <c r="DW137" s="439"/>
      <c r="DX137" s="439"/>
      <c r="DY137" s="439"/>
      <c r="DZ137" s="439"/>
      <c r="EA137" s="439"/>
      <c r="EB137" s="439"/>
      <c r="EC137" s="439"/>
      <c r="ED137" s="439"/>
      <c r="EE137" s="439"/>
      <c r="EF137" s="439"/>
      <c r="EG137" s="439"/>
      <c r="EH137" s="439"/>
      <c r="EI137" s="439"/>
      <c r="EJ137" s="439"/>
      <c r="EK137" s="439"/>
      <c r="EL137" s="439"/>
      <c r="EM137" s="439"/>
      <c r="EN137" s="439"/>
      <c r="EO137" s="439"/>
      <c r="EP137" s="439"/>
      <c r="EQ137" s="439"/>
      <c r="ER137" s="439"/>
      <c r="ES137" s="439"/>
      <c r="ET137" s="439"/>
      <c r="EU137" s="439"/>
      <c r="EV137" s="439"/>
      <c r="EW137" s="439"/>
      <c r="EX137" s="439"/>
      <c r="EY137" s="439"/>
      <c r="EZ137" s="439"/>
      <c r="FA137" s="439"/>
      <c r="FB137" s="439"/>
      <c r="FC137" s="439"/>
      <c r="FD137" s="439"/>
      <c r="FE137" s="439"/>
      <c r="FF137" s="439"/>
      <c r="FG137" s="439"/>
      <c r="FH137" s="439"/>
      <c r="FI137" s="439"/>
      <c r="FJ137" s="439"/>
      <c r="FK137" s="439"/>
      <c r="FL137" s="439"/>
      <c r="FM137" s="439"/>
      <c r="FN137" s="439"/>
      <c r="FO137" s="439"/>
      <c r="FP137" s="439"/>
      <c r="FQ137" s="439"/>
      <c r="FR137" s="439"/>
      <c r="FS137" s="439"/>
      <c r="FT137" s="439"/>
      <c r="FU137" s="439"/>
      <c r="FV137" s="439"/>
      <c r="FW137" s="439"/>
      <c r="FX137" s="439"/>
      <c r="FY137" s="439"/>
      <c r="FZ137" s="439"/>
      <c r="GA137" s="439"/>
      <c r="GB137" s="439"/>
      <c r="GC137" s="439"/>
      <c r="GD137" s="439"/>
      <c r="GE137" s="439"/>
      <c r="GF137" s="439"/>
      <c r="GG137" s="439"/>
      <c r="GH137" s="439"/>
      <c r="GI137" s="439"/>
      <c r="GJ137" s="439"/>
      <c r="GK137" s="439"/>
      <c r="GL137" s="439"/>
      <c r="GM137" s="439"/>
      <c r="GN137" s="439"/>
      <c r="GO137" s="439"/>
      <c r="GP137" s="439"/>
      <c r="GQ137" s="439"/>
      <c r="GR137" s="439"/>
      <c r="GS137" s="439"/>
      <c r="GT137" s="439"/>
      <c r="GU137" s="439"/>
      <c r="GV137" s="439"/>
      <c r="GW137" s="439"/>
      <c r="GX137" s="439"/>
      <c r="GY137" s="439"/>
      <c r="GZ137" s="439"/>
      <c r="HA137" s="439"/>
      <c r="HB137" s="439"/>
      <c r="HC137" s="439"/>
      <c r="HD137" s="439"/>
      <c r="HE137" s="439"/>
      <c r="HF137" s="439"/>
      <c r="HG137" s="439"/>
      <c r="HH137" s="439"/>
      <c r="HI137" s="439"/>
      <c r="HJ137" s="439"/>
      <c r="HK137" s="439"/>
      <c r="HL137" s="439"/>
      <c r="HM137" s="439"/>
      <c r="HN137" s="439"/>
      <c r="HO137" s="439"/>
      <c r="HP137" s="439"/>
      <c r="HQ137" s="439"/>
      <c r="HR137" s="439"/>
      <c r="HS137" s="439"/>
      <c r="HT137" s="439"/>
      <c r="HU137" s="439"/>
      <c r="HV137" s="439"/>
      <c r="HW137" s="439"/>
      <c r="HX137" s="439"/>
      <c r="HY137" s="439"/>
      <c r="HZ137" s="439"/>
      <c r="IA137" s="439"/>
      <c r="IB137" s="439"/>
      <c r="IC137" s="439"/>
      <c r="ID137" s="439"/>
      <c r="IE137" s="439"/>
      <c r="IF137" s="439"/>
      <c r="IG137" s="439"/>
      <c r="IH137" s="439"/>
      <c r="II137" s="439"/>
      <c r="IJ137" s="439"/>
      <c r="IK137" s="439"/>
      <c r="IL137" s="439"/>
      <c r="IM137" s="439"/>
      <c r="IN137" s="439"/>
      <c r="IO137" s="439"/>
      <c r="IP137" s="439"/>
    </row>
    <row r="138" spans="2:23" s="668" customFormat="1" ht="12.75">
      <c r="B138" s="617"/>
      <c r="C138" s="618"/>
      <c r="D138" s="594"/>
      <c r="E138" s="596" t="s">
        <v>294</v>
      </c>
      <c r="F138" s="1207"/>
      <c r="G138" s="595"/>
      <c r="H138" s="1293" t="s">
        <v>295</v>
      </c>
      <c r="I138" s="1294"/>
      <c r="J138" s="1294"/>
      <c r="K138" s="994">
        <f>K139</f>
        <v>3001000</v>
      </c>
      <c r="L138" s="994">
        <f>L139</f>
        <v>2998048</v>
      </c>
      <c r="M138" s="994">
        <f>M139</f>
        <v>8201000</v>
      </c>
      <c r="N138" s="619">
        <f aca="true" t="shared" si="49" ref="N138:S138">N139</f>
        <v>0</v>
      </c>
      <c r="O138" s="619">
        <f t="shared" si="49"/>
        <v>0</v>
      </c>
      <c r="P138" s="619">
        <f t="shared" si="49"/>
        <v>0</v>
      </c>
      <c r="Q138" s="1218">
        <f t="shared" si="49"/>
        <v>0</v>
      </c>
      <c r="R138" s="1218">
        <f t="shared" si="49"/>
        <v>0</v>
      </c>
      <c r="S138" s="1218">
        <f t="shared" si="49"/>
        <v>0</v>
      </c>
      <c r="T138" s="1219">
        <f t="shared" si="45"/>
        <v>0</v>
      </c>
      <c r="U138" s="1027">
        <f t="shared" si="46"/>
        <v>8201000</v>
      </c>
      <c r="V138" s="822">
        <f t="shared" si="47"/>
        <v>8201000</v>
      </c>
      <c r="W138" s="822">
        <f t="shared" si="48"/>
        <v>8201000</v>
      </c>
    </row>
    <row r="139" spans="2:23" ht="26.25" customHeight="1">
      <c r="B139" s="270"/>
      <c r="C139" s="271"/>
      <c r="D139" s="525"/>
      <c r="E139" s="525" t="s">
        <v>296</v>
      </c>
      <c r="F139" s="528"/>
      <c r="G139" s="526"/>
      <c r="H139" s="1260" t="s">
        <v>310</v>
      </c>
      <c r="I139" s="1261"/>
      <c r="J139" s="1261"/>
      <c r="K139" s="984">
        <f>SUM(K141:K142)</f>
        <v>3001000</v>
      </c>
      <c r="L139" s="984">
        <f>SUM(L141:L142)</f>
        <v>2998048</v>
      </c>
      <c r="M139" s="984">
        <f>SUM(M141:M142)</f>
        <v>8201000</v>
      </c>
      <c r="N139" s="276">
        <f aca="true" t="shared" si="50" ref="N139:S139">N141</f>
        <v>0</v>
      </c>
      <c r="O139" s="276">
        <f>O141</f>
        <v>0</v>
      </c>
      <c r="P139" s="321">
        <f t="shared" si="50"/>
        <v>0</v>
      </c>
      <c r="Q139" s="635">
        <f t="shared" si="50"/>
        <v>0</v>
      </c>
      <c r="R139" s="635">
        <f>R141</f>
        <v>0</v>
      </c>
      <c r="S139" s="635">
        <f t="shared" si="50"/>
        <v>0</v>
      </c>
      <c r="T139" s="793">
        <f t="shared" si="45"/>
        <v>0</v>
      </c>
      <c r="U139" s="819">
        <f t="shared" si="46"/>
        <v>8201000</v>
      </c>
      <c r="V139" s="635">
        <f t="shared" si="47"/>
        <v>8201000</v>
      </c>
      <c r="W139" s="635">
        <f t="shared" si="48"/>
        <v>8201000</v>
      </c>
    </row>
    <row r="140" spans="2:23" ht="12.75">
      <c r="B140" s="414"/>
      <c r="C140" s="415"/>
      <c r="D140" s="167" t="s">
        <v>535</v>
      </c>
      <c r="E140" s="501"/>
      <c r="F140" s="499"/>
      <c r="G140" s="417"/>
      <c r="H140" s="1296" t="s">
        <v>168</v>
      </c>
      <c r="I140" s="1297"/>
      <c r="J140" s="1298"/>
      <c r="K140" s="1014">
        <f>K141+K142</f>
        <v>3001000</v>
      </c>
      <c r="L140" s="880">
        <f>L141+L142</f>
        <v>2998048</v>
      </c>
      <c r="M140" s="1015">
        <f>M141+M142</f>
        <v>8201000</v>
      </c>
      <c r="N140" s="68">
        <f aca="true" t="shared" si="51" ref="N140:S140">N141+N142</f>
        <v>0</v>
      </c>
      <c r="O140" s="68">
        <f t="shared" si="51"/>
        <v>0</v>
      </c>
      <c r="P140" s="68">
        <f t="shared" si="51"/>
        <v>0</v>
      </c>
      <c r="Q140" s="68">
        <f t="shared" si="51"/>
        <v>0</v>
      </c>
      <c r="R140" s="68">
        <f t="shared" si="51"/>
        <v>0</v>
      </c>
      <c r="S140" s="68">
        <f t="shared" si="51"/>
        <v>0</v>
      </c>
      <c r="T140" s="798">
        <f t="shared" si="45"/>
        <v>0</v>
      </c>
      <c r="U140" s="1048">
        <f t="shared" si="46"/>
        <v>8201000</v>
      </c>
      <c r="V140" s="811">
        <f t="shared" si="47"/>
        <v>8201000</v>
      </c>
      <c r="W140" s="1048">
        <f t="shared" si="48"/>
        <v>8201000</v>
      </c>
    </row>
    <row r="141" spans="2:23" s="342" customFormat="1" ht="12.75">
      <c r="B141" s="336"/>
      <c r="C141" s="343"/>
      <c r="D141" s="338"/>
      <c r="E141" s="587"/>
      <c r="F141" s="354">
        <v>90</v>
      </c>
      <c r="G141" s="592">
        <v>481</v>
      </c>
      <c r="H141" s="1360" t="s">
        <v>1375</v>
      </c>
      <c r="I141" s="1361"/>
      <c r="J141" s="1361"/>
      <c r="K141" s="887">
        <v>3000000</v>
      </c>
      <c r="L141" s="887">
        <v>2998048</v>
      </c>
      <c r="M141" s="887">
        <v>8200000</v>
      </c>
      <c r="N141" s="389">
        <v>0</v>
      </c>
      <c r="O141" s="395">
        <v>0</v>
      </c>
      <c r="P141" s="398">
        <v>0</v>
      </c>
      <c r="Q141" s="597">
        <v>0</v>
      </c>
      <c r="R141" s="441">
        <v>0</v>
      </c>
      <c r="S141" s="441">
        <v>0</v>
      </c>
      <c r="T141" s="712">
        <f t="shared" si="45"/>
        <v>0</v>
      </c>
      <c r="U141" s="818">
        <f t="shared" si="46"/>
        <v>8200000</v>
      </c>
      <c r="V141" s="591">
        <f t="shared" si="47"/>
        <v>8200000</v>
      </c>
      <c r="W141" s="818">
        <f t="shared" si="48"/>
        <v>8200000</v>
      </c>
    </row>
    <row r="142" spans="2:23" s="342" customFormat="1" ht="13.5" thickBot="1">
      <c r="B142" s="1030"/>
      <c r="C142" s="1031"/>
      <c r="E142" s="611"/>
      <c r="F142" s="512">
        <v>91</v>
      </c>
      <c r="G142" s="771">
        <v>481</v>
      </c>
      <c r="H142" s="1032" t="s">
        <v>1396</v>
      </c>
      <c r="I142" s="1033"/>
      <c r="J142" s="1033"/>
      <c r="K142" s="1034">
        <v>1000</v>
      </c>
      <c r="L142" s="1034">
        <v>0</v>
      </c>
      <c r="M142" s="1026">
        <v>1000</v>
      </c>
      <c r="N142" s="1035">
        <v>0</v>
      </c>
      <c r="O142" s="1035">
        <v>0</v>
      </c>
      <c r="P142" s="627">
        <v>0</v>
      </c>
      <c r="Q142" s="719">
        <v>0</v>
      </c>
      <c r="R142" s="628">
        <v>0</v>
      </c>
      <c r="S142" s="628">
        <v>0</v>
      </c>
      <c r="T142" s="1036">
        <f t="shared" si="45"/>
        <v>0</v>
      </c>
      <c r="U142" s="818">
        <f t="shared" si="46"/>
        <v>1000</v>
      </c>
      <c r="V142" s="1037">
        <f t="shared" si="47"/>
        <v>1000</v>
      </c>
      <c r="W142" s="818">
        <f t="shared" si="48"/>
        <v>1000</v>
      </c>
    </row>
    <row r="143" spans="2:23" s="668" customFormat="1" ht="12.75">
      <c r="B143" s="1209"/>
      <c r="C143" s="1210"/>
      <c r="D143" s="1211"/>
      <c r="E143" s="1041" t="s">
        <v>283</v>
      </c>
      <c r="F143" s="1211"/>
      <c r="G143" s="1212"/>
      <c r="H143" s="1440" t="s">
        <v>1508</v>
      </c>
      <c r="I143" s="1441"/>
      <c r="J143" s="1441"/>
      <c r="K143" s="994">
        <f aca="true" t="shared" si="52" ref="K143:S143">K144+K159+K175</f>
        <v>33593190</v>
      </c>
      <c r="L143" s="994">
        <f t="shared" si="52"/>
        <v>10667238.3</v>
      </c>
      <c r="M143" s="994">
        <f t="shared" si="52"/>
        <v>35793190</v>
      </c>
      <c r="N143" s="1213">
        <f t="shared" si="52"/>
        <v>0</v>
      </c>
      <c r="O143" s="1213">
        <f t="shared" si="52"/>
        <v>0</v>
      </c>
      <c r="P143" s="1214">
        <f t="shared" si="52"/>
        <v>0</v>
      </c>
      <c r="Q143" s="1215">
        <f t="shared" si="52"/>
        <v>0</v>
      </c>
      <c r="R143" s="1215">
        <f t="shared" si="52"/>
        <v>0</v>
      </c>
      <c r="S143" s="1215">
        <f t="shared" si="52"/>
        <v>0</v>
      </c>
      <c r="T143" s="1216">
        <f t="shared" si="45"/>
        <v>0</v>
      </c>
      <c r="U143" s="1027">
        <f t="shared" si="46"/>
        <v>35793190</v>
      </c>
      <c r="V143" s="1217">
        <f t="shared" si="47"/>
        <v>35793190</v>
      </c>
      <c r="W143" s="822">
        <f t="shared" si="48"/>
        <v>35793190</v>
      </c>
    </row>
    <row r="144" spans="2:23" ht="28.5" customHeight="1">
      <c r="B144" s="1043"/>
      <c r="C144" s="271"/>
      <c r="D144" s="412"/>
      <c r="E144" s="332" t="s">
        <v>285</v>
      </c>
      <c r="F144" s="412"/>
      <c r="G144" s="413"/>
      <c r="H144" s="1260" t="s">
        <v>1510</v>
      </c>
      <c r="I144" s="1261"/>
      <c r="J144" s="1261"/>
      <c r="K144" s="984">
        <f>K145</f>
        <v>12700000</v>
      </c>
      <c r="L144" s="984">
        <f>L145</f>
        <v>5513280.9399999995</v>
      </c>
      <c r="M144" s="984">
        <f>M145</f>
        <v>14900000</v>
      </c>
      <c r="N144" s="276">
        <f aca="true" t="shared" si="53" ref="N144:S144">N145</f>
        <v>0</v>
      </c>
      <c r="O144" s="276">
        <f t="shared" si="53"/>
        <v>0</v>
      </c>
      <c r="P144" s="276">
        <f t="shared" si="53"/>
        <v>0</v>
      </c>
      <c r="Q144" s="276">
        <f t="shared" si="53"/>
        <v>0</v>
      </c>
      <c r="R144" s="276">
        <f t="shared" si="53"/>
        <v>0</v>
      </c>
      <c r="S144" s="276">
        <f t="shared" si="53"/>
        <v>0</v>
      </c>
      <c r="T144" s="321">
        <f t="shared" si="45"/>
        <v>0</v>
      </c>
      <c r="U144" s="819">
        <f t="shared" si="46"/>
        <v>14900000</v>
      </c>
      <c r="V144" s="635">
        <f t="shared" si="47"/>
        <v>14900000</v>
      </c>
      <c r="W144" s="635">
        <f t="shared" si="48"/>
        <v>14900000</v>
      </c>
    </row>
    <row r="145" spans="2:23" ht="12.75">
      <c r="B145" s="1044"/>
      <c r="C145" s="415"/>
      <c r="D145" s="56">
        <v>912</v>
      </c>
      <c r="E145" s="58"/>
      <c r="F145" s="416"/>
      <c r="G145" s="417"/>
      <c r="H145" s="1296" t="s">
        <v>96</v>
      </c>
      <c r="I145" s="1297"/>
      <c r="J145" s="1298"/>
      <c r="K145" s="812">
        <f aca="true" t="shared" si="54" ref="K145:S145">SUM(K146:K158)</f>
        <v>12700000</v>
      </c>
      <c r="L145" s="812">
        <f t="shared" si="54"/>
        <v>5513280.9399999995</v>
      </c>
      <c r="M145" s="812">
        <f t="shared" si="54"/>
        <v>14900000</v>
      </c>
      <c r="N145" s="68">
        <f t="shared" si="54"/>
        <v>0</v>
      </c>
      <c r="O145" s="68">
        <f t="shared" si="54"/>
        <v>0</v>
      </c>
      <c r="P145" s="68">
        <f t="shared" si="54"/>
        <v>0</v>
      </c>
      <c r="Q145" s="68">
        <f t="shared" si="54"/>
        <v>0</v>
      </c>
      <c r="R145" s="68">
        <f t="shared" si="54"/>
        <v>0</v>
      </c>
      <c r="S145" s="68">
        <f t="shared" si="54"/>
        <v>0</v>
      </c>
      <c r="T145" s="324">
        <f t="shared" si="45"/>
        <v>0</v>
      </c>
      <c r="U145" s="1048">
        <f t="shared" si="46"/>
        <v>14900000</v>
      </c>
      <c r="V145" s="811">
        <f t="shared" si="47"/>
        <v>14900000</v>
      </c>
      <c r="W145" s="1048">
        <f t="shared" si="48"/>
        <v>14900000</v>
      </c>
    </row>
    <row r="146" spans="2:23" s="342" customFormat="1" ht="12.75">
      <c r="B146" s="1045"/>
      <c r="C146" s="343"/>
      <c r="D146" s="338"/>
      <c r="E146" s="343"/>
      <c r="F146" s="354">
        <v>92</v>
      </c>
      <c r="G146" s="418">
        <v>463</v>
      </c>
      <c r="H146" s="366" t="s">
        <v>97</v>
      </c>
      <c r="I146" s="419"/>
      <c r="J146" s="437"/>
      <c r="K146" s="870">
        <v>100000</v>
      </c>
      <c r="L146" s="870">
        <v>46948</v>
      </c>
      <c r="M146" s="865">
        <v>100000</v>
      </c>
      <c r="N146" s="340">
        <v>0</v>
      </c>
      <c r="O146" s="395">
        <v>0</v>
      </c>
      <c r="P146" s="395">
        <v>0</v>
      </c>
      <c r="Q146" s="398">
        <v>0</v>
      </c>
      <c r="R146" s="395">
        <v>0</v>
      </c>
      <c r="S146" s="398">
        <v>0</v>
      </c>
      <c r="T146" s="398">
        <f t="shared" si="45"/>
        <v>0</v>
      </c>
      <c r="U146" s="818">
        <f t="shared" si="46"/>
        <v>100000</v>
      </c>
      <c r="V146" s="591">
        <f t="shared" si="47"/>
        <v>100000</v>
      </c>
      <c r="W146" s="818">
        <f t="shared" si="48"/>
        <v>100000</v>
      </c>
    </row>
    <row r="147" spans="2:23" s="342" customFormat="1" ht="12.75">
      <c r="B147" s="1045"/>
      <c r="C147" s="343"/>
      <c r="D147" s="338"/>
      <c r="E147" s="343"/>
      <c r="F147" s="354">
        <v>93</v>
      </c>
      <c r="G147" s="418">
        <v>463</v>
      </c>
      <c r="H147" s="1269" t="s">
        <v>216</v>
      </c>
      <c r="I147" s="1270"/>
      <c r="J147" s="1271"/>
      <c r="K147" s="723">
        <v>100000</v>
      </c>
      <c r="L147" s="723">
        <v>1464</v>
      </c>
      <c r="M147" s="723">
        <v>100000</v>
      </c>
      <c r="N147" s="340">
        <v>0</v>
      </c>
      <c r="O147" s="395">
        <v>0</v>
      </c>
      <c r="P147" s="395">
        <v>0</v>
      </c>
      <c r="Q147" s="398">
        <v>0</v>
      </c>
      <c r="R147" s="395">
        <v>0</v>
      </c>
      <c r="S147" s="398">
        <v>0</v>
      </c>
      <c r="T147" s="398">
        <f t="shared" si="45"/>
        <v>0</v>
      </c>
      <c r="U147" s="818">
        <f t="shared" si="46"/>
        <v>100000</v>
      </c>
      <c r="V147" s="591">
        <f t="shared" si="47"/>
        <v>100000</v>
      </c>
      <c r="W147" s="818">
        <f t="shared" si="48"/>
        <v>100000</v>
      </c>
    </row>
    <row r="148" spans="2:23" s="342" customFormat="1" ht="12.75">
      <c r="B148" s="1045"/>
      <c r="C148" s="343"/>
      <c r="D148" s="338"/>
      <c r="E148" s="343"/>
      <c r="F148" s="354">
        <v>94</v>
      </c>
      <c r="G148" s="418">
        <v>463</v>
      </c>
      <c r="H148" s="1263" t="s">
        <v>98</v>
      </c>
      <c r="I148" s="1264"/>
      <c r="J148" s="1265"/>
      <c r="K148" s="849">
        <v>2500000</v>
      </c>
      <c r="L148" s="849">
        <v>1143486.1400000001</v>
      </c>
      <c r="M148" s="849">
        <v>2800000</v>
      </c>
      <c r="N148" s="340">
        <v>0</v>
      </c>
      <c r="O148" s="395">
        <v>0</v>
      </c>
      <c r="P148" s="395">
        <v>0</v>
      </c>
      <c r="Q148" s="398">
        <v>0</v>
      </c>
      <c r="R148" s="395">
        <v>0</v>
      </c>
      <c r="S148" s="398">
        <v>0</v>
      </c>
      <c r="T148" s="398">
        <f t="shared" si="45"/>
        <v>0</v>
      </c>
      <c r="U148" s="818">
        <f t="shared" si="46"/>
        <v>2800000</v>
      </c>
      <c r="V148" s="591">
        <f t="shared" si="47"/>
        <v>2800000</v>
      </c>
      <c r="W148" s="818">
        <f t="shared" si="48"/>
        <v>2800000</v>
      </c>
    </row>
    <row r="149" spans="2:23" s="342" customFormat="1" ht="12.75">
      <c r="B149" s="1045"/>
      <c r="C149" s="343"/>
      <c r="D149" s="338"/>
      <c r="E149" s="343"/>
      <c r="F149" s="354">
        <v>95</v>
      </c>
      <c r="G149" s="418">
        <v>463</v>
      </c>
      <c r="H149" s="366" t="s">
        <v>198</v>
      </c>
      <c r="I149" s="419"/>
      <c r="J149" s="420"/>
      <c r="K149" s="849">
        <v>200000</v>
      </c>
      <c r="L149" s="849">
        <v>0</v>
      </c>
      <c r="M149" s="849">
        <v>400000</v>
      </c>
      <c r="N149" s="340">
        <v>0</v>
      </c>
      <c r="O149" s="395">
        <v>0</v>
      </c>
      <c r="P149" s="395">
        <v>0</v>
      </c>
      <c r="Q149" s="398">
        <v>0</v>
      </c>
      <c r="R149" s="395">
        <v>0</v>
      </c>
      <c r="S149" s="398">
        <v>0</v>
      </c>
      <c r="T149" s="398">
        <f t="shared" si="45"/>
        <v>0</v>
      </c>
      <c r="U149" s="818">
        <f t="shared" si="46"/>
        <v>400000</v>
      </c>
      <c r="V149" s="591">
        <f t="shared" si="47"/>
        <v>400000</v>
      </c>
      <c r="W149" s="818">
        <f t="shared" si="48"/>
        <v>400000</v>
      </c>
    </row>
    <row r="150" spans="2:23" s="342" customFormat="1" ht="12.75">
      <c r="B150" s="1045"/>
      <c r="C150" s="343"/>
      <c r="D150" s="338"/>
      <c r="E150" s="343"/>
      <c r="F150" s="354">
        <v>96</v>
      </c>
      <c r="G150" s="418">
        <v>463</v>
      </c>
      <c r="H150" s="366" t="s">
        <v>99</v>
      </c>
      <c r="I150" s="419"/>
      <c r="J150" s="437"/>
      <c r="K150" s="870">
        <v>4000000</v>
      </c>
      <c r="L150" s="870">
        <v>2908878.32</v>
      </c>
      <c r="M150" s="870">
        <v>5000000</v>
      </c>
      <c r="N150" s="340">
        <v>0</v>
      </c>
      <c r="O150" s="395">
        <v>0</v>
      </c>
      <c r="P150" s="395">
        <v>0</v>
      </c>
      <c r="Q150" s="398">
        <v>0</v>
      </c>
      <c r="R150" s="395">
        <v>0</v>
      </c>
      <c r="S150" s="398">
        <v>0</v>
      </c>
      <c r="T150" s="398">
        <f t="shared" si="45"/>
        <v>0</v>
      </c>
      <c r="U150" s="818">
        <f t="shared" si="46"/>
        <v>5000000</v>
      </c>
      <c r="V150" s="591">
        <f t="shared" si="47"/>
        <v>5000000</v>
      </c>
      <c r="W150" s="818">
        <f t="shared" si="48"/>
        <v>5000000</v>
      </c>
    </row>
    <row r="151" spans="2:23" s="342" customFormat="1" ht="12.75">
      <c r="B151" s="1045"/>
      <c r="C151" s="343"/>
      <c r="D151" s="338"/>
      <c r="E151" s="343"/>
      <c r="F151" s="354">
        <v>97</v>
      </c>
      <c r="G151" s="418">
        <v>463</v>
      </c>
      <c r="H151" s="1263" t="s">
        <v>1149</v>
      </c>
      <c r="I151" s="1264"/>
      <c r="J151" s="1265"/>
      <c r="K151" s="849">
        <v>1525000</v>
      </c>
      <c r="L151" s="849">
        <v>230228.09999999998</v>
      </c>
      <c r="M151" s="849">
        <v>1325000</v>
      </c>
      <c r="N151" s="340">
        <v>0</v>
      </c>
      <c r="O151" s="395">
        <v>0</v>
      </c>
      <c r="P151" s="395">
        <v>0</v>
      </c>
      <c r="Q151" s="398">
        <v>0</v>
      </c>
      <c r="R151" s="395">
        <v>0</v>
      </c>
      <c r="S151" s="398">
        <v>0</v>
      </c>
      <c r="T151" s="398">
        <f t="shared" si="45"/>
        <v>0</v>
      </c>
      <c r="U151" s="818">
        <f t="shared" si="46"/>
        <v>1325000</v>
      </c>
      <c r="V151" s="591">
        <f t="shared" si="47"/>
        <v>1325000</v>
      </c>
      <c r="W151" s="818">
        <f t="shared" si="48"/>
        <v>1325000</v>
      </c>
    </row>
    <row r="152" spans="2:23" s="342" customFormat="1" ht="12.75">
      <c r="B152" s="1045"/>
      <c r="C152" s="343"/>
      <c r="D152" s="338"/>
      <c r="E152" s="343"/>
      <c r="F152" s="354">
        <v>98</v>
      </c>
      <c r="G152" s="418">
        <v>463</v>
      </c>
      <c r="H152" s="1263" t="s">
        <v>101</v>
      </c>
      <c r="I152" s="1264"/>
      <c r="J152" s="1265"/>
      <c r="K152" s="849">
        <v>1050000</v>
      </c>
      <c r="L152" s="849">
        <v>255532</v>
      </c>
      <c r="M152" s="849">
        <v>1050000</v>
      </c>
      <c r="N152" s="340">
        <v>0</v>
      </c>
      <c r="O152" s="395">
        <v>0</v>
      </c>
      <c r="P152" s="395">
        <v>0</v>
      </c>
      <c r="Q152" s="398">
        <v>0</v>
      </c>
      <c r="R152" s="395">
        <v>0</v>
      </c>
      <c r="S152" s="398">
        <v>0</v>
      </c>
      <c r="T152" s="398">
        <f t="shared" si="45"/>
        <v>0</v>
      </c>
      <c r="U152" s="818">
        <f t="shared" si="46"/>
        <v>1050000</v>
      </c>
      <c r="V152" s="591">
        <f t="shared" si="47"/>
        <v>1050000</v>
      </c>
      <c r="W152" s="818">
        <f t="shared" si="48"/>
        <v>1050000</v>
      </c>
    </row>
    <row r="153" spans="2:23" s="342" customFormat="1" ht="12.75">
      <c r="B153" s="1045"/>
      <c r="C153" s="343"/>
      <c r="D153" s="338"/>
      <c r="E153" s="343"/>
      <c r="F153" s="354">
        <v>99</v>
      </c>
      <c r="G153" s="418">
        <v>463</v>
      </c>
      <c r="H153" s="1263" t="s">
        <v>1540</v>
      </c>
      <c r="I153" s="1264"/>
      <c r="J153" s="1265"/>
      <c r="K153" s="849">
        <v>910000</v>
      </c>
      <c r="L153" s="849">
        <v>205200</v>
      </c>
      <c r="M153" s="849">
        <v>910000</v>
      </c>
      <c r="N153" s="340">
        <v>0</v>
      </c>
      <c r="O153" s="395">
        <v>0</v>
      </c>
      <c r="P153" s="395">
        <v>0</v>
      </c>
      <c r="Q153" s="398">
        <v>0</v>
      </c>
      <c r="R153" s="395">
        <v>0</v>
      </c>
      <c r="S153" s="398">
        <v>0</v>
      </c>
      <c r="T153" s="398">
        <f t="shared" si="45"/>
        <v>0</v>
      </c>
      <c r="U153" s="818">
        <f t="shared" si="46"/>
        <v>910000</v>
      </c>
      <c r="V153" s="591">
        <f t="shared" si="47"/>
        <v>910000</v>
      </c>
      <c r="W153" s="818">
        <f t="shared" si="48"/>
        <v>910000</v>
      </c>
    </row>
    <row r="154" spans="2:23" s="342" customFormat="1" ht="12.75">
      <c r="B154" s="1045"/>
      <c r="C154" s="343"/>
      <c r="D154" s="338"/>
      <c r="E154" s="343"/>
      <c r="F154" s="354">
        <v>100</v>
      </c>
      <c r="G154" s="418">
        <v>463</v>
      </c>
      <c r="H154" s="1263" t="s">
        <v>103</v>
      </c>
      <c r="I154" s="1264"/>
      <c r="J154" s="1265"/>
      <c r="K154" s="849">
        <v>350000</v>
      </c>
      <c r="L154" s="849">
        <v>73619.93</v>
      </c>
      <c r="M154" s="849">
        <v>350000</v>
      </c>
      <c r="N154" s="340">
        <v>0</v>
      </c>
      <c r="O154" s="395">
        <v>0</v>
      </c>
      <c r="P154" s="395">
        <v>0</v>
      </c>
      <c r="Q154" s="398">
        <v>0</v>
      </c>
      <c r="R154" s="395">
        <v>0</v>
      </c>
      <c r="S154" s="398">
        <v>0</v>
      </c>
      <c r="T154" s="398">
        <f t="shared" si="45"/>
        <v>0</v>
      </c>
      <c r="U154" s="818">
        <f t="shared" si="46"/>
        <v>350000</v>
      </c>
      <c r="V154" s="591">
        <f t="shared" si="47"/>
        <v>350000</v>
      </c>
      <c r="W154" s="818">
        <f t="shared" si="48"/>
        <v>350000</v>
      </c>
    </row>
    <row r="155" spans="2:23" s="342" customFormat="1" ht="12.75">
      <c r="B155" s="1045"/>
      <c r="C155" s="343"/>
      <c r="D155" s="338"/>
      <c r="E155" s="343"/>
      <c r="F155" s="354">
        <v>101</v>
      </c>
      <c r="G155" s="418">
        <v>463</v>
      </c>
      <c r="H155" s="366" t="s">
        <v>104</v>
      </c>
      <c r="I155" s="419"/>
      <c r="J155" s="437"/>
      <c r="K155" s="870">
        <v>1280000</v>
      </c>
      <c r="L155" s="870">
        <v>503588.44999999995</v>
      </c>
      <c r="M155" s="870">
        <v>1480000</v>
      </c>
      <c r="N155" s="340">
        <v>0</v>
      </c>
      <c r="O155" s="395">
        <v>0</v>
      </c>
      <c r="P155" s="395">
        <v>0</v>
      </c>
      <c r="Q155" s="398">
        <v>0</v>
      </c>
      <c r="R155" s="395">
        <v>0</v>
      </c>
      <c r="S155" s="398">
        <v>0</v>
      </c>
      <c r="T155" s="398">
        <f t="shared" si="45"/>
        <v>0</v>
      </c>
      <c r="U155" s="818">
        <f t="shared" si="46"/>
        <v>1480000</v>
      </c>
      <c r="V155" s="591">
        <f t="shared" si="47"/>
        <v>1480000</v>
      </c>
      <c r="W155" s="818">
        <f t="shared" si="48"/>
        <v>1480000</v>
      </c>
    </row>
    <row r="156" spans="2:23" s="342" customFormat="1" ht="12.75">
      <c r="B156" s="1045"/>
      <c r="C156" s="343"/>
      <c r="D156" s="338"/>
      <c r="E156" s="343"/>
      <c r="F156" s="354">
        <v>102</v>
      </c>
      <c r="G156" s="418">
        <v>463</v>
      </c>
      <c r="H156" s="1263" t="s">
        <v>105</v>
      </c>
      <c r="I156" s="1264"/>
      <c r="J156" s="1265"/>
      <c r="K156" s="849">
        <v>200000</v>
      </c>
      <c r="L156" s="849">
        <v>12336</v>
      </c>
      <c r="M156" s="849">
        <v>700000</v>
      </c>
      <c r="N156" s="340">
        <v>0</v>
      </c>
      <c r="O156" s="395">
        <v>0</v>
      </c>
      <c r="P156" s="395">
        <v>0</v>
      </c>
      <c r="Q156" s="398">
        <v>0</v>
      </c>
      <c r="R156" s="395">
        <v>0</v>
      </c>
      <c r="S156" s="398">
        <v>0</v>
      </c>
      <c r="T156" s="398">
        <f t="shared" si="45"/>
        <v>0</v>
      </c>
      <c r="U156" s="818">
        <f t="shared" si="46"/>
        <v>700000</v>
      </c>
      <c r="V156" s="591">
        <f t="shared" si="47"/>
        <v>700000</v>
      </c>
      <c r="W156" s="818">
        <f t="shared" si="48"/>
        <v>700000</v>
      </c>
    </row>
    <row r="157" spans="2:23" s="342" customFormat="1" ht="12.75">
      <c r="B157" s="1045"/>
      <c r="C157" s="343"/>
      <c r="D157" s="338"/>
      <c r="E157" s="343"/>
      <c r="F157" s="354">
        <v>103</v>
      </c>
      <c r="G157" s="418">
        <v>463</v>
      </c>
      <c r="H157" s="1299" t="s">
        <v>1587</v>
      </c>
      <c r="I157" s="1300"/>
      <c r="J157" s="1301"/>
      <c r="K157" s="849">
        <v>135000</v>
      </c>
      <c r="L157" s="849">
        <v>132000</v>
      </c>
      <c r="M157" s="849">
        <v>335000</v>
      </c>
      <c r="N157" s="340">
        <v>0</v>
      </c>
      <c r="O157" s="395">
        <v>0</v>
      </c>
      <c r="P157" s="395">
        <v>0</v>
      </c>
      <c r="Q157" s="398">
        <v>0</v>
      </c>
      <c r="R157" s="395">
        <v>0</v>
      </c>
      <c r="S157" s="398">
        <v>0</v>
      </c>
      <c r="T157" s="398">
        <f t="shared" si="45"/>
        <v>0</v>
      </c>
      <c r="U157" s="818">
        <f t="shared" si="46"/>
        <v>335000</v>
      </c>
      <c r="V157" s="591">
        <f t="shared" si="47"/>
        <v>335000</v>
      </c>
      <c r="W157" s="818">
        <f t="shared" si="48"/>
        <v>335000</v>
      </c>
    </row>
    <row r="158" spans="2:23" s="342" customFormat="1" ht="12.75">
      <c r="B158" s="1045"/>
      <c r="C158" s="343"/>
      <c r="D158" s="338"/>
      <c r="E158" s="343"/>
      <c r="F158" s="354">
        <v>104</v>
      </c>
      <c r="G158" s="418">
        <v>463</v>
      </c>
      <c r="H158" s="366" t="s">
        <v>106</v>
      </c>
      <c r="I158" s="419"/>
      <c r="J158" s="420"/>
      <c r="K158" s="849">
        <v>350000</v>
      </c>
      <c r="L158" s="849">
        <v>0</v>
      </c>
      <c r="M158" s="849">
        <v>350000</v>
      </c>
      <c r="N158" s="340">
        <v>0</v>
      </c>
      <c r="O158" s="395">
        <v>0</v>
      </c>
      <c r="P158" s="395">
        <v>0</v>
      </c>
      <c r="Q158" s="398">
        <v>0</v>
      </c>
      <c r="R158" s="395">
        <v>0</v>
      </c>
      <c r="S158" s="398">
        <v>0</v>
      </c>
      <c r="T158" s="398">
        <f t="shared" si="45"/>
        <v>0</v>
      </c>
      <c r="U158" s="818">
        <f t="shared" si="46"/>
        <v>350000</v>
      </c>
      <c r="V158" s="591">
        <f t="shared" si="47"/>
        <v>350000</v>
      </c>
      <c r="W158" s="818">
        <f t="shared" si="48"/>
        <v>350000</v>
      </c>
    </row>
    <row r="159" spans="2:23" ht="27.75" customHeight="1">
      <c r="B159" s="1043"/>
      <c r="C159" s="271"/>
      <c r="D159" s="412"/>
      <c r="E159" s="332" t="s">
        <v>285</v>
      </c>
      <c r="F159" s="412"/>
      <c r="G159" s="413"/>
      <c r="H159" s="1260" t="s">
        <v>1515</v>
      </c>
      <c r="I159" s="1261"/>
      <c r="J159" s="1262"/>
      <c r="K159" s="851">
        <f>K160</f>
        <v>12200000</v>
      </c>
      <c r="L159" s="851">
        <f>L160</f>
        <v>2351395.64</v>
      </c>
      <c r="M159" s="851">
        <f>M160</f>
        <v>12200000</v>
      </c>
      <c r="N159" s="276">
        <f aca="true" t="shared" si="55" ref="N159:S159">N160</f>
        <v>0</v>
      </c>
      <c r="O159" s="276">
        <f t="shared" si="55"/>
        <v>0</v>
      </c>
      <c r="P159" s="276">
        <f t="shared" si="55"/>
        <v>0</v>
      </c>
      <c r="Q159" s="276">
        <f t="shared" si="55"/>
        <v>0</v>
      </c>
      <c r="R159" s="276">
        <f t="shared" si="55"/>
        <v>0</v>
      </c>
      <c r="S159" s="276">
        <f t="shared" si="55"/>
        <v>0</v>
      </c>
      <c r="T159" s="321">
        <f t="shared" si="45"/>
        <v>0</v>
      </c>
      <c r="U159" s="819">
        <f t="shared" si="46"/>
        <v>12200000</v>
      </c>
      <c r="V159" s="635">
        <f t="shared" si="47"/>
        <v>12200000</v>
      </c>
      <c r="W159" s="635">
        <f t="shared" si="48"/>
        <v>12200000</v>
      </c>
    </row>
    <row r="160" spans="2:23" ht="12.75">
      <c r="B160" s="1044"/>
      <c r="C160" s="415"/>
      <c r="D160" s="56">
        <v>912</v>
      </c>
      <c r="E160" s="58"/>
      <c r="F160" s="416"/>
      <c r="G160" s="417"/>
      <c r="H160" s="1296" t="s">
        <v>96</v>
      </c>
      <c r="I160" s="1297"/>
      <c r="J160" s="1298"/>
      <c r="K160" s="168">
        <f>SUM(K161:K174)</f>
        <v>12200000</v>
      </c>
      <c r="L160" s="168">
        <f>SUM(L161:L174)</f>
        <v>2351395.64</v>
      </c>
      <c r="M160" s="168">
        <f>SUM(M161:M174)</f>
        <v>12200000</v>
      </c>
      <c r="N160" s="168">
        <f aca="true" t="shared" si="56" ref="N160:S160">SUM(N161:N174)</f>
        <v>0</v>
      </c>
      <c r="O160" s="168">
        <f t="shared" si="56"/>
        <v>0</v>
      </c>
      <c r="P160" s="168">
        <f t="shared" si="56"/>
        <v>0</v>
      </c>
      <c r="Q160" s="168">
        <f t="shared" si="56"/>
        <v>0</v>
      </c>
      <c r="R160" s="168">
        <f t="shared" si="56"/>
        <v>0</v>
      </c>
      <c r="S160" s="168">
        <f t="shared" si="56"/>
        <v>0</v>
      </c>
      <c r="T160" s="165">
        <f t="shared" si="45"/>
        <v>0</v>
      </c>
      <c r="U160" s="1048">
        <f t="shared" si="46"/>
        <v>12200000</v>
      </c>
      <c r="V160" s="811">
        <f t="shared" si="47"/>
        <v>12200000</v>
      </c>
      <c r="W160" s="811">
        <f t="shared" si="48"/>
        <v>12200000</v>
      </c>
    </row>
    <row r="161" spans="2:23" s="342" customFormat="1" ht="12.75">
      <c r="B161" s="1045"/>
      <c r="C161" s="343"/>
      <c r="D161" s="338"/>
      <c r="E161" s="343"/>
      <c r="F161" s="354">
        <v>105</v>
      </c>
      <c r="G161" s="418">
        <v>463</v>
      </c>
      <c r="H161" s="334" t="s">
        <v>1374</v>
      </c>
      <c r="I161" s="426"/>
      <c r="J161" s="427"/>
      <c r="K161" s="723">
        <v>150000</v>
      </c>
      <c r="L161" s="723">
        <v>0</v>
      </c>
      <c r="M161" s="723">
        <v>150000</v>
      </c>
      <c r="N161" s="340">
        <v>0</v>
      </c>
      <c r="O161" s="395">
        <v>0</v>
      </c>
      <c r="P161" s="395">
        <v>0</v>
      </c>
      <c r="Q161" s="398">
        <v>0</v>
      </c>
      <c r="R161" s="395">
        <v>0</v>
      </c>
      <c r="S161" s="398">
        <v>0</v>
      </c>
      <c r="T161" s="398">
        <f t="shared" si="45"/>
        <v>0</v>
      </c>
      <c r="U161" s="818">
        <f t="shared" si="46"/>
        <v>150000</v>
      </c>
      <c r="V161" s="591">
        <f t="shared" si="47"/>
        <v>150000</v>
      </c>
      <c r="W161" s="818">
        <f t="shared" si="48"/>
        <v>150000</v>
      </c>
    </row>
    <row r="162" spans="2:23" s="494" customFormat="1" ht="12.75">
      <c r="B162" s="1046"/>
      <c r="C162" s="436"/>
      <c r="D162" s="496"/>
      <c r="E162" s="436"/>
      <c r="F162" s="354">
        <v>106</v>
      </c>
      <c r="G162" s="418">
        <v>463</v>
      </c>
      <c r="H162" s="1257" t="s">
        <v>98</v>
      </c>
      <c r="I162" s="1258"/>
      <c r="J162" s="1259"/>
      <c r="K162" s="723">
        <v>3194000</v>
      </c>
      <c r="L162" s="723">
        <v>676251.37</v>
      </c>
      <c r="M162" s="723">
        <v>3500000</v>
      </c>
      <c r="N162" s="340">
        <v>0</v>
      </c>
      <c r="O162" s="497">
        <v>0</v>
      </c>
      <c r="P162" s="497">
        <v>0</v>
      </c>
      <c r="Q162" s="400">
        <v>0</v>
      </c>
      <c r="R162" s="395">
        <v>0</v>
      </c>
      <c r="S162" s="400">
        <v>0</v>
      </c>
      <c r="T162" s="400">
        <f t="shared" si="45"/>
        <v>0</v>
      </c>
      <c r="U162" s="818">
        <f>M162+N162+O162+P162+Q162+R162+S162</f>
        <v>3500000</v>
      </c>
      <c r="V162" s="591">
        <f t="shared" si="47"/>
        <v>3500000</v>
      </c>
      <c r="W162" s="818">
        <f t="shared" si="48"/>
        <v>3500000</v>
      </c>
    </row>
    <row r="163" spans="2:23" s="494" customFormat="1" ht="12.75">
      <c r="B163" s="1046"/>
      <c r="C163" s="436"/>
      <c r="D163" s="496"/>
      <c r="E163" s="436"/>
      <c r="F163" s="354">
        <v>107</v>
      </c>
      <c r="G163" s="418">
        <v>463</v>
      </c>
      <c r="H163" s="334" t="s">
        <v>198</v>
      </c>
      <c r="I163" s="426"/>
      <c r="J163" s="427"/>
      <c r="K163" s="723">
        <v>500000</v>
      </c>
      <c r="L163" s="723">
        <v>0</v>
      </c>
      <c r="M163" s="723">
        <v>500000</v>
      </c>
      <c r="N163" s="340">
        <v>0</v>
      </c>
      <c r="O163" s="497">
        <v>0</v>
      </c>
      <c r="P163" s="497">
        <v>0</v>
      </c>
      <c r="Q163" s="400">
        <v>0</v>
      </c>
      <c r="R163" s="395">
        <v>0</v>
      </c>
      <c r="S163" s="400">
        <v>0</v>
      </c>
      <c r="T163" s="400">
        <f t="shared" si="45"/>
        <v>0</v>
      </c>
      <c r="U163" s="818">
        <f aca="true" t="shared" si="57" ref="U163:U174">M163+N163+O163+P163+Q163+R163+S163</f>
        <v>500000</v>
      </c>
      <c r="V163" s="591">
        <f t="shared" si="47"/>
        <v>500000</v>
      </c>
      <c r="W163" s="818">
        <f t="shared" si="48"/>
        <v>500000</v>
      </c>
    </row>
    <row r="164" spans="2:23" s="342" customFormat="1" ht="12.75">
      <c r="B164" s="1045"/>
      <c r="C164" s="343"/>
      <c r="D164" s="338"/>
      <c r="E164" s="343"/>
      <c r="F164" s="354">
        <v>108</v>
      </c>
      <c r="G164" s="418">
        <v>463</v>
      </c>
      <c r="H164" s="334" t="s">
        <v>99</v>
      </c>
      <c r="I164" s="426"/>
      <c r="J164" s="429"/>
      <c r="K164" s="862">
        <v>2277841</v>
      </c>
      <c r="L164" s="862">
        <v>862330.14</v>
      </c>
      <c r="M164" s="862">
        <v>2575341</v>
      </c>
      <c r="N164" s="340">
        <v>0</v>
      </c>
      <c r="O164" s="395">
        <v>0</v>
      </c>
      <c r="P164" s="395">
        <v>0</v>
      </c>
      <c r="Q164" s="398">
        <v>0</v>
      </c>
      <c r="R164" s="395">
        <v>0</v>
      </c>
      <c r="S164" s="398">
        <v>0</v>
      </c>
      <c r="T164" s="398">
        <f t="shared" si="45"/>
        <v>0</v>
      </c>
      <c r="U164" s="818">
        <f t="shared" si="57"/>
        <v>2575341</v>
      </c>
      <c r="V164" s="591">
        <f t="shared" si="47"/>
        <v>2575341</v>
      </c>
      <c r="W164" s="818">
        <f t="shared" si="48"/>
        <v>2575341</v>
      </c>
    </row>
    <row r="165" spans="2:23" s="342" customFormat="1" ht="12.75">
      <c r="B165" s="1045"/>
      <c r="C165" s="343"/>
      <c r="D165" s="338"/>
      <c r="E165" s="343"/>
      <c r="F165" s="354">
        <v>109</v>
      </c>
      <c r="G165" s="418">
        <v>463</v>
      </c>
      <c r="H165" s="1257" t="s">
        <v>100</v>
      </c>
      <c r="I165" s="1258"/>
      <c r="J165" s="1259"/>
      <c r="K165" s="723">
        <v>1920000</v>
      </c>
      <c r="L165" s="723">
        <v>365107.12</v>
      </c>
      <c r="M165" s="723">
        <v>1860000</v>
      </c>
      <c r="N165" s="340">
        <v>0</v>
      </c>
      <c r="O165" s="395">
        <v>0</v>
      </c>
      <c r="P165" s="395">
        <v>0</v>
      </c>
      <c r="Q165" s="398">
        <v>0</v>
      </c>
      <c r="R165" s="395">
        <v>0</v>
      </c>
      <c r="S165" s="398">
        <v>0</v>
      </c>
      <c r="T165" s="398">
        <f t="shared" si="45"/>
        <v>0</v>
      </c>
      <c r="U165" s="818">
        <f t="shared" si="57"/>
        <v>1860000</v>
      </c>
      <c r="V165" s="591">
        <f t="shared" si="47"/>
        <v>1860000</v>
      </c>
      <c r="W165" s="818">
        <f t="shared" si="48"/>
        <v>1860000</v>
      </c>
    </row>
    <row r="166" spans="2:23" s="342" customFormat="1" ht="12.75">
      <c r="B166" s="1045"/>
      <c r="C166" s="343"/>
      <c r="D166" s="338"/>
      <c r="E166" s="343"/>
      <c r="F166" s="354">
        <v>110</v>
      </c>
      <c r="G166" s="418">
        <v>463</v>
      </c>
      <c r="H166" s="1257" t="s">
        <v>101</v>
      </c>
      <c r="I166" s="1258"/>
      <c r="J166" s="1259"/>
      <c r="K166" s="723">
        <v>511500</v>
      </c>
      <c r="L166" s="723">
        <v>73490.07</v>
      </c>
      <c r="M166" s="723">
        <v>480000</v>
      </c>
      <c r="N166" s="340">
        <v>0</v>
      </c>
      <c r="O166" s="395">
        <v>0</v>
      </c>
      <c r="P166" s="395">
        <v>0</v>
      </c>
      <c r="Q166" s="398">
        <v>0</v>
      </c>
      <c r="R166" s="395">
        <v>0</v>
      </c>
      <c r="S166" s="398">
        <v>0</v>
      </c>
      <c r="T166" s="398">
        <f t="shared" si="45"/>
        <v>0</v>
      </c>
      <c r="U166" s="818">
        <f t="shared" si="57"/>
        <v>480000</v>
      </c>
      <c r="V166" s="591">
        <f t="shared" si="47"/>
        <v>480000</v>
      </c>
      <c r="W166" s="818">
        <f t="shared" si="48"/>
        <v>480000</v>
      </c>
    </row>
    <row r="167" spans="2:23" s="342" customFormat="1" ht="12.75">
      <c r="B167" s="1045"/>
      <c r="C167" s="343"/>
      <c r="D167" s="338"/>
      <c r="E167" s="343"/>
      <c r="F167" s="354">
        <v>111</v>
      </c>
      <c r="G167" s="418">
        <v>463</v>
      </c>
      <c r="H167" s="1257" t="s">
        <v>102</v>
      </c>
      <c r="I167" s="1258"/>
      <c r="J167" s="1259"/>
      <c r="K167" s="723">
        <v>210000</v>
      </c>
      <c r="L167" s="723">
        <v>32000</v>
      </c>
      <c r="M167" s="723">
        <v>210000</v>
      </c>
      <c r="N167" s="340">
        <v>0</v>
      </c>
      <c r="O167" s="395">
        <v>0</v>
      </c>
      <c r="P167" s="395">
        <v>0</v>
      </c>
      <c r="Q167" s="398">
        <v>0</v>
      </c>
      <c r="R167" s="395">
        <v>0</v>
      </c>
      <c r="S167" s="398">
        <v>0</v>
      </c>
      <c r="T167" s="398">
        <f t="shared" si="45"/>
        <v>0</v>
      </c>
      <c r="U167" s="818">
        <f t="shared" si="57"/>
        <v>210000</v>
      </c>
      <c r="V167" s="591">
        <f t="shared" si="47"/>
        <v>210000</v>
      </c>
      <c r="W167" s="818">
        <f t="shared" si="48"/>
        <v>210000</v>
      </c>
    </row>
    <row r="168" spans="2:23" s="342" customFormat="1" ht="12.75">
      <c r="B168" s="1045"/>
      <c r="C168" s="343"/>
      <c r="D168" s="338"/>
      <c r="E168" s="343"/>
      <c r="F168" s="354">
        <v>112</v>
      </c>
      <c r="G168" s="418">
        <v>463</v>
      </c>
      <c r="H168" s="1257" t="s">
        <v>103</v>
      </c>
      <c r="I168" s="1258"/>
      <c r="J168" s="1259"/>
      <c r="K168" s="723">
        <v>1059200</v>
      </c>
      <c r="L168" s="723">
        <v>170497.94</v>
      </c>
      <c r="M168" s="723">
        <v>853200</v>
      </c>
      <c r="N168" s="340">
        <v>0</v>
      </c>
      <c r="O168" s="395">
        <v>0</v>
      </c>
      <c r="P168" s="395">
        <v>0</v>
      </c>
      <c r="Q168" s="398">
        <v>0</v>
      </c>
      <c r="R168" s="395">
        <v>0</v>
      </c>
      <c r="S168" s="398">
        <v>0</v>
      </c>
      <c r="T168" s="398">
        <f t="shared" si="45"/>
        <v>0</v>
      </c>
      <c r="U168" s="818">
        <f t="shared" si="57"/>
        <v>853200</v>
      </c>
      <c r="V168" s="591">
        <f t="shared" si="47"/>
        <v>853200</v>
      </c>
      <c r="W168" s="818">
        <f t="shared" si="48"/>
        <v>853200</v>
      </c>
    </row>
    <row r="169" spans="2:23" s="342" customFormat="1" ht="12.75">
      <c r="B169" s="1045"/>
      <c r="C169" s="343"/>
      <c r="D169" s="338"/>
      <c r="E169" s="343"/>
      <c r="F169" s="354">
        <v>113</v>
      </c>
      <c r="G169" s="418">
        <v>463</v>
      </c>
      <c r="H169" s="1269" t="s">
        <v>104</v>
      </c>
      <c r="I169" s="1270"/>
      <c r="J169" s="1271"/>
      <c r="K169" s="723">
        <v>1148459</v>
      </c>
      <c r="L169" s="723">
        <v>167919.00000000003</v>
      </c>
      <c r="M169" s="723">
        <v>840100</v>
      </c>
      <c r="N169" s="340">
        <v>0</v>
      </c>
      <c r="O169" s="395">
        <v>0</v>
      </c>
      <c r="P169" s="395">
        <v>0</v>
      </c>
      <c r="Q169" s="398">
        <v>0</v>
      </c>
      <c r="R169" s="395">
        <v>0</v>
      </c>
      <c r="S169" s="398">
        <v>0</v>
      </c>
      <c r="T169" s="398">
        <f t="shared" si="45"/>
        <v>0</v>
      </c>
      <c r="U169" s="818">
        <f t="shared" si="57"/>
        <v>840100</v>
      </c>
      <c r="V169" s="591">
        <f t="shared" si="47"/>
        <v>840100</v>
      </c>
      <c r="W169" s="818">
        <f t="shared" si="48"/>
        <v>840100</v>
      </c>
    </row>
    <row r="170" spans="2:23" s="342" customFormat="1" ht="12.75">
      <c r="B170" s="1045"/>
      <c r="C170" s="343"/>
      <c r="D170" s="338"/>
      <c r="E170" s="343"/>
      <c r="F170" s="354" t="s">
        <v>1590</v>
      </c>
      <c r="G170" s="418">
        <v>463</v>
      </c>
      <c r="H170" s="386" t="s">
        <v>1591</v>
      </c>
      <c r="I170" s="423"/>
      <c r="J170" s="424"/>
      <c r="K170" s="723">
        <v>0</v>
      </c>
      <c r="L170" s="723">
        <v>0</v>
      </c>
      <c r="M170" s="723">
        <v>250000</v>
      </c>
      <c r="N170" s="340">
        <v>0</v>
      </c>
      <c r="O170" s="395">
        <v>0</v>
      </c>
      <c r="P170" s="395">
        <v>0</v>
      </c>
      <c r="Q170" s="398">
        <v>0</v>
      </c>
      <c r="R170" s="395">
        <v>0</v>
      </c>
      <c r="S170" s="398">
        <v>0</v>
      </c>
      <c r="T170" s="398">
        <f t="shared" si="45"/>
        <v>0</v>
      </c>
      <c r="U170" s="818">
        <f t="shared" si="57"/>
        <v>250000</v>
      </c>
      <c r="V170" s="591"/>
      <c r="W170" s="818"/>
    </row>
    <row r="171" spans="2:23" s="342" customFormat="1" ht="12.75">
      <c r="B171" s="1045"/>
      <c r="C171" s="343"/>
      <c r="D171" s="338"/>
      <c r="E171" s="343"/>
      <c r="F171" s="354">
        <v>114</v>
      </c>
      <c r="G171" s="418">
        <v>463</v>
      </c>
      <c r="H171" s="1257" t="s">
        <v>105</v>
      </c>
      <c r="I171" s="1258"/>
      <c r="J171" s="1259"/>
      <c r="K171" s="723">
        <v>54000</v>
      </c>
      <c r="L171" s="723">
        <v>0</v>
      </c>
      <c r="M171" s="723">
        <v>62000</v>
      </c>
      <c r="N171" s="340">
        <v>0</v>
      </c>
      <c r="O171" s="395">
        <v>0</v>
      </c>
      <c r="P171" s="395">
        <v>0</v>
      </c>
      <c r="Q171" s="398">
        <v>0</v>
      </c>
      <c r="R171" s="395">
        <v>0</v>
      </c>
      <c r="S171" s="398">
        <v>0</v>
      </c>
      <c r="T171" s="398">
        <f t="shared" si="45"/>
        <v>0</v>
      </c>
      <c r="U171" s="818">
        <f t="shared" si="57"/>
        <v>62000</v>
      </c>
      <c r="V171" s="591">
        <f t="shared" si="47"/>
        <v>62000</v>
      </c>
      <c r="W171" s="818">
        <f t="shared" si="48"/>
        <v>62000</v>
      </c>
    </row>
    <row r="172" spans="2:23" s="342" customFormat="1" ht="12.75">
      <c r="B172" s="1045"/>
      <c r="C172" s="343"/>
      <c r="D172" s="338"/>
      <c r="E172" s="343"/>
      <c r="F172" s="354">
        <v>115</v>
      </c>
      <c r="G172" s="418">
        <v>463</v>
      </c>
      <c r="H172" s="1269" t="s">
        <v>1373</v>
      </c>
      <c r="I172" s="1270"/>
      <c r="J172" s="1271"/>
      <c r="K172" s="723">
        <v>400000</v>
      </c>
      <c r="L172" s="723">
        <v>0</v>
      </c>
      <c r="M172" s="723">
        <v>400000</v>
      </c>
      <c r="N172" s="340">
        <v>0</v>
      </c>
      <c r="O172" s="514">
        <v>0</v>
      </c>
      <c r="P172" s="398">
        <v>0</v>
      </c>
      <c r="Q172" s="398">
        <v>0</v>
      </c>
      <c r="R172" s="395">
        <v>0</v>
      </c>
      <c r="S172" s="398">
        <v>0</v>
      </c>
      <c r="T172" s="398">
        <f t="shared" si="45"/>
        <v>0</v>
      </c>
      <c r="U172" s="818">
        <f t="shared" si="57"/>
        <v>400000</v>
      </c>
      <c r="V172" s="591">
        <f t="shared" si="47"/>
        <v>400000</v>
      </c>
      <c r="W172" s="818">
        <f t="shared" si="48"/>
        <v>400000</v>
      </c>
    </row>
    <row r="173" spans="2:23" s="342" customFormat="1" ht="12.75">
      <c r="B173" s="1045"/>
      <c r="C173" s="343"/>
      <c r="D173" s="338"/>
      <c r="E173" s="343"/>
      <c r="F173" s="354">
        <v>116</v>
      </c>
      <c r="G173" s="418">
        <v>463</v>
      </c>
      <c r="H173" s="1269" t="s">
        <v>106</v>
      </c>
      <c r="I173" s="1270"/>
      <c r="J173" s="1271"/>
      <c r="K173" s="723">
        <v>735000</v>
      </c>
      <c r="L173" s="723">
        <v>3800</v>
      </c>
      <c r="M173" s="723">
        <v>500000</v>
      </c>
      <c r="N173" s="340">
        <v>0</v>
      </c>
      <c r="O173" s="395">
        <v>0</v>
      </c>
      <c r="P173" s="395">
        <v>0</v>
      </c>
      <c r="Q173" s="398">
        <v>0</v>
      </c>
      <c r="R173" s="395">
        <v>0</v>
      </c>
      <c r="S173" s="398">
        <v>0</v>
      </c>
      <c r="T173" s="398">
        <f t="shared" si="45"/>
        <v>0</v>
      </c>
      <c r="U173" s="818">
        <f t="shared" si="57"/>
        <v>500000</v>
      </c>
      <c r="V173" s="591">
        <f t="shared" si="47"/>
        <v>500000</v>
      </c>
      <c r="W173" s="818">
        <f t="shared" si="48"/>
        <v>500000</v>
      </c>
    </row>
    <row r="174" spans="2:23" s="342" customFormat="1" ht="12.75">
      <c r="B174" s="1047"/>
      <c r="C174" s="348"/>
      <c r="D174" s="349"/>
      <c r="E174" s="348"/>
      <c r="F174" s="354">
        <v>117</v>
      </c>
      <c r="G174" s="720">
        <v>463</v>
      </c>
      <c r="H174" s="703" t="s">
        <v>1323</v>
      </c>
      <c r="I174" s="704"/>
      <c r="J174" s="717"/>
      <c r="K174" s="358">
        <v>40000</v>
      </c>
      <c r="L174" s="358">
        <v>0</v>
      </c>
      <c r="M174" s="358">
        <v>19359</v>
      </c>
      <c r="N174" s="340">
        <v>0</v>
      </c>
      <c r="O174" s="340">
        <v>0</v>
      </c>
      <c r="P174" s="340">
        <v>0</v>
      </c>
      <c r="Q174" s="340">
        <v>0</v>
      </c>
      <c r="R174" s="340">
        <v>0</v>
      </c>
      <c r="S174" s="340">
        <v>0</v>
      </c>
      <c r="T174" s="406">
        <f t="shared" si="45"/>
        <v>0</v>
      </c>
      <c r="U174" s="818">
        <f t="shared" si="57"/>
        <v>19359</v>
      </c>
      <c r="V174" s="591">
        <f t="shared" si="47"/>
        <v>19359</v>
      </c>
      <c r="W174" s="818">
        <f t="shared" si="48"/>
        <v>19359</v>
      </c>
    </row>
    <row r="175" spans="2:23" ht="28.5" customHeight="1">
      <c r="B175" s="1043"/>
      <c r="C175" s="271"/>
      <c r="D175" s="412"/>
      <c r="E175" s="332" t="s">
        <v>285</v>
      </c>
      <c r="F175" s="412"/>
      <c r="G175" s="413"/>
      <c r="H175" s="1260" t="s">
        <v>1509</v>
      </c>
      <c r="I175" s="1261"/>
      <c r="J175" s="1262"/>
      <c r="K175" s="851">
        <f>K176</f>
        <v>8693190</v>
      </c>
      <c r="L175" s="851">
        <f>L176</f>
        <v>2802561.7199999997</v>
      </c>
      <c r="M175" s="851">
        <f>M176</f>
        <v>8693190</v>
      </c>
      <c r="N175" s="276">
        <f aca="true" t="shared" si="58" ref="N175:S175">N176</f>
        <v>0</v>
      </c>
      <c r="O175" s="276">
        <f t="shared" si="58"/>
        <v>0</v>
      </c>
      <c r="P175" s="276">
        <f t="shared" si="58"/>
        <v>0</v>
      </c>
      <c r="Q175" s="276">
        <f t="shared" si="58"/>
        <v>0</v>
      </c>
      <c r="R175" s="276">
        <f t="shared" si="58"/>
        <v>0</v>
      </c>
      <c r="S175" s="276">
        <f t="shared" si="58"/>
        <v>0</v>
      </c>
      <c r="T175" s="321">
        <f t="shared" si="45"/>
        <v>0</v>
      </c>
      <c r="U175" s="819">
        <f t="shared" si="46"/>
        <v>8693190</v>
      </c>
      <c r="V175" s="635">
        <f t="shared" si="47"/>
        <v>8693190</v>
      </c>
      <c r="W175" s="635">
        <f t="shared" si="48"/>
        <v>8693190</v>
      </c>
    </row>
    <row r="176" spans="2:23" ht="12.75">
      <c r="B176" s="1044"/>
      <c r="C176" s="415"/>
      <c r="D176" s="56">
        <v>912</v>
      </c>
      <c r="E176" s="58"/>
      <c r="F176" s="416"/>
      <c r="G176" s="417"/>
      <c r="H176" s="73" t="s">
        <v>96</v>
      </c>
      <c r="I176" s="74"/>
      <c r="J176" s="688"/>
      <c r="K176" s="168">
        <f aca="true" t="shared" si="59" ref="K176:S176">SUM(K177:K190)</f>
        <v>8693190</v>
      </c>
      <c r="L176" s="168">
        <f t="shared" si="59"/>
        <v>2802561.7199999997</v>
      </c>
      <c r="M176" s="168">
        <f t="shared" si="59"/>
        <v>8693190</v>
      </c>
      <c r="N176" s="168">
        <f t="shared" si="59"/>
        <v>0</v>
      </c>
      <c r="O176" s="168">
        <f t="shared" si="59"/>
        <v>0</v>
      </c>
      <c r="P176" s="168">
        <f t="shared" si="59"/>
        <v>0</v>
      </c>
      <c r="Q176" s="168">
        <f t="shared" si="59"/>
        <v>0</v>
      </c>
      <c r="R176" s="168">
        <f t="shared" si="59"/>
        <v>0</v>
      </c>
      <c r="S176" s="168">
        <f t="shared" si="59"/>
        <v>0</v>
      </c>
      <c r="T176" s="326">
        <f t="shared" si="45"/>
        <v>0</v>
      </c>
      <c r="U176" s="1048">
        <f t="shared" si="46"/>
        <v>8693190</v>
      </c>
      <c r="V176" s="811">
        <f t="shared" si="47"/>
        <v>8693190</v>
      </c>
      <c r="W176" s="1048">
        <f t="shared" si="48"/>
        <v>8693190</v>
      </c>
    </row>
    <row r="177" spans="2:23" s="342" customFormat="1" ht="12.75">
      <c r="B177" s="1045"/>
      <c r="C177" s="343"/>
      <c r="D177" s="338"/>
      <c r="E177" s="343"/>
      <c r="F177" s="354">
        <v>118</v>
      </c>
      <c r="G177" s="418">
        <v>463</v>
      </c>
      <c r="H177" s="366" t="s">
        <v>97</v>
      </c>
      <c r="I177" s="419"/>
      <c r="J177" s="437"/>
      <c r="K177" s="870">
        <v>110000</v>
      </c>
      <c r="L177" s="870">
        <v>7428.01</v>
      </c>
      <c r="M177" s="870">
        <v>50000</v>
      </c>
      <c r="N177" s="340">
        <v>0</v>
      </c>
      <c r="O177" s="395">
        <v>0</v>
      </c>
      <c r="P177" s="395">
        <v>0</v>
      </c>
      <c r="Q177" s="398">
        <v>0</v>
      </c>
      <c r="R177" s="395">
        <v>0</v>
      </c>
      <c r="S177" s="398">
        <v>0</v>
      </c>
      <c r="T177" s="398">
        <f t="shared" si="45"/>
        <v>0</v>
      </c>
      <c r="U177" s="818">
        <f t="shared" si="46"/>
        <v>50000</v>
      </c>
      <c r="V177" s="591">
        <f t="shared" si="47"/>
        <v>50000</v>
      </c>
      <c r="W177" s="818">
        <f t="shared" si="48"/>
        <v>50000</v>
      </c>
    </row>
    <row r="178" spans="2:23" s="342" customFormat="1" ht="12.75">
      <c r="B178" s="1045"/>
      <c r="C178" s="343"/>
      <c r="D178" s="338"/>
      <c r="E178" s="343"/>
      <c r="F178" s="354">
        <v>119</v>
      </c>
      <c r="G178" s="418">
        <v>463</v>
      </c>
      <c r="H178" s="1299" t="s">
        <v>216</v>
      </c>
      <c r="I178" s="1300"/>
      <c r="J178" s="1301"/>
      <c r="K178" s="870">
        <v>40000</v>
      </c>
      <c r="L178" s="870">
        <v>0</v>
      </c>
      <c r="M178" s="870">
        <v>150000</v>
      </c>
      <c r="N178" s="340">
        <v>0</v>
      </c>
      <c r="O178" s="395">
        <v>0</v>
      </c>
      <c r="P178" s="395">
        <v>0</v>
      </c>
      <c r="Q178" s="398">
        <v>0</v>
      </c>
      <c r="R178" s="395">
        <v>0</v>
      </c>
      <c r="S178" s="398">
        <v>0</v>
      </c>
      <c r="T178" s="398">
        <f t="shared" si="45"/>
        <v>0</v>
      </c>
      <c r="U178" s="818">
        <f>S178+R178+Q178+P178+O178+S178+S178+S178+N178+M178</f>
        <v>150000</v>
      </c>
      <c r="V178" s="591">
        <f t="shared" si="47"/>
        <v>150000</v>
      </c>
      <c r="W178" s="818">
        <f t="shared" si="48"/>
        <v>150000</v>
      </c>
    </row>
    <row r="179" spans="2:23" s="342" customFormat="1" ht="12.75">
      <c r="B179" s="1045"/>
      <c r="C179" s="343"/>
      <c r="D179" s="338"/>
      <c r="E179" s="343"/>
      <c r="F179" s="354">
        <v>120</v>
      </c>
      <c r="G179" s="418">
        <v>463</v>
      </c>
      <c r="H179" s="1263" t="s">
        <v>98</v>
      </c>
      <c r="I179" s="1264"/>
      <c r="J179" s="1265"/>
      <c r="K179" s="849">
        <v>2000000</v>
      </c>
      <c r="L179" s="849">
        <v>604602.92</v>
      </c>
      <c r="M179" s="849">
        <v>2000000</v>
      </c>
      <c r="N179" s="340">
        <v>0</v>
      </c>
      <c r="O179" s="395">
        <v>0</v>
      </c>
      <c r="P179" s="395">
        <v>0</v>
      </c>
      <c r="Q179" s="398">
        <v>0</v>
      </c>
      <c r="R179" s="395">
        <v>0</v>
      </c>
      <c r="S179" s="398">
        <v>0</v>
      </c>
      <c r="T179" s="398">
        <f t="shared" si="45"/>
        <v>0</v>
      </c>
      <c r="U179" s="818">
        <f t="shared" si="46"/>
        <v>2000000</v>
      </c>
      <c r="V179" s="591">
        <f t="shared" si="47"/>
        <v>2000000</v>
      </c>
      <c r="W179" s="818">
        <f t="shared" si="48"/>
        <v>2000000</v>
      </c>
    </row>
    <row r="180" spans="2:23" s="342" customFormat="1" ht="12.75">
      <c r="B180" s="1045"/>
      <c r="C180" s="343"/>
      <c r="D180" s="338"/>
      <c r="E180" s="343"/>
      <c r="F180" s="354">
        <v>121</v>
      </c>
      <c r="G180" s="418">
        <v>463</v>
      </c>
      <c r="H180" s="366" t="s">
        <v>198</v>
      </c>
      <c r="I180" s="419"/>
      <c r="J180" s="420"/>
      <c r="K180" s="849">
        <v>400000</v>
      </c>
      <c r="L180" s="849">
        <v>0</v>
      </c>
      <c r="M180" s="849">
        <v>350000</v>
      </c>
      <c r="N180" s="340">
        <v>0</v>
      </c>
      <c r="O180" s="395">
        <v>0</v>
      </c>
      <c r="P180" s="395">
        <v>0</v>
      </c>
      <c r="Q180" s="398">
        <v>0</v>
      </c>
      <c r="R180" s="395">
        <v>0</v>
      </c>
      <c r="S180" s="398">
        <v>0</v>
      </c>
      <c r="T180" s="398">
        <f t="shared" si="45"/>
        <v>0</v>
      </c>
      <c r="U180" s="818">
        <f t="shared" si="46"/>
        <v>350000</v>
      </c>
      <c r="V180" s="591">
        <f t="shared" si="47"/>
        <v>350000</v>
      </c>
      <c r="W180" s="818">
        <f t="shared" si="48"/>
        <v>350000</v>
      </c>
    </row>
    <row r="181" spans="2:23" s="342" customFormat="1" ht="12.75">
      <c r="B181" s="1045"/>
      <c r="C181" s="343"/>
      <c r="D181" s="338"/>
      <c r="E181" s="343"/>
      <c r="F181" s="354">
        <v>122</v>
      </c>
      <c r="G181" s="418">
        <v>463</v>
      </c>
      <c r="H181" s="1299" t="s">
        <v>99</v>
      </c>
      <c r="I181" s="1300"/>
      <c r="J181" s="1301"/>
      <c r="K181" s="849">
        <v>2800000</v>
      </c>
      <c r="L181" s="849">
        <v>1692158.87</v>
      </c>
      <c r="M181" s="849">
        <v>3200000</v>
      </c>
      <c r="N181" s="340">
        <v>0</v>
      </c>
      <c r="O181" s="395">
        <v>0</v>
      </c>
      <c r="P181" s="395">
        <v>0</v>
      </c>
      <c r="Q181" s="398">
        <v>0</v>
      </c>
      <c r="R181" s="395">
        <v>0</v>
      </c>
      <c r="S181" s="398">
        <v>0</v>
      </c>
      <c r="T181" s="398">
        <f t="shared" si="45"/>
        <v>0</v>
      </c>
      <c r="U181" s="818">
        <f t="shared" si="46"/>
        <v>3200000</v>
      </c>
      <c r="V181" s="591">
        <f t="shared" si="47"/>
        <v>3200000</v>
      </c>
      <c r="W181" s="818">
        <f t="shared" si="48"/>
        <v>3200000</v>
      </c>
    </row>
    <row r="182" spans="2:23" s="342" customFormat="1" ht="12.75">
      <c r="B182" s="1045"/>
      <c r="C182" s="343"/>
      <c r="D182" s="338"/>
      <c r="E182" s="343"/>
      <c r="F182" s="354">
        <v>123</v>
      </c>
      <c r="G182" s="418">
        <v>463</v>
      </c>
      <c r="H182" s="353" t="s">
        <v>100</v>
      </c>
      <c r="I182" s="421"/>
      <c r="J182" s="422"/>
      <c r="K182" s="849">
        <v>100000</v>
      </c>
      <c r="L182" s="849">
        <v>11000</v>
      </c>
      <c r="M182" s="849">
        <v>100000</v>
      </c>
      <c r="N182" s="340">
        <v>0</v>
      </c>
      <c r="O182" s="395">
        <v>0</v>
      </c>
      <c r="P182" s="395">
        <v>0</v>
      </c>
      <c r="Q182" s="398">
        <v>0</v>
      </c>
      <c r="R182" s="395">
        <v>0</v>
      </c>
      <c r="S182" s="398">
        <v>0</v>
      </c>
      <c r="T182" s="398">
        <f t="shared" si="45"/>
        <v>0</v>
      </c>
      <c r="U182" s="818">
        <f t="shared" si="46"/>
        <v>100000</v>
      </c>
      <c r="V182" s="591">
        <f t="shared" si="47"/>
        <v>100000</v>
      </c>
      <c r="W182" s="818">
        <f t="shared" si="48"/>
        <v>100000</v>
      </c>
    </row>
    <row r="183" spans="2:23" s="342" customFormat="1" ht="12.75">
      <c r="B183" s="1045"/>
      <c r="C183" s="343"/>
      <c r="D183" s="338"/>
      <c r="E183" s="343"/>
      <c r="F183" s="354">
        <v>124</v>
      </c>
      <c r="G183" s="418">
        <v>463</v>
      </c>
      <c r="H183" s="366" t="s">
        <v>101</v>
      </c>
      <c r="I183" s="419"/>
      <c r="J183" s="420"/>
      <c r="K183" s="849">
        <v>300000</v>
      </c>
      <c r="L183" s="849">
        <v>46849.9</v>
      </c>
      <c r="M183" s="849">
        <v>350000</v>
      </c>
      <c r="N183" s="340">
        <v>0</v>
      </c>
      <c r="O183" s="395">
        <v>0</v>
      </c>
      <c r="P183" s="395">
        <v>0</v>
      </c>
      <c r="Q183" s="395">
        <v>0</v>
      </c>
      <c r="R183" s="395">
        <v>0</v>
      </c>
      <c r="S183" s="395">
        <v>0</v>
      </c>
      <c r="T183" s="398">
        <f t="shared" si="45"/>
        <v>0</v>
      </c>
      <c r="U183" s="818">
        <f t="shared" si="46"/>
        <v>350000</v>
      </c>
      <c r="V183" s="591">
        <f t="shared" si="47"/>
        <v>350000</v>
      </c>
      <c r="W183" s="818">
        <f t="shared" si="48"/>
        <v>350000</v>
      </c>
    </row>
    <row r="184" spans="2:23" s="342" customFormat="1" ht="12.75">
      <c r="B184" s="1045"/>
      <c r="C184" s="343"/>
      <c r="D184" s="338"/>
      <c r="E184" s="343"/>
      <c r="F184" s="354">
        <v>125</v>
      </c>
      <c r="G184" s="418">
        <v>463</v>
      </c>
      <c r="H184" s="1263" t="s">
        <v>102</v>
      </c>
      <c r="I184" s="1264"/>
      <c r="J184" s="1265"/>
      <c r="K184" s="849">
        <v>200000</v>
      </c>
      <c r="L184" s="849">
        <v>63920</v>
      </c>
      <c r="M184" s="849">
        <v>200000</v>
      </c>
      <c r="N184" s="340">
        <v>0</v>
      </c>
      <c r="O184" s="395">
        <v>0</v>
      </c>
      <c r="P184" s="395">
        <v>0</v>
      </c>
      <c r="Q184" s="398">
        <v>0</v>
      </c>
      <c r="R184" s="395">
        <v>0</v>
      </c>
      <c r="S184" s="398">
        <v>0</v>
      </c>
      <c r="T184" s="398">
        <f t="shared" si="45"/>
        <v>0</v>
      </c>
      <c r="U184" s="818">
        <f t="shared" si="46"/>
        <v>200000</v>
      </c>
      <c r="V184" s="591">
        <f t="shared" si="47"/>
        <v>200000</v>
      </c>
      <c r="W184" s="818">
        <f t="shared" si="48"/>
        <v>200000</v>
      </c>
    </row>
    <row r="185" spans="2:23" s="342" customFormat="1" ht="12.75">
      <c r="B185" s="1045"/>
      <c r="C185" s="343"/>
      <c r="D185" s="338"/>
      <c r="E185" s="343"/>
      <c r="F185" s="354">
        <v>126</v>
      </c>
      <c r="G185" s="418">
        <v>463</v>
      </c>
      <c r="H185" s="1263" t="s">
        <v>103</v>
      </c>
      <c r="I185" s="1264"/>
      <c r="J185" s="1265"/>
      <c r="K185" s="850">
        <v>400000</v>
      </c>
      <c r="L185" s="850">
        <v>23530.010000000002</v>
      </c>
      <c r="M185" s="850">
        <v>400000</v>
      </c>
      <c r="N185" s="340">
        <v>0</v>
      </c>
      <c r="O185" s="395">
        <v>0</v>
      </c>
      <c r="P185" s="395">
        <v>0</v>
      </c>
      <c r="Q185" s="398">
        <v>0</v>
      </c>
      <c r="R185" s="395">
        <v>0</v>
      </c>
      <c r="S185" s="398">
        <v>0</v>
      </c>
      <c r="T185" s="398">
        <f t="shared" si="45"/>
        <v>0</v>
      </c>
      <c r="U185" s="818">
        <f t="shared" si="46"/>
        <v>400000</v>
      </c>
      <c r="V185" s="591">
        <f t="shared" si="47"/>
        <v>400000</v>
      </c>
      <c r="W185" s="818">
        <f t="shared" si="48"/>
        <v>400000</v>
      </c>
    </row>
    <row r="186" spans="2:23" s="342" customFormat="1" ht="12.75">
      <c r="B186" s="1045"/>
      <c r="C186" s="343"/>
      <c r="D186" s="338"/>
      <c r="E186" s="343"/>
      <c r="F186" s="354">
        <v>127</v>
      </c>
      <c r="G186" s="513">
        <v>463</v>
      </c>
      <c r="H186" s="1395" t="s">
        <v>104</v>
      </c>
      <c r="I186" s="1396"/>
      <c r="J186" s="1195"/>
      <c r="K186" s="1193">
        <v>1100000</v>
      </c>
      <c r="L186" s="1193">
        <v>270091.97</v>
      </c>
      <c r="M186" s="1194">
        <v>1050000</v>
      </c>
      <c r="N186" s="702">
        <v>0</v>
      </c>
      <c r="O186" s="514">
        <v>0</v>
      </c>
      <c r="P186" s="514">
        <v>0</v>
      </c>
      <c r="Q186" s="435">
        <v>0</v>
      </c>
      <c r="R186" s="514">
        <v>0</v>
      </c>
      <c r="S186" s="435">
        <v>0</v>
      </c>
      <c r="T186" s="398">
        <f t="shared" si="45"/>
        <v>0</v>
      </c>
      <c r="U186" s="818">
        <f t="shared" si="46"/>
        <v>1050000</v>
      </c>
      <c r="V186" s="591">
        <f t="shared" si="47"/>
        <v>1050000</v>
      </c>
      <c r="W186" s="818">
        <f t="shared" si="48"/>
        <v>1050000</v>
      </c>
    </row>
    <row r="187" spans="2:23" s="342" customFormat="1" ht="12.75">
      <c r="B187" s="1045"/>
      <c r="C187" s="343"/>
      <c r="D187" s="338"/>
      <c r="E187" s="343"/>
      <c r="F187" s="428">
        <v>128</v>
      </c>
      <c r="G187" s="508">
        <v>463</v>
      </c>
      <c r="H187" s="1392" t="s">
        <v>105</v>
      </c>
      <c r="I187" s="1392"/>
      <c r="J187" s="1392"/>
      <c r="K187" s="887">
        <v>100000</v>
      </c>
      <c r="L187" s="887">
        <v>0</v>
      </c>
      <c r="M187" s="887">
        <v>100000</v>
      </c>
      <c r="N187" s="608">
        <v>0</v>
      </c>
      <c r="O187" s="441">
        <v>0</v>
      </c>
      <c r="P187" s="441">
        <v>0</v>
      </c>
      <c r="Q187" s="441">
        <v>0</v>
      </c>
      <c r="R187" s="441">
        <v>0</v>
      </c>
      <c r="S187" s="441">
        <v>0</v>
      </c>
      <c r="T187" s="639">
        <f t="shared" si="45"/>
        <v>0</v>
      </c>
      <c r="U187" s="818">
        <f t="shared" si="46"/>
        <v>100000</v>
      </c>
      <c r="V187" s="591">
        <f t="shared" si="47"/>
        <v>100000</v>
      </c>
      <c r="W187" s="818">
        <f t="shared" si="48"/>
        <v>100000</v>
      </c>
    </row>
    <row r="188" spans="2:23" s="342" customFormat="1" ht="12.75">
      <c r="B188" s="1047"/>
      <c r="C188" s="348"/>
      <c r="D188" s="349"/>
      <c r="E188" s="348"/>
      <c r="F188" s="428" t="s">
        <v>1582</v>
      </c>
      <c r="G188" s="508">
        <v>463</v>
      </c>
      <c r="H188" s="1192" t="s">
        <v>1309</v>
      </c>
      <c r="I188" s="1192"/>
      <c r="J188" s="1192"/>
      <c r="K188" s="887"/>
      <c r="L188" s="887"/>
      <c r="M188" s="887">
        <v>50000</v>
      </c>
      <c r="N188" s="608">
        <v>0</v>
      </c>
      <c r="O188" s="441">
        <v>0</v>
      </c>
      <c r="P188" s="441">
        <v>0</v>
      </c>
      <c r="Q188" s="441">
        <v>0</v>
      </c>
      <c r="R188" s="441"/>
      <c r="S188" s="441">
        <v>0</v>
      </c>
      <c r="T188" s="627">
        <f t="shared" si="45"/>
        <v>0</v>
      </c>
      <c r="U188" s="818">
        <f>M188</f>
        <v>50000</v>
      </c>
      <c r="V188" s="591">
        <f t="shared" si="47"/>
        <v>50000</v>
      </c>
      <c r="W188" s="818">
        <f t="shared" si="48"/>
        <v>50000</v>
      </c>
    </row>
    <row r="189" spans="2:23" s="342" customFormat="1" ht="12.75">
      <c r="B189" s="1047"/>
      <c r="C189" s="348"/>
      <c r="D189" s="349"/>
      <c r="E189" s="348"/>
      <c r="F189" s="354">
        <v>129</v>
      </c>
      <c r="G189" s="722">
        <v>463</v>
      </c>
      <c r="H189" s="1372" t="s">
        <v>1560</v>
      </c>
      <c r="I189" s="1373"/>
      <c r="J189" s="1373"/>
      <c r="K189" s="887">
        <v>150000</v>
      </c>
      <c r="L189" s="887">
        <v>0</v>
      </c>
      <c r="M189" s="887">
        <v>150000</v>
      </c>
      <c r="N189" s="992">
        <v>0</v>
      </c>
      <c r="O189" s="441">
        <v>0</v>
      </c>
      <c r="P189" s="441">
        <v>0</v>
      </c>
      <c r="Q189" s="776">
        <v>0</v>
      </c>
      <c r="R189" s="773">
        <v>0</v>
      </c>
      <c r="S189" s="774">
        <v>0</v>
      </c>
      <c r="T189" s="775">
        <f t="shared" si="45"/>
        <v>0</v>
      </c>
      <c r="U189" s="818">
        <f t="shared" si="46"/>
        <v>150000</v>
      </c>
      <c r="V189" s="591">
        <f t="shared" si="47"/>
        <v>150000</v>
      </c>
      <c r="W189" s="818">
        <f t="shared" si="48"/>
        <v>150000</v>
      </c>
    </row>
    <row r="190" spans="2:23" s="342" customFormat="1" ht="12.75">
      <c r="B190" s="1047"/>
      <c r="C190" s="348"/>
      <c r="D190" s="349"/>
      <c r="E190" s="348"/>
      <c r="F190" s="354">
        <v>130</v>
      </c>
      <c r="G190" s="721">
        <v>463</v>
      </c>
      <c r="H190" s="768" t="s">
        <v>1393</v>
      </c>
      <c r="I190" s="769"/>
      <c r="J190" s="769"/>
      <c r="K190" s="887">
        <v>993190</v>
      </c>
      <c r="L190" s="887">
        <v>82980.04000000001</v>
      </c>
      <c r="M190" s="887">
        <v>543190</v>
      </c>
      <c r="N190" s="992">
        <v>0</v>
      </c>
      <c r="O190" s="441">
        <v>0</v>
      </c>
      <c r="P190" s="441">
        <v>0</v>
      </c>
      <c r="Q190" s="441">
        <v>0</v>
      </c>
      <c r="R190" s="441">
        <v>0</v>
      </c>
      <c r="S190" s="441">
        <v>0</v>
      </c>
      <c r="T190" s="772">
        <f t="shared" si="45"/>
        <v>0</v>
      </c>
      <c r="U190" s="818">
        <f t="shared" si="46"/>
        <v>543190</v>
      </c>
      <c r="V190" s="591">
        <f t="shared" si="47"/>
        <v>543190</v>
      </c>
      <c r="W190" s="818">
        <f t="shared" si="48"/>
        <v>543190</v>
      </c>
    </row>
    <row r="191" spans="2:23" s="668" customFormat="1" ht="12.75">
      <c r="B191" s="617"/>
      <c r="C191" s="618"/>
      <c r="D191" s="594"/>
      <c r="E191" s="593" t="s">
        <v>1513</v>
      </c>
      <c r="F191" s="594"/>
      <c r="G191" s="595"/>
      <c r="H191" s="1293" t="s">
        <v>1511</v>
      </c>
      <c r="I191" s="1294"/>
      <c r="J191" s="1294"/>
      <c r="K191" s="1012">
        <f aca="true" t="shared" si="60" ref="K191:S192">K192</f>
        <v>5300000</v>
      </c>
      <c r="L191" s="1012">
        <f t="shared" si="60"/>
        <v>2137000.2500000005</v>
      </c>
      <c r="M191" s="1012">
        <f t="shared" si="60"/>
        <v>5300000</v>
      </c>
      <c r="N191" s="619">
        <f t="shared" si="60"/>
        <v>0</v>
      </c>
      <c r="O191" s="619">
        <f t="shared" si="60"/>
        <v>0</v>
      </c>
      <c r="P191" s="619">
        <f t="shared" si="60"/>
        <v>0</v>
      </c>
      <c r="Q191" s="619">
        <f t="shared" si="60"/>
        <v>0</v>
      </c>
      <c r="R191" s="619">
        <f t="shared" si="60"/>
        <v>0</v>
      </c>
      <c r="S191" s="619">
        <f t="shared" si="60"/>
        <v>0</v>
      </c>
      <c r="T191" s="620">
        <f t="shared" si="45"/>
        <v>0</v>
      </c>
      <c r="U191" s="1027">
        <f t="shared" si="46"/>
        <v>5300000</v>
      </c>
      <c r="V191" s="1208">
        <f t="shared" si="47"/>
        <v>5300000</v>
      </c>
      <c r="W191" s="822">
        <f t="shared" si="48"/>
        <v>5300000</v>
      </c>
    </row>
    <row r="192" spans="2:23" ht="30.75" customHeight="1">
      <c r="B192" s="270"/>
      <c r="C192" s="271"/>
      <c r="D192" s="412"/>
      <c r="E192" s="332" t="s">
        <v>1514</v>
      </c>
      <c r="F192" s="412"/>
      <c r="G192" s="413"/>
      <c r="H192" s="1260" t="s">
        <v>1512</v>
      </c>
      <c r="I192" s="1261"/>
      <c r="J192" s="1261"/>
      <c r="K192" s="984">
        <f t="shared" si="60"/>
        <v>5300000</v>
      </c>
      <c r="L192" s="984">
        <f t="shared" si="60"/>
        <v>2137000.2500000005</v>
      </c>
      <c r="M192" s="984">
        <f t="shared" si="60"/>
        <v>5300000</v>
      </c>
      <c r="N192" s="276">
        <f t="shared" si="60"/>
        <v>0</v>
      </c>
      <c r="O192" s="276">
        <f t="shared" si="60"/>
        <v>0</v>
      </c>
      <c r="P192" s="276">
        <f t="shared" si="60"/>
        <v>0</v>
      </c>
      <c r="Q192" s="276">
        <f t="shared" si="60"/>
        <v>0</v>
      </c>
      <c r="R192" s="276">
        <f t="shared" si="60"/>
        <v>0</v>
      </c>
      <c r="S192" s="276">
        <f t="shared" si="60"/>
        <v>0</v>
      </c>
      <c r="T192" s="321">
        <f t="shared" si="45"/>
        <v>0</v>
      </c>
      <c r="U192" s="819">
        <f t="shared" si="46"/>
        <v>5300000</v>
      </c>
      <c r="V192" s="635">
        <f t="shared" si="47"/>
        <v>5300000</v>
      </c>
      <c r="W192" s="635">
        <f t="shared" si="48"/>
        <v>5300000</v>
      </c>
    </row>
    <row r="193" spans="2:23" ht="12.75">
      <c r="B193" s="414"/>
      <c r="C193" s="415"/>
      <c r="D193" s="56">
        <v>920</v>
      </c>
      <c r="E193" s="58"/>
      <c r="F193" s="416"/>
      <c r="G193" s="417"/>
      <c r="H193" s="1296" t="s">
        <v>107</v>
      </c>
      <c r="I193" s="1297"/>
      <c r="J193" s="1298"/>
      <c r="K193" s="727">
        <f>SUM(K194:K204)</f>
        <v>5300000</v>
      </c>
      <c r="L193" s="727">
        <f>SUM(L194:L204)</f>
        <v>2137000.2500000005</v>
      </c>
      <c r="M193" s="727">
        <f>SUM(M194:M204)</f>
        <v>5300000</v>
      </c>
      <c r="N193" s="68">
        <f aca="true" t="shared" si="61" ref="N193:S193">SUM(N194:N204)</f>
        <v>0</v>
      </c>
      <c r="O193" s="68">
        <f t="shared" si="61"/>
        <v>0</v>
      </c>
      <c r="P193" s="68">
        <f t="shared" si="61"/>
        <v>0</v>
      </c>
      <c r="Q193" s="68">
        <f t="shared" si="61"/>
        <v>0</v>
      </c>
      <c r="R193" s="68">
        <f t="shared" si="61"/>
        <v>0</v>
      </c>
      <c r="S193" s="68">
        <f t="shared" si="61"/>
        <v>0</v>
      </c>
      <c r="T193" s="324">
        <f t="shared" si="45"/>
        <v>0</v>
      </c>
      <c r="U193" s="1048">
        <f t="shared" si="46"/>
        <v>5300000</v>
      </c>
      <c r="V193" s="811">
        <f t="shared" si="47"/>
        <v>5300000</v>
      </c>
      <c r="W193" s="1048">
        <f t="shared" si="48"/>
        <v>5300000</v>
      </c>
    </row>
    <row r="194" spans="2:23" ht="12.75">
      <c r="B194" s="414"/>
      <c r="C194" s="415"/>
      <c r="D194" s="54"/>
      <c r="E194" s="58"/>
      <c r="F194" s="416">
        <v>131</v>
      </c>
      <c r="G194" s="432">
        <v>463</v>
      </c>
      <c r="H194" s="1263" t="s">
        <v>216</v>
      </c>
      <c r="I194" s="1264"/>
      <c r="J194" s="1265"/>
      <c r="K194" s="849">
        <v>30000</v>
      </c>
      <c r="L194" s="849">
        <v>0</v>
      </c>
      <c r="M194" s="849">
        <v>30000</v>
      </c>
      <c r="N194" s="340">
        <v>0</v>
      </c>
      <c r="O194" s="388">
        <v>0</v>
      </c>
      <c r="P194" s="388">
        <v>0</v>
      </c>
      <c r="Q194" s="401">
        <v>0</v>
      </c>
      <c r="R194" s="395">
        <v>0</v>
      </c>
      <c r="S194" s="401">
        <v>0</v>
      </c>
      <c r="T194" s="401">
        <f t="shared" si="45"/>
        <v>0</v>
      </c>
      <c r="U194" s="818">
        <f t="shared" si="46"/>
        <v>30000</v>
      </c>
      <c r="V194" s="591">
        <f t="shared" si="47"/>
        <v>30000</v>
      </c>
      <c r="W194" s="818">
        <f t="shared" si="48"/>
        <v>30000</v>
      </c>
    </row>
    <row r="195" spans="2:23" s="342" customFormat="1" ht="12.75">
      <c r="B195" s="336"/>
      <c r="C195" s="343"/>
      <c r="D195" s="338"/>
      <c r="E195" s="343"/>
      <c r="F195" s="416">
        <v>132</v>
      </c>
      <c r="G195" s="418">
        <v>463</v>
      </c>
      <c r="H195" s="1263" t="s">
        <v>108</v>
      </c>
      <c r="I195" s="1264"/>
      <c r="J195" s="1265"/>
      <c r="K195" s="849">
        <v>1215000</v>
      </c>
      <c r="L195" s="849">
        <v>506185.50999999995</v>
      </c>
      <c r="M195" s="849">
        <v>1215000</v>
      </c>
      <c r="N195" s="340">
        <v>0</v>
      </c>
      <c r="O195" s="395">
        <v>0</v>
      </c>
      <c r="P195" s="395">
        <v>0</v>
      </c>
      <c r="Q195" s="398">
        <v>0</v>
      </c>
      <c r="R195" s="395">
        <v>0</v>
      </c>
      <c r="S195" s="398">
        <v>0</v>
      </c>
      <c r="T195" s="398">
        <f t="shared" si="45"/>
        <v>0</v>
      </c>
      <c r="U195" s="818">
        <f t="shared" si="46"/>
        <v>1215000</v>
      </c>
      <c r="V195" s="591">
        <f t="shared" si="47"/>
        <v>1215000</v>
      </c>
      <c r="W195" s="818">
        <f t="shared" si="48"/>
        <v>1215000</v>
      </c>
    </row>
    <row r="196" spans="2:23" s="342" customFormat="1" ht="12.75">
      <c r="B196" s="336"/>
      <c r="C196" s="343"/>
      <c r="D196" s="338"/>
      <c r="E196" s="343"/>
      <c r="F196" s="416">
        <v>133</v>
      </c>
      <c r="G196" s="418">
        <v>463</v>
      </c>
      <c r="H196" s="366" t="s">
        <v>198</v>
      </c>
      <c r="I196" s="419"/>
      <c r="J196" s="420"/>
      <c r="K196" s="849">
        <v>255000</v>
      </c>
      <c r="L196" s="849">
        <v>0</v>
      </c>
      <c r="M196" s="849">
        <v>255000</v>
      </c>
      <c r="N196" s="340">
        <v>0</v>
      </c>
      <c r="O196" s="395">
        <v>0</v>
      </c>
      <c r="P196" s="395">
        <v>0</v>
      </c>
      <c r="Q196" s="398">
        <v>0</v>
      </c>
      <c r="R196" s="395">
        <v>0</v>
      </c>
      <c r="S196" s="398">
        <v>0</v>
      </c>
      <c r="T196" s="398">
        <f t="shared" si="45"/>
        <v>0</v>
      </c>
      <c r="U196" s="818">
        <f t="shared" si="46"/>
        <v>255000</v>
      </c>
      <c r="V196" s="591">
        <f t="shared" si="47"/>
        <v>255000</v>
      </c>
      <c r="W196" s="818">
        <f t="shared" si="48"/>
        <v>255000</v>
      </c>
    </row>
    <row r="197" spans="2:23" s="342" customFormat="1" ht="12.75">
      <c r="B197" s="336"/>
      <c r="C197" s="343"/>
      <c r="D197" s="338"/>
      <c r="E197" s="343"/>
      <c r="F197" s="416">
        <v>134</v>
      </c>
      <c r="G197" s="418">
        <v>463</v>
      </c>
      <c r="H197" s="1263" t="s">
        <v>99</v>
      </c>
      <c r="I197" s="1264"/>
      <c r="J197" s="1265"/>
      <c r="K197" s="849">
        <v>1953450</v>
      </c>
      <c r="L197" s="849">
        <v>1005983.5500000003</v>
      </c>
      <c r="M197" s="849">
        <v>1953450</v>
      </c>
      <c r="N197" s="340">
        <v>0</v>
      </c>
      <c r="O197" s="395">
        <v>0</v>
      </c>
      <c r="P197" s="395">
        <v>0</v>
      </c>
      <c r="Q197" s="398">
        <v>0</v>
      </c>
      <c r="R197" s="395">
        <v>0</v>
      </c>
      <c r="S197" s="398">
        <v>0</v>
      </c>
      <c r="T197" s="398">
        <f t="shared" si="45"/>
        <v>0</v>
      </c>
      <c r="U197" s="818">
        <f t="shared" si="46"/>
        <v>1953450</v>
      </c>
      <c r="V197" s="591">
        <f t="shared" si="47"/>
        <v>1953450</v>
      </c>
      <c r="W197" s="818">
        <f t="shared" si="48"/>
        <v>1953450</v>
      </c>
    </row>
    <row r="198" spans="2:23" s="342" customFormat="1" ht="12.75">
      <c r="B198" s="336"/>
      <c r="C198" s="343"/>
      <c r="D198" s="338"/>
      <c r="E198" s="343"/>
      <c r="F198" s="416">
        <v>135</v>
      </c>
      <c r="G198" s="418">
        <v>463</v>
      </c>
      <c r="H198" s="1263" t="s">
        <v>100</v>
      </c>
      <c r="I198" s="1264"/>
      <c r="J198" s="1265"/>
      <c r="K198" s="849">
        <v>70000</v>
      </c>
      <c r="L198" s="849">
        <v>0</v>
      </c>
      <c r="M198" s="849">
        <v>70000</v>
      </c>
      <c r="N198" s="340">
        <v>0</v>
      </c>
      <c r="O198" s="395">
        <v>0</v>
      </c>
      <c r="P198" s="395">
        <v>0</v>
      </c>
      <c r="Q198" s="398">
        <v>0</v>
      </c>
      <c r="R198" s="395">
        <v>0</v>
      </c>
      <c r="S198" s="398">
        <v>0</v>
      </c>
      <c r="T198" s="398">
        <f t="shared" si="45"/>
        <v>0</v>
      </c>
      <c r="U198" s="818">
        <f t="shared" si="46"/>
        <v>70000</v>
      </c>
      <c r="V198" s="591">
        <f t="shared" si="47"/>
        <v>70000</v>
      </c>
      <c r="W198" s="818">
        <f t="shared" si="48"/>
        <v>70000</v>
      </c>
    </row>
    <row r="199" spans="2:23" s="342" customFormat="1" ht="12.75">
      <c r="B199" s="336"/>
      <c r="C199" s="343"/>
      <c r="D199" s="338"/>
      <c r="E199" s="343"/>
      <c r="F199" s="354">
        <v>136</v>
      </c>
      <c r="G199" s="418">
        <v>463</v>
      </c>
      <c r="H199" s="1263" t="s">
        <v>101</v>
      </c>
      <c r="I199" s="1264"/>
      <c r="J199" s="1265"/>
      <c r="K199" s="849">
        <v>206550</v>
      </c>
      <c r="L199" s="849">
        <v>59250</v>
      </c>
      <c r="M199" s="849">
        <v>206550</v>
      </c>
      <c r="N199" s="340">
        <v>0</v>
      </c>
      <c r="O199" s="395">
        <v>0</v>
      </c>
      <c r="P199" s="395">
        <v>0</v>
      </c>
      <c r="Q199" s="398">
        <v>0</v>
      </c>
      <c r="R199" s="395">
        <v>0</v>
      </c>
      <c r="S199" s="398">
        <v>0</v>
      </c>
      <c r="T199" s="398">
        <f t="shared" si="45"/>
        <v>0</v>
      </c>
      <c r="U199" s="818">
        <f t="shared" si="46"/>
        <v>206550</v>
      </c>
      <c r="V199" s="591">
        <f t="shared" si="47"/>
        <v>206550</v>
      </c>
      <c r="W199" s="818">
        <f t="shared" si="48"/>
        <v>206550</v>
      </c>
    </row>
    <row r="200" spans="2:23" s="342" customFormat="1" ht="12.75">
      <c r="B200" s="336"/>
      <c r="C200" s="343"/>
      <c r="D200" s="338"/>
      <c r="E200" s="343"/>
      <c r="F200" s="354">
        <v>137</v>
      </c>
      <c r="G200" s="418">
        <v>463</v>
      </c>
      <c r="H200" s="366" t="s">
        <v>102</v>
      </c>
      <c r="I200" s="419"/>
      <c r="J200" s="420"/>
      <c r="K200" s="849">
        <v>50000</v>
      </c>
      <c r="L200" s="849">
        <v>0</v>
      </c>
      <c r="M200" s="849">
        <v>50000</v>
      </c>
      <c r="N200" s="340">
        <v>0</v>
      </c>
      <c r="O200" s="395">
        <v>0</v>
      </c>
      <c r="P200" s="395">
        <v>0</v>
      </c>
      <c r="Q200" s="398">
        <v>0</v>
      </c>
      <c r="R200" s="395">
        <v>0</v>
      </c>
      <c r="S200" s="398">
        <v>0</v>
      </c>
      <c r="T200" s="398">
        <f aca="true" t="shared" si="62" ref="T200:T263">SUM(N200:S200)</f>
        <v>0</v>
      </c>
      <c r="U200" s="818">
        <f t="shared" si="46"/>
        <v>50000</v>
      </c>
      <c r="V200" s="591">
        <f t="shared" si="47"/>
        <v>50000</v>
      </c>
      <c r="W200" s="818">
        <f t="shared" si="48"/>
        <v>50000</v>
      </c>
    </row>
    <row r="201" spans="2:23" s="342" customFormat="1" ht="12.75">
      <c r="B201" s="336"/>
      <c r="C201" s="343"/>
      <c r="D201" s="338"/>
      <c r="E201" s="343"/>
      <c r="F201" s="354">
        <v>138</v>
      </c>
      <c r="G201" s="418">
        <v>463</v>
      </c>
      <c r="H201" s="1263" t="s">
        <v>103</v>
      </c>
      <c r="I201" s="1264"/>
      <c r="J201" s="1265"/>
      <c r="K201" s="849">
        <v>500000</v>
      </c>
      <c r="L201" s="849">
        <v>114635.29</v>
      </c>
      <c r="M201" s="849">
        <v>500000</v>
      </c>
      <c r="N201" s="340">
        <v>0</v>
      </c>
      <c r="O201" s="395">
        <v>0</v>
      </c>
      <c r="P201" s="395">
        <v>0</v>
      </c>
      <c r="Q201" s="398">
        <v>0</v>
      </c>
      <c r="R201" s="395">
        <v>0</v>
      </c>
      <c r="S201" s="398">
        <v>0</v>
      </c>
      <c r="T201" s="398">
        <f t="shared" si="62"/>
        <v>0</v>
      </c>
      <c r="U201" s="818">
        <f aca="true" t="shared" si="63" ref="U201:U268">M201+N201+O201+P201+Q201+R201+S201</f>
        <v>500000</v>
      </c>
      <c r="V201" s="591">
        <f t="shared" si="47"/>
        <v>500000</v>
      </c>
      <c r="W201" s="818">
        <f t="shared" si="48"/>
        <v>500000</v>
      </c>
    </row>
    <row r="202" spans="2:23" s="342" customFormat="1" ht="12.75">
      <c r="B202" s="336"/>
      <c r="C202" s="343"/>
      <c r="D202" s="338"/>
      <c r="E202" s="343"/>
      <c r="F202" s="354">
        <v>139</v>
      </c>
      <c r="G202" s="418">
        <v>463</v>
      </c>
      <c r="H202" s="1263" t="s">
        <v>104</v>
      </c>
      <c r="I202" s="1264"/>
      <c r="J202" s="1265"/>
      <c r="K202" s="849">
        <v>940000</v>
      </c>
      <c r="L202" s="849">
        <v>450945.9</v>
      </c>
      <c r="M202" s="849">
        <v>940000</v>
      </c>
      <c r="N202" s="340">
        <v>0</v>
      </c>
      <c r="O202" s="395">
        <v>0</v>
      </c>
      <c r="P202" s="395">
        <v>0</v>
      </c>
      <c r="Q202" s="398">
        <v>0</v>
      </c>
      <c r="R202" s="395">
        <v>0</v>
      </c>
      <c r="S202" s="398">
        <v>0</v>
      </c>
      <c r="T202" s="398">
        <f t="shared" si="62"/>
        <v>0</v>
      </c>
      <c r="U202" s="818">
        <f t="shared" si="63"/>
        <v>940000</v>
      </c>
      <c r="V202" s="591">
        <f t="shared" si="47"/>
        <v>940000</v>
      </c>
      <c r="W202" s="818">
        <f t="shared" si="48"/>
        <v>940000</v>
      </c>
    </row>
    <row r="203" spans="2:23" s="342" customFormat="1" ht="12.75">
      <c r="B203" s="336"/>
      <c r="C203" s="343"/>
      <c r="D203" s="338"/>
      <c r="E203" s="343"/>
      <c r="F203" s="354">
        <v>140</v>
      </c>
      <c r="G203" s="418">
        <v>463</v>
      </c>
      <c r="H203" s="1263" t="s">
        <v>105</v>
      </c>
      <c r="I203" s="1264"/>
      <c r="J203" s="1265"/>
      <c r="K203" s="849">
        <v>15000</v>
      </c>
      <c r="L203" s="849">
        <v>0</v>
      </c>
      <c r="M203" s="849">
        <v>15000</v>
      </c>
      <c r="N203" s="340">
        <v>0</v>
      </c>
      <c r="O203" s="395">
        <v>0</v>
      </c>
      <c r="P203" s="395">
        <v>0</v>
      </c>
      <c r="Q203" s="398">
        <v>0</v>
      </c>
      <c r="R203" s="395">
        <v>0</v>
      </c>
      <c r="S203" s="398">
        <v>0</v>
      </c>
      <c r="T203" s="398">
        <f t="shared" si="62"/>
        <v>0</v>
      </c>
      <c r="U203" s="818">
        <f t="shared" si="63"/>
        <v>15000</v>
      </c>
      <c r="V203" s="591">
        <f aca="true" t="shared" si="64" ref="V203:V266">U203</f>
        <v>15000</v>
      </c>
      <c r="W203" s="818">
        <f aca="true" t="shared" si="65" ref="W203:W266">U203</f>
        <v>15000</v>
      </c>
    </row>
    <row r="204" spans="2:23" s="342" customFormat="1" ht="12.75">
      <c r="B204" s="336"/>
      <c r="C204" s="343"/>
      <c r="D204" s="338"/>
      <c r="E204" s="343"/>
      <c r="F204" s="354">
        <v>141</v>
      </c>
      <c r="G204" s="418">
        <v>463</v>
      </c>
      <c r="H204" s="366" t="s">
        <v>106</v>
      </c>
      <c r="I204" s="419"/>
      <c r="J204" s="420"/>
      <c r="K204" s="850">
        <v>65000</v>
      </c>
      <c r="L204" s="850">
        <v>0</v>
      </c>
      <c r="M204" s="850">
        <v>65000</v>
      </c>
      <c r="N204" s="340">
        <v>0</v>
      </c>
      <c r="O204" s="395">
        <v>0</v>
      </c>
      <c r="P204" s="395">
        <v>0</v>
      </c>
      <c r="Q204" s="398">
        <v>0</v>
      </c>
      <c r="R204" s="395">
        <v>0</v>
      </c>
      <c r="S204" s="398">
        <v>0</v>
      </c>
      <c r="T204" s="398">
        <f t="shared" si="62"/>
        <v>0</v>
      </c>
      <c r="U204" s="818">
        <f t="shared" si="63"/>
        <v>65000</v>
      </c>
      <c r="V204" s="591">
        <f t="shared" si="64"/>
        <v>65000</v>
      </c>
      <c r="W204" s="818">
        <f t="shared" si="65"/>
        <v>65000</v>
      </c>
    </row>
    <row r="205" spans="2:23" s="668" customFormat="1" ht="12.75">
      <c r="B205" s="617"/>
      <c r="C205" s="618"/>
      <c r="D205" s="594"/>
      <c r="E205" s="593" t="s">
        <v>1524</v>
      </c>
      <c r="F205" s="594"/>
      <c r="G205" s="595"/>
      <c r="H205" s="1293" t="s">
        <v>288</v>
      </c>
      <c r="I205" s="1294"/>
      <c r="J205" s="1294"/>
      <c r="K205" s="994">
        <f>K206+K224+K232+K240+K244</f>
        <v>49204000</v>
      </c>
      <c r="L205" s="994">
        <f>L206+L224+L232+L240</f>
        <v>17322277.48</v>
      </c>
      <c r="M205" s="994">
        <f>M206+M224+M232+M240+M244</f>
        <v>58441300</v>
      </c>
      <c r="N205" s="619">
        <f>N206+N224+N232+N240+N244</f>
        <v>0</v>
      </c>
      <c r="O205" s="619">
        <f>O206+O224+O232+O240+O244</f>
        <v>0</v>
      </c>
      <c r="P205" s="619">
        <f>P206+P224+P232+P240+P244</f>
        <v>4056580</v>
      </c>
      <c r="Q205" s="619">
        <f>Q206+Q224+Q232+Q240+Q39</f>
        <v>0</v>
      </c>
      <c r="R205" s="619">
        <f>R206+R224+R232+R240+R244</f>
        <v>0</v>
      </c>
      <c r="S205" s="619">
        <f>S206+S224+S232+S240</f>
        <v>0</v>
      </c>
      <c r="T205" s="620">
        <f t="shared" si="62"/>
        <v>4056580</v>
      </c>
      <c r="U205" s="1027">
        <f>M205+N205+O205+P205+Q205+R205+S205</f>
        <v>62497880</v>
      </c>
      <c r="V205" s="822">
        <f t="shared" si="64"/>
        <v>62497880</v>
      </c>
      <c r="W205" s="822">
        <f t="shared" si="65"/>
        <v>62497880</v>
      </c>
    </row>
    <row r="206" spans="2:23" ht="28.5" customHeight="1">
      <c r="B206" s="270"/>
      <c r="C206" s="271"/>
      <c r="D206" s="412"/>
      <c r="E206" s="332" t="s">
        <v>1525</v>
      </c>
      <c r="F206" s="412"/>
      <c r="G206" s="413"/>
      <c r="H206" s="1260" t="s">
        <v>1293</v>
      </c>
      <c r="I206" s="1261"/>
      <c r="J206" s="1261"/>
      <c r="K206" s="984">
        <f aca="true" t="shared" si="66" ref="K206:S206">K207</f>
        <v>6462000</v>
      </c>
      <c r="L206" s="984">
        <f t="shared" si="66"/>
        <v>2098912.3200000003</v>
      </c>
      <c r="M206" s="984">
        <f t="shared" si="66"/>
        <v>7069300</v>
      </c>
      <c r="N206" s="276">
        <f t="shared" si="66"/>
        <v>0</v>
      </c>
      <c r="O206" s="276">
        <f t="shared" si="66"/>
        <v>0</v>
      </c>
      <c r="P206" s="276">
        <f t="shared" si="66"/>
        <v>0</v>
      </c>
      <c r="Q206" s="276">
        <f t="shared" si="66"/>
        <v>0</v>
      </c>
      <c r="R206" s="276">
        <f t="shared" si="66"/>
        <v>0</v>
      </c>
      <c r="S206" s="276">
        <f t="shared" si="66"/>
        <v>0</v>
      </c>
      <c r="T206" s="321">
        <f t="shared" si="62"/>
        <v>0</v>
      </c>
      <c r="U206" s="819">
        <f t="shared" si="63"/>
        <v>7069300</v>
      </c>
      <c r="V206" s="635">
        <f t="shared" si="64"/>
        <v>7069300</v>
      </c>
      <c r="W206" s="635">
        <f t="shared" si="65"/>
        <v>7069300</v>
      </c>
    </row>
    <row r="207" spans="2:23" ht="12.75">
      <c r="B207" s="414"/>
      <c r="C207" s="415"/>
      <c r="D207" s="167" t="s">
        <v>21</v>
      </c>
      <c r="E207" s="58"/>
      <c r="F207" s="416"/>
      <c r="G207" s="417"/>
      <c r="H207" s="1296" t="s">
        <v>110</v>
      </c>
      <c r="I207" s="1297"/>
      <c r="J207" s="1298"/>
      <c r="K207" s="727">
        <f>SUM(K208:K223)</f>
        <v>6462000</v>
      </c>
      <c r="L207" s="727">
        <f>SUM(L208:L223)</f>
        <v>2098912.3200000003</v>
      </c>
      <c r="M207" s="727">
        <f>M208+M209+M210+M211+M212+M213+M214+M215+M216+M217+M218+M219+M220+M221+M222+M223</f>
        <v>7069300</v>
      </c>
      <c r="N207" s="65">
        <f aca="true" t="shared" si="67" ref="N207:S207">SUM(N208:N223)</f>
        <v>0</v>
      </c>
      <c r="O207" s="65">
        <f t="shared" si="67"/>
        <v>0</v>
      </c>
      <c r="P207" s="65">
        <f t="shared" si="67"/>
        <v>0</v>
      </c>
      <c r="Q207" s="65">
        <f t="shared" si="67"/>
        <v>0</v>
      </c>
      <c r="R207" s="65">
        <f t="shared" si="67"/>
        <v>0</v>
      </c>
      <c r="S207" s="65">
        <f t="shared" si="67"/>
        <v>0</v>
      </c>
      <c r="T207" s="325">
        <f t="shared" si="62"/>
        <v>0</v>
      </c>
      <c r="U207" s="1048">
        <f t="shared" si="63"/>
        <v>7069300</v>
      </c>
      <c r="V207" s="811">
        <f t="shared" si="64"/>
        <v>7069300</v>
      </c>
      <c r="W207" s="1048">
        <f t="shared" si="65"/>
        <v>7069300</v>
      </c>
    </row>
    <row r="208" spans="2:23" s="342" customFormat="1" ht="12.75">
      <c r="B208" s="336"/>
      <c r="C208" s="343"/>
      <c r="D208" s="338"/>
      <c r="E208" s="343"/>
      <c r="F208" s="354">
        <v>142</v>
      </c>
      <c r="G208" s="428">
        <v>463</v>
      </c>
      <c r="H208" s="1257" t="s">
        <v>111</v>
      </c>
      <c r="I208" s="1258"/>
      <c r="J208" s="1259"/>
      <c r="K208" s="723">
        <v>1272000</v>
      </c>
      <c r="L208" s="723">
        <v>317402.59</v>
      </c>
      <c r="M208" s="723">
        <v>1432000</v>
      </c>
      <c r="N208" s="340">
        <v>0</v>
      </c>
      <c r="O208" s="395">
        <v>0</v>
      </c>
      <c r="P208" s="395">
        <v>0</v>
      </c>
      <c r="Q208" s="398">
        <v>0</v>
      </c>
      <c r="R208" s="395">
        <v>0</v>
      </c>
      <c r="S208" s="398">
        <v>0</v>
      </c>
      <c r="T208" s="398">
        <f t="shared" si="62"/>
        <v>0</v>
      </c>
      <c r="U208" s="818">
        <f t="shared" si="63"/>
        <v>1432000</v>
      </c>
      <c r="V208" s="591">
        <f t="shared" si="64"/>
        <v>1432000</v>
      </c>
      <c r="W208" s="818">
        <f t="shared" si="65"/>
        <v>1432000</v>
      </c>
    </row>
    <row r="209" spans="2:23" s="342" customFormat="1" ht="12.75">
      <c r="B209" s="336"/>
      <c r="C209" s="343"/>
      <c r="D209" s="338"/>
      <c r="E209" s="343"/>
      <c r="F209" s="354">
        <v>143</v>
      </c>
      <c r="G209" s="428">
        <v>463</v>
      </c>
      <c r="H209" s="1257" t="s">
        <v>112</v>
      </c>
      <c r="I209" s="1258"/>
      <c r="J209" s="1259"/>
      <c r="K209" s="723">
        <v>217000</v>
      </c>
      <c r="L209" s="723">
        <v>51260.51</v>
      </c>
      <c r="M209" s="723">
        <v>232000</v>
      </c>
      <c r="N209" s="340">
        <v>0</v>
      </c>
      <c r="O209" s="395">
        <v>0</v>
      </c>
      <c r="P209" s="395">
        <v>0</v>
      </c>
      <c r="Q209" s="398">
        <v>0</v>
      </c>
      <c r="R209" s="395">
        <v>0</v>
      </c>
      <c r="S209" s="398">
        <v>0</v>
      </c>
      <c r="T209" s="398">
        <f t="shared" si="62"/>
        <v>0</v>
      </c>
      <c r="U209" s="818">
        <f t="shared" si="63"/>
        <v>232000</v>
      </c>
      <c r="V209" s="591">
        <f t="shared" si="64"/>
        <v>232000</v>
      </c>
      <c r="W209" s="818">
        <f t="shared" si="65"/>
        <v>232000</v>
      </c>
    </row>
    <row r="210" spans="2:23" s="342" customFormat="1" ht="12.75">
      <c r="B210" s="336"/>
      <c r="C210" s="343"/>
      <c r="D210" s="338"/>
      <c r="E210" s="343"/>
      <c r="F210" s="354">
        <v>144</v>
      </c>
      <c r="G210" s="428">
        <v>463</v>
      </c>
      <c r="H210" s="334" t="s">
        <v>216</v>
      </c>
      <c r="I210" s="426"/>
      <c r="J210" s="427"/>
      <c r="K210" s="723">
        <v>1000</v>
      </c>
      <c r="L210" s="723">
        <v>0</v>
      </c>
      <c r="M210" s="723">
        <v>23300</v>
      </c>
      <c r="N210" s="340">
        <v>0</v>
      </c>
      <c r="O210" s="395">
        <v>0</v>
      </c>
      <c r="P210" s="395">
        <v>0</v>
      </c>
      <c r="Q210" s="398">
        <v>0</v>
      </c>
      <c r="R210" s="395">
        <v>0</v>
      </c>
      <c r="S210" s="398">
        <v>0</v>
      </c>
      <c r="T210" s="398">
        <f t="shared" si="62"/>
        <v>0</v>
      </c>
      <c r="U210" s="818">
        <f t="shared" si="63"/>
        <v>23300</v>
      </c>
      <c r="V210" s="591">
        <f t="shared" si="64"/>
        <v>23300</v>
      </c>
      <c r="W210" s="818">
        <f t="shared" si="65"/>
        <v>23300</v>
      </c>
    </row>
    <row r="211" spans="2:23" s="342" customFormat="1" ht="12" customHeight="1">
      <c r="B211" s="336"/>
      <c r="C211" s="343"/>
      <c r="D211" s="338"/>
      <c r="E211" s="343"/>
      <c r="F211" s="354">
        <v>145</v>
      </c>
      <c r="G211" s="428">
        <v>463</v>
      </c>
      <c r="H211" s="1257" t="s">
        <v>98</v>
      </c>
      <c r="I211" s="1258"/>
      <c r="J211" s="1259"/>
      <c r="K211" s="723">
        <v>310000</v>
      </c>
      <c r="L211" s="723">
        <v>46499.95</v>
      </c>
      <c r="M211" s="723">
        <v>310000</v>
      </c>
      <c r="N211" s="340">
        <v>0</v>
      </c>
      <c r="O211" s="395">
        <v>0</v>
      </c>
      <c r="P211" s="395">
        <v>0</v>
      </c>
      <c r="Q211" s="398">
        <v>0</v>
      </c>
      <c r="R211" s="395">
        <v>0</v>
      </c>
      <c r="S211" s="398">
        <v>0</v>
      </c>
      <c r="T211" s="398">
        <f t="shared" si="62"/>
        <v>0</v>
      </c>
      <c r="U211" s="818">
        <f t="shared" si="63"/>
        <v>310000</v>
      </c>
      <c r="V211" s="591">
        <f t="shared" si="64"/>
        <v>310000</v>
      </c>
      <c r="W211" s="818">
        <f t="shared" si="65"/>
        <v>310000</v>
      </c>
    </row>
    <row r="212" spans="2:23" s="342" customFormat="1" ht="12.75" customHeight="1">
      <c r="B212" s="336"/>
      <c r="C212" s="343"/>
      <c r="D212" s="338"/>
      <c r="E212" s="343"/>
      <c r="F212" s="354">
        <v>146</v>
      </c>
      <c r="G212" s="428">
        <v>463</v>
      </c>
      <c r="H212" s="1269" t="s">
        <v>99</v>
      </c>
      <c r="I212" s="1270"/>
      <c r="J212" s="1271"/>
      <c r="K212" s="723">
        <v>280000</v>
      </c>
      <c r="L212" s="723">
        <v>92498.73</v>
      </c>
      <c r="M212" s="723">
        <v>280000</v>
      </c>
      <c r="N212" s="340">
        <v>0</v>
      </c>
      <c r="O212" s="395">
        <v>0</v>
      </c>
      <c r="P212" s="395">
        <v>0</v>
      </c>
      <c r="Q212" s="398">
        <v>0</v>
      </c>
      <c r="R212" s="395">
        <v>0</v>
      </c>
      <c r="S212" s="398">
        <v>0</v>
      </c>
      <c r="T212" s="398">
        <f t="shared" si="62"/>
        <v>0</v>
      </c>
      <c r="U212" s="818">
        <f t="shared" si="63"/>
        <v>280000</v>
      </c>
      <c r="V212" s="591">
        <f t="shared" si="64"/>
        <v>280000</v>
      </c>
      <c r="W212" s="818">
        <f t="shared" si="65"/>
        <v>280000</v>
      </c>
    </row>
    <row r="213" spans="2:23" s="342" customFormat="1" ht="12.75" customHeight="1">
      <c r="B213" s="336"/>
      <c r="C213" s="343"/>
      <c r="D213" s="338"/>
      <c r="E213" s="343"/>
      <c r="F213" s="354">
        <v>147</v>
      </c>
      <c r="G213" s="428">
        <v>463</v>
      </c>
      <c r="H213" s="1269" t="s">
        <v>206</v>
      </c>
      <c r="I213" s="1270"/>
      <c r="J213" s="1271"/>
      <c r="K213" s="723">
        <v>80000</v>
      </c>
      <c r="L213" s="723">
        <v>4129.5</v>
      </c>
      <c r="M213" s="723">
        <v>60000</v>
      </c>
      <c r="N213" s="340">
        <v>0</v>
      </c>
      <c r="O213" s="395">
        <v>0</v>
      </c>
      <c r="P213" s="395">
        <v>0</v>
      </c>
      <c r="Q213" s="398">
        <v>0</v>
      </c>
      <c r="R213" s="395">
        <v>0</v>
      </c>
      <c r="S213" s="398">
        <v>0</v>
      </c>
      <c r="T213" s="398">
        <f t="shared" si="62"/>
        <v>0</v>
      </c>
      <c r="U213" s="818">
        <f t="shared" si="63"/>
        <v>60000</v>
      </c>
      <c r="V213" s="591">
        <f t="shared" si="64"/>
        <v>60000</v>
      </c>
      <c r="W213" s="818">
        <f t="shared" si="65"/>
        <v>60000</v>
      </c>
    </row>
    <row r="214" spans="2:23" s="342" customFormat="1" ht="12.75">
      <c r="B214" s="336"/>
      <c r="C214" s="343"/>
      <c r="D214" s="338"/>
      <c r="E214" s="343"/>
      <c r="F214" s="354">
        <v>148</v>
      </c>
      <c r="G214" s="428">
        <v>463</v>
      </c>
      <c r="H214" s="1257" t="s">
        <v>101</v>
      </c>
      <c r="I214" s="1258"/>
      <c r="J214" s="1259"/>
      <c r="K214" s="723">
        <v>2350000</v>
      </c>
      <c r="L214" s="723">
        <v>1079330.6400000001</v>
      </c>
      <c r="M214" s="723">
        <v>2410000</v>
      </c>
      <c r="N214" s="340">
        <v>0</v>
      </c>
      <c r="O214" s="395">
        <v>0</v>
      </c>
      <c r="P214" s="395">
        <v>0</v>
      </c>
      <c r="Q214" s="398">
        <v>0</v>
      </c>
      <c r="R214" s="395">
        <v>0</v>
      </c>
      <c r="S214" s="398">
        <v>0</v>
      </c>
      <c r="T214" s="398">
        <f t="shared" si="62"/>
        <v>0</v>
      </c>
      <c r="U214" s="818">
        <f t="shared" si="63"/>
        <v>2410000</v>
      </c>
      <c r="V214" s="591">
        <f t="shared" si="64"/>
        <v>2410000</v>
      </c>
      <c r="W214" s="818">
        <f t="shared" si="65"/>
        <v>2410000</v>
      </c>
    </row>
    <row r="215" spans="2:23" s="342" customFormat="1" ht="12.75">
      <c r="B215" s="336"/>
      <c r="C215" s="343"/>
      <c r="D215" s="338"/>
      <c r="E215" s="343"/>
      <c r="F215" s="354">
        <v>149</v>
      </c>
      <c r="G215" s="428">
        <v>463</v>
      </c>
      <c r="H215" s="1257" t="s">
        <v>103</v>
      </c>
      <c r="I215" s="1258"/>
      <c r="J215" s="1259"/>
      <c r="K215" s="723">
        <v>70000</v>
      </c>
      <c r="L215" s="723">
        <v>12000</v>
      </c>
      <c r="M215" s="723">
        <v>70000</v>
      </c>
      <c r="N215" s="340">
        <v>0</v>
      </c>
      <c r="O215" s="395">
        <v>0</v>
      </c>
      <c r="P215" s="395">
        <v>0</v>
      </c>
      <c r="Q215" s="398">
        <v>0</v>
      </c>
      <c r="R215" s="395">
        <v>0</v>
      </c>
      <c r="S215" s="398">
        <v>0</v>
      </c>
      <c r="T215" s="398">
        <f t="shared" si="62"/>
        <v>0</v>
      </c>
      <c r="U215" s="818">
        <f t="shared" si="63"/>
        <v>70000</v>
      </c>
      <c r="V215" s="591">
        <f t="shared" si="64"/>
        <v>70000</v>
      </c>
      <c r="W215" s="818">
        <f t="shared" si="65"/>
        <v>70000</v>
      </c>
    </row>
    <row r="216" spans="2:23" s="342" customFormat="1" ht="12.75">
      <c r="B216" s="336"/>
      <c r="C216" s="343"/>
      <c r="D216" s="338"/>
      <c r="E216" s="343"/>
      <c r="F216" s="354">
        <v>150</v>
      </c>
      <c r="G216" s="428">
        <v>463</v>
      </c>
      <c r="H216" s="1269" t="s">
        <v>104</v>
      </c>
      <c r="I216" s="1270"/>
      <c r="J216" s="1271"/>
      <c r="K216" s="723">
        <v>300000</v>
      </c>
      <c r="L216" s="723">
        <v>19026</v>
      </c>
      <c r="M216" s="723">
        <v>300000</v>
      </c>
      <c r="N216" s="340">
        <v>0</v>
      </c>
      <c r="O216" s="395">
        <v>0</v>
      </c>
      <c r="P216" s="395">
        <v>0</v>
      </c>
      <c r="Q216" s="398">
        <v>0</v>
      </c>
      <c r="R216" s="395">
        <v>0</v>
      </c>
      <c r="S216" s="398">
        <v>0</v>
      </c>
      <c r="T216" s="398">
        <f t="shared" si="62"/>
        <v>0</v>
      </c>
      <c r="U216" s="818">
        <f t="shared" si="63"/>
        <v>300000</v>
      </c>
      <c r="V216" s="591">
        <f t="shared" si="64"/>
        <v>300000</v>
      </c>
      <c r="W216" s="818">
        <f t="shared" si="65"/>
        <v>300000</v>
      </c>
    </row>
    <row r="217" spans="2:23" s="342" customFormat="1" ht="12.75">
      <c r="B217" s="336"/>
      <c r="C217" s="343"/>
      <c r="D217" s="338"/>
      <c r="E217" s="343"/>
      <c r="F217" s="354">
        <v>151</v>
      </c>
      <c r="G217" s="428">
        <v>463</v>
      </c>
      <c r="H217" s="1257" t="s">
        <v>1372</v>
      </c>
      <c r="I217" s="1258"/>
      <c r="J217" s="1259"/>
      <c r="K217" s="723">
        <v>600000</v>
      </c>
      <c r="L217" s="723">
        <v>180357.96000000002</v>
      </c>
      <c r="M217" s="723">
        <v>600000</v>
      </c>
      <c r="N217" s="340">
        <v>0</v>
      </c>
      <c r="O217" s="395">
        <v>0</v>
      </c>
      <c r="P217" s="395">
        <v>0</v>
      </c>
      <c r="Q217" s="398">
        <v>0</v>
      </c>
      <c r="R217" s="395">
        <v>0</v>
      </c>
      <c r="S217" s="398">
        <v>0</v>
      </c>
      <c r="T217" s="398">
        <f t="shared" si="62"/>
        <v>0</v>
      </c>
      <c r="U217" s="818">
        <f t="shared" si="63"/>
        <v>600000</v>
      </c>
      <c r="V217" s="591">
        <f t="shared" si="64"/>
        <v>600000</v>
      </c>
      <c r="W217" s="818">
        <f t="shared" si="65"/>
        <v>600000</v>
      </c>
    </row>
    <row r="218" spans="2:23" s="342" customFormat="1" ht="12.75">
      <c r="B218" s="336"/>
      <c r="C218" s="343"/>
      <c r="D218" s="338"/>
      <c r="E218" s="343"/>
      <c r="F218" s="354">
        <v>152</v>
      </c>
      <c r="G218" s="428">
        <v>463</v>
      </c>
      <c r="H218" s="1257" t="s">
        <v>1381</v>
      </c>
      <c r="I218" s="1258"/>
      <c r="J218" s="1259"/>
      <c r="K218" s="723">
        <v>100000</v>
      </c>
      <c r="L218" s="723">
        <v>21406.44</v>
      </c>
      <c r="M218" s="723">
        <v>100000</v>
      </c>
      <c r="N218" s="340">
        <v>0</v>
      </c>
      <c r="O218" s="395">
        <v>0</v>
      </c>
      <c r="P218" s="395">
        <v>0</v>
      </c>
      <c r="Q218" s="398">
        <v>0</v>
      </c>
      <c r="R218" s="395">
        <v>0</v>
      </c>
      <c r="S218" s="398">
        <v>0</v>
      </c>
      <c r="T218" s="398">
        <f t="shared" si="62"/>
        <v>0</v>
      </c>
      <c r="U218" s="818">
        <f t="shared" si="63"/>
        <v>100000</v>
      </c>
      <c r="V218" s="591">
        <f t="shared" si="64"/>
        <v>100000</v>
      </c>
      <c r="W218" s="818">
        <f t="shared" si="65"/>
        <v>100000</v>
      </c>
    </row>
    <row r="219" spans="2:23" s="342" customFormat="1" ht="12.75">
      <c r="B219" s="336"/>
      <c r="C219" s="343"/>
      <c r="D219" s="338"/>
      <c r="E219" s="343"/>
      <c r="F219" s="354">
        <v>153</v>
      </c>
      <c r="G219" s="428">
        <v>463</v>
      </c>
      <c r="H219" s="1257" t="s">
        <v>1382</v>
      </c>
      <c r="I219" s="1258"/>
      <c r="J219" s="1259"/>
      <c r="K219" s="723">
        <v>700000</v>
      </c>
      <c r="L219" s="723">
        <v>275000</v>
      </c>
      <c r="M219" s="723">
        <v>1100000</v>
      </c>
      <c r="N219" s="340">
        <v>0</v>
      </c>
      <c r="O219" s="395">
        <v>0</v>
      </c>
      <c r="P219" s="395">
        <v>0</v>
      </c>
      <c r="Q219" s="398">
        <v>0</v>
      </c>
      <c r="R219" s="395">
        <v>0</v>
      </c>
      <c r="S219" s="398">
        <v>0</v>
      </c>
      <c r="T219" s="398">
        <f t="shared" si="62"/>
        <v>0</v>
      </c>
      <c r="U219" s="818">
        <f t="shared" si="63"/>
        <v>1100000</v>
      </c>
      <c r="V219" s="591">
        <f t="shared" si="64"/>
        <v>1100000</v>
      </c>
      <c r="W219" s="818">
        <f t="shared" si="65"/>
        <v>1100000</v>
      </c>
    </row>
    <row r="220" spans="2:23" s="342" customFormat="1" ht="12.75">
      <c r="B220" s="336"/>
      <c r="C220" s="343"/>
      <c r="D220" s="338"/>
      <c r="E220" s="343"/>
      <c r="F220" s="354">
        <v>154</v>
      </c>
      <c r="G220" s="428">
        <v>463</v>
      </c>
      <c r="H220" s="1257" t="s">
        <v>105</v>
      </c>
      <c r="I220" s="1258"/>
      <c r="J220" s="1259"/>
      <c r="K220" s="723">
        <v>50000</v>
      </c>
      <c r="L220" s="723">
        <v>0</v>
      </c>
      <c r="M220" s="723">
        <v>20000</v>
      </c>
      <c r="N220" s="340">
        <v>0</v>
      </c>
      <c r="O220" s="395">
        <v>0</v>
      </c>
      <c r="P220" s="395">
        <v>0</v>
      </c>
      <c r="Q220" s="398">
        <v>0</v>
      </c>
      <c r="R220" s="395">
        <v>0</v>
      </c>
      <c r="S220" s="398">
        <v>0</v>
      </c>
      <c r="T220" s="398">
        <f t="shared" si="62"/>
        <v>0</v>
      </c>
      <c r="U220" s="818">
        <f t="shared" si="63"/>
        <v>20000</v>
      </c>
      <c r="V220" s="591">
        <f t="shared" si="64"/>
        <v>20000</v>
      </c>
      <c r="W220" s="818">
        <f t="shared" si="65"/>
        <v>20000</v>
      </c>
    </row>
    <row r="221" spans="2:23" s="342" customFormat="1" ht="12.75">
      <c r="B221" s="336"/>
      <c r="C221" s="343"/>
      <c r="D221" s="338"/>
      <c r="E221" s="343"/>
      <c r="F221" s="354">
        <v>155</v>
      </c>
      <c r="G221" s="428">
        <v>463</v>
      </c>
      <c r="H221" s="1257" t="s">
        <v>1309</v>
      </c>
      <c r="I221" s="1258"/>
      <c r="J221" s="1259"/>
      <c r="K221" s="723">
        <v>1000</v>
      </c>
      <c r="L221" s="723">
        <v>0</v>
      </c>
      <c r="M221" s="723">
        <v>1000</v>
      </c>
      <c r="N221" s="340">
        <v>0</v>
      </c>
      <c r="O221" s="395">
        <v>0</v>
      </c>
      <c r="P221" s="395">
        <v>0</v>
      </c>
      <c r="Q221" s="398">
        <v>0</v>
      </c>
      <c r="R221" s="395">
        <v>0</v>
      </c>
      <c r="S221" s="398">
        <v>0</v>
      </c>
      <c r="T221" s="398">
        <f t="shared" si="62"/>
        <v>0</v>
      </c>
      <c r="U221" s="818">
        <f t="shared" si="63"/>
        <v>1000</v>
      </c>
      <c r="V221" s="591">
        <f t="shared" si="64"/>
        <v>1000</v>
      </c>
      <c r="W221" s="818">
        <f t="shared" si="65"/>
        <v>1000</v>
      </c>
    </row>
    <row r="222" spans="2:23" s="342" customFormat="1" ht="12.75">
      <c r="B222" s="336"/>
      <c r="C222" s="343"/>
      <c r="D222" s="338"/>
      <c r="E222" s="343"/>
      <c r="F222" s="354">
        <v>156</v>
      </c>
      <c r="G222" s="428">
        <v>463</v>
      </c>
      <c r="H222" s="524" t="s">
        <v>1476</v>
      </c>
      <c r="I222" s="697"/>
      <c r="J222" s="698"/>
      <c r="K222" s="871">
        <v>1000</v>
      </c>
      <c r="L222" s="871">
        <v>0</v>
      </c>
      <c r="M222" s="871">
        <v>1000</v>
      </c>
      <c r="N222" s="340">
        <v>0</v>
      </c>
      <c r="O222" s="395">
        <v>0</v>
      </c>
      <c r="P222" s="395">
        <v>0</v>
      </c>
      <c r="Q222" s="398">
        <v>0</v>
      </c>
      <c r="R222" s="395">
        <v>0</v>
      </c>
      <c r="S222" s="398">
        <v>0</v>
      </c>
      <c r="T222" s="401">
        <f t="shared" si="62"/>
        <v>0</v>
      </c>
      <c r="U222" s="818">
        <f t="shared" si="63"/>
        <v>1000</v>
      </c>
      <c r="V222" s="591">
        <f t="shared" si="64"/>
        <v>1000</v>
      </c>
      <c r="W222" s="818">
        <f t="shared" si="65"/>
        <v>1000</v>
      </c>
    </row>
    <row r="223" spans="2:23" s="342" customFormat="1" ht="12.75">
      <c r="B223" s="336"/>
      <c r="C223" s="343"/>
      <c r="D223" s="338"/>
      <c r="E223" s="343"/>
      <c r="F223" s="354">
        <v>157</v>
      </c>
      <c r="G223" s="428">
        <v>463</v>
      </c>
      <c r="H223" s="1351" t="s">
        <v>106</v>
      </c>
      <c r="I223" s="1332"/>
      <c r="J223" s="1352"/>
      <c r="K223" s="871">
        <v>130000</v>
      </c>
      <c r="L223" s="871">
        <v>0</v>
      </c>
      <c r="M223" s="871">
        <v>130000</v>
      </c>
      <c r="N223" s="340">
        <v>0</v>
      </c>
      <c r="O223" s="395">
        <v>0</v>
      </c>
      <c r="P223" s="395">
        <v>0</v>
      </c>
      <c r="Q223" s="398">
        <v>0</v>
      </c>
      <c r="R223" s="395">
        <v>0</v>
      </c>
      <c r="S223" s="398">
        <v>0</v>
      </c>
      <c r="T223" s="401">
        <f t="shared" si="62"/>
        <v>0</v>
      </c>
      <c r="U223" s="818">
        <f t="shared" si="63"/>
        <v>130000</v>
      </c>
      <c r="V223" s="591">
        <f t="shared" si="64"/>
        <v>130000</v>
      </c>
      <c r="W223" s="818">
        <f t="shared" si="65"/>
        <v>130000</v>
      </c>
    </row>
    <row r="224" spans="2:23" ht="26.25" customHeight="1">
      <c r="B224" s="270"/>
      <c r="C224" s="271"/>
      <c r="D224" s="412"/>
      <c r="E224" s="332" t="s">
        <v>1526</v>
      </c>
      <c r="F224" s="412"/>
      <c r="G224" s="413"/>
      <c r="H224" s="1260" t="s">
        <v>1296</v>
      </c>
      <c r="I224" s="1261"/>
      <c r="J224" s="1262"/>
      <c r="K224" s="977">
        <f aca="true" t="shared" si="68" ref="K224:S224">K225</f>
        <v>19072000</v>
      </c>
      <c r="L224" s="977">
        <f t="shared" si="68"/>
        <v>10037402.700000001</v>
      </c>
      <c r="M224" s="977">
        <f t="shared" si="68"/>
        <v>22152000</v>
      </c>
      <c r="N224" s="276">
        <f t="shared" si="68"/>
        <v>0</v>
      </c>
      <c r="O224" s="276">
        <f t="shared" si="68"/>
        <v>0</v>
      </c>
      <c r="P224" s="276">
        <f t="shared" si="68"/>
        <v>0</v>
      </c>
      <c r="Q224" s="276">
        <f t="shared" si="68"/>
        <v>0</v>
      </c>
      <c r="R224" s="276">
        <f t="shared" si="68"/>
        <v>0</v>
      </c>
      <c r="S224" s="321">
        <f t="shared" si="68"/>
        <v>0</v>
      </c>
      <c r="T224" s="321">
        <f t="shared" si="62"/>
        <v>0</v>
      </c>
      <c r="U224" s="819">
        <f t="shared" si="63"/>
        <v>22152000</v>
      </c>
      <c r="V224" s="816">
        <f t="shared" si="64"/>
        <v>22152000</v>
      </c>
      <c r="W224" s="635">
        <f t="shared" si="65"/>
        <v>22152000</v>
      </c>
    </row>
    <row r="225" spans="2:23" s="23" customFormat="1" ht="12.75">
      <c r="B225" s="529"/>
      <c r="C225" s="530"/>
      <c r="D225" s="167" t="s">
        <v>21</v>
      </c>
      <c r="E225" s="58"/>
      <c r="F225" s="531"/>
      <c r="G225" s="532"/>
      <c r="H225" s="73" t="s">
        <v>110</v>
      </c>
      <c r="I225" s="74"/>
      <c r="J225" s="688"/>
      <c r="K225" s="168">
        <f aca="true" t="shared" si="69" ref="K225:S225">SUM(K226:K231)</f>
        <v>19072000</v>
      </c>
      <c r="L225" s="168">
        <f t="shared" si="69"/>
        <v>10037402.700000001</v>
      </c>
      <c r="M225" s="727">
        <f t="shared" si="69"/>
        <v>22152000</v>
      </c>
      <c r="N225" s="533">
        <f t="shared" si="69"/>
        <v>0</v>
      </c>
      <c r="O225" s="533">
        <f t="shared" si="69"/>
        <v>0</v>
      </c>
      <c r="P225" s="533">
        <f t="shared" si="69"/>
        <v>0</v>
      </c>
      <c r="Q225" s="533">
        <f t="shared" si="69"/>
        <v>0</v>
      </c>
      <c r="R225" s="533">
        <f t="shared" si="69"/>
        <v>0</v>
      </c>
      <c r="S225" s="533">
        <f t="shared" si="69"/>
        <v>0</v>
      </c>
      <c r="T225" s="800">
        <f t="shared" si="62"/>
        <v>0</v>
      </c>
      <c r="U225" s="1048">
        <f t="shared" si="63"/>
        <v>22152000</v>
      </c>
      <c r="V225" s="811">
        <f t="shared" si="64"/>
        <v>22152000</v>
      </c>
      <c r="W225" s="1048">
        <f t="shared" si="65"/>
        <v>22152000</v>
      </c>
    </row>
    <row r="226" spans="2:23" s="342" customFormat="1" ht="12.75">
      <c r="B226" s="336"/>
      <c r="C226" s="343"/>
      <c r="D226" s="338"/>
      <c r="E226" s="343"/>
      <c r="F226" s="348" t="s">
        <v>1558</v>
      </c>
      <c r="G226" s="428">
        <v>463</v>
      </c>
      <c r="H226" s="1269" t="s">
        <v>1345</v>
      </c>
      <c r="I226" s="1270"/>
      <c r="J226" s="1271"/>
      <c r="K226" s="723">
        <v>608000</v>
      </c>
      <c r="L226" s="723">
        <v>140767.52000000002</v>
      </c>
      <c r="M226" s="723">
        <v>608000</v>
      </c>
      <c r="N226" s="340">
        <v>0</v>
      </c>
      <c r="O226" s="395">
        <v>0</v>
      </c>
      <c r="P226" s="395">
        <v>0</v>
      </c>
      <c r="Q226" s="395">
        <v>0</v>
      </c>
      <c r="R226" s="395">
        <v>0</v>
      </c>
      <c r="S226" s="398">
        <v>0</v>
      </c>
      <c r="T226" s="401">
        <f t="shared" si="62"/>
        <v>0</v>
      </c>
      <c r="U226" s="818">
        <f t="shared" si="63"/>
        <v>608000</v>
      </c>
      <c r="V226" s="591">
        <f t="shared" si="64"/>
        <v>608000</v>
      </c>
      <c r="W226" s="818">
        <f t="shared" si="65"/>
        <v>608000</v>
      </c>
    </row>
    <row r="227" spans="2:23" s="494" customFormat="1" ht="12.75">
      <c r="B227" s="495"/>
      <c r="C227" s="436"/>
      <c r="D227" s="496"/>
      <c r="E227" s="436"/>
      <c r="F227" s="348" t="s">
        <v>1489</v>
      </c>
      <c r="G227" s="418">
        <v>463</v>
      </c>
      <c r="H227" s="1269" t="s">
        <v>1346</v>
      </c>
      <c r="I227" s="1270"/>
      <c r="J227" s="1271"/>
      <c r="K227" s="723">
        <v>17065000</v>
      </c>
      <c r="L227" s="723">
        <v>9599445.14</v>
      </c>
      <c r="M227" s="723">
        <v>20365000</v>
      </c>
      <c r="N227" s="340">
        <v>0</v>
      </c>
      <c r="O227" s="497">
        <v>0</v>
      </c>
      <c r="P227" s="395">
        <v>0</v>
      </c>
      <c r="Q227" s="395">
        <v>0</v>
      </c>
      <c r="R227" s="395">
        <v>0</v>
      </c>
      <c r="S227" s="400">
        <v>0</v>
      </c>
      <c r="T227" s="498">
        <f t="shared" si="62"/>
        <v>0</v>
      </c>
      <c r="U227" s="818">
        <f t="shared" si="63"/>
        <v>20365000</v>
      </c>
      <c r="V227" s="814">
        <f t="shared" si="64"/>
        <v>20365000</v>
      </c>
      <c r="W227" s="818">
        <f t="shared" si="65"/>
        <v>20365000</v>
      </c>
    </row>
    <row r="228" spans="2:23" s="494" customFormat="1" ht="12.75">
      <c r="B228" s="495"/>
      <c r="C228" s="436"/>
      <c r="D228" s="496"/>
      <c r="E228" s="436"/>
      <c r="F228" s="348" t="s">
        <v>273</v>
      </c>
      <c r="G228" s="418">
        <v>463</v>
      </c>
      <c r="H228" s="386" t="s">
        <v>102</v>
      </c>
      <c r="I228" s="423"/>
      <c r="J228" s="424"/>
      <c r="K228" s="723">
        <v>420000</v>
      </c>
      <c r="L228" s="723">
        <v>44460</v>
      </c>
      <c r="M228" s="723">
        <v>200000</v>
      </c>
      <c r="N228" s="340">
        <v>0</v>
      </c>
      <c r="O228" s="497">
        <v>0</v>
      </c>
      <c r="P228" s="395">
        <v>0</v>
      </c>
      <c r="Q228" s="514">
        <v>0</v>
      </c>
      <c r="R228" s="514">
        <v>0</v>
      </c>
      <c r="S228" s="978">
        <v>0</v>
      </c>
      <c r="T228" s="498">
        <f t="shared" si="62"/>
        <v>0</v>
      </c>
      <c r="U228" s="818">
        <f t="shared" si="63"/>
        <v>200000</v>
      </c>
      <c r="V228" s="814">
        <f t="shared" si="64"/>
        <v>200000</v>
      </c>
      <c r="W228" s="818">
        <f t="shared" si="65"/>
        <v>200000</v>
      </c>
    </row>
    <row r="229" spans="2:23" s="342" customFormat="1" ht="12.75">
      <c r="B229" s="336"/>
      <c r="C229" s="343"/>
      <c r="D229" s="338"/>
      <c r="E229" s="343"/>
      <c r="F229" s="348" t="s">
        <v>1490</v>
      </c>
      <c r="G229" s="428">
        <v>463</v>
      </c>
      <c r="H229" s="1269" t="s">
        <v>1347</v>
      </c>
      <c r="I229" s="1270"/>
      <c r="J229" s="1271"/>
      <c r="K229" s="723">
        <v>40000</v>
      </c>
      <c r="L229" s="723">
        <v>28425.05</v>
      </c>
      <c r="M229" s="723">
        <v>40000</v>
      </c>
      <c r="N229" s="340">
        <v>0</v>
      </c>
      <c r="O229" s="395">
        <v>0</v>
      </c>
      <c r="P229" s="395">
        <v>0</v>
      </c>
      <c r="Q229" s="514">
        <v>0</v>
      </c>
      <c r="R229" s="514">
        <v>0</v>
      </c>
      <c r="S229" s="514">
        <v>0</v>
      </c>
      <c r="T229" s="498">
        <f t="shared" si="62"/>
        <v>0</v>
      </c>
      <c r="U229" s="818">
        <f t="shared" si="63"/>
        <v>40000</v>
      </c>
      <c r="V229" s="591">
        <f t="shared" si="64"/>
        <v>40000</v>
      </c>
      <c r="W229" s="818">
        <f t="shared" si="65"/>
        <v>40000</v>
      </c>
    </row>
    <row r="230" spans="2:23" s="342" customFormat="1" ht="12.75">
      <c r="B230" s="336"/>
      <c r="C230" s="343"/>
      <c r="D230" s="547"/>
      <c r="E230" s="467"/>
      <c r="F230" s="348" t="s">
        <v>1562</v>
      </c>
      <c r="G230" s="516">
        <v>463</v>
      </c>
      <c r="H230" s="1269" t="s">
        <v>1348</v>
      </c>
      <c r="I230" s="1270"/>
      <c r="J230" s="1271"/>
      <c r="K230" s="871">
        <v>894000</v>
      </c>
      <c r="L230" s="871">
        <v>224304.99</v>
      </c>
      <c r="M230" s="871">
        <v>894000</v>
      </c>
      <c r="N230" s="340">
        <v>0</v>
      </c>
      <c r="O230" s="395">
        <v>0</v>
      </c>
      <c r="P230" s="398">
        <v>0</v>
      </c>
      <c r="Q230" s="441">
        <v>0</v>
      </c>
      <c r="R230" s="441">
        <v>0</v>
      </c>
      <c r="S230" s="441">
        <v>0</v>
      </c>
      <c r="T230" s="498">
        <f t="shared" si="62"/>
        <v>0</v>
      </c>
      <c r="U230" s="818">
        <f t="shared" si="63"/>
        <v>894000</v>
      </c>
      <c r="V230" s="591">
        <f t="shared" si="64"/>
        <v>894000</v>
      </c>
      <c r="W230" s="818">
        <f t="shared" si="65"/>
        <v>894000</v>
      </c>
    </row>
    <row r="231" spans="2:23" s="342" customFormat="1" ht="12.75">
      <c r="B231" s="355"/>
      <c r="C231" s="509"/>
      <c r="D231" s="515"/>
      <c r="E231" s="469"/>
      <c r="F231" s="348" t="s">
        <v>1557</v>
      </c>
      <c r="G231" s="508">
        <v>463</v>
      </c>
      <c r="H231" s="1372" t="s">
        <v>1349</v>
      </c>
      <c r="I231" s="1373"/>
      <c r="J231" s="1373"/>
      <c r="K231" s="887">
        <v>45000</v>
      </c>
      <c r="L231" s="887">
        <v>0</v>
      </c>
      <c r="M231" s="887">
        <v>45000</v>
      </c>
      <c r="N231" s="340">
        <v>0</v>
      </c>
      <c r="O231" s="389">
        <v>0</v>
      </c>
      <c r="P231" s="406">
        <v>0</v>
      </c>
      <c r="Q231" s="441">
        <v>0</v>
      </c>
      <c r="R231" s="441">
        <v>0</v>
      </c>
      <c r="S231" s="441">
        <v>0</v>
      </c>
      <c r="T231" s="498">
        <f t="shared" si="62"/>
        <v>0</v>
      </c>
      <c r="U231" s="818">
        <f t="shared" si="63"/>
        <v>45000</v>
      </c>
      <c r="V231" s="591">
        <f t="shared" si="64"/>
        <v>45000</v>
      </c>
      <c r="W231" s="818">
        <f t="shared" si="65"/>
        <v>45000</v>
      </c>
    </row>
    <row r="232" spans="2:23" ht="12.75" customHeight="1">
      <c r="B232" s="270"/>
      <c r="C232" s="632"/>
      <c r="D232" s="528"/>
      <c r="E232" s="525" t="s">
        <v>1528</v>
      </c>
      <c r="F232" s="699"/>
      <c r="G232" s="526"/>
      <c r="H232" s="1260" t="s">
        <v>1310</v>
      </c>
      <c r="I232" s="1261"/>
      <c r="J232" s="1262"/>
      <c r="K232" s="851">
        <f aca="true" t="shared" si="70" ref="K232:S232">K233</f>
        <v>11950000</v>
      </c>
      <c r="L232" s="851">
        <f t="shared" si="70"/>
        <v>3962462.4599999995</v>
      </c>
      <c r="M232" s="851">
        <f t="shared" si="70"/>
        <v>11950000</v>
      </c>
      <c r="N232" s="272">
        <f t="shared" si="70"/>
        <v>0</v>
      </c>
      <c r="O232" s="272">
        <f t="shared" si="70"/>
        <v>0</v>
      </c>
      <c r="P232" s="320">
        <f t="shared" si="70"/>
        <v>1800000</v>
      </c>
      <c r="Q232" s="601">
        <f t="shared" si="70"/>
        <v>0</v>
      </c>
      <c r="R232" s="601">
        <f t="shared" si="70"/>
        <v>0</v>
      </c>
      <c r="S232" s="601">
        <f t="shared" si="70"/>
        <v>0</v>
      </c>
      <c r="T232" s="799">
        <f t="shared" si="62"/>
        <v>1800000</v>
      </c>
      <c r="U232" s="819">
        <f t="shared" si="63"/>
        <v>13750000</v>
      </c>
      <c r="V232" s="635">
        <f t="shared" si="64"/>
        <v>13750000</v>
      </c>
      <c r="W232" s="635">
        <f t="shared" si="65"/>
        <v>13750000</v>
      </c>
    </row>
    <row r="233" spans="2:23" s="42" customFormat="1" ht="12.75">
      <c r="B233" s="602"/>
      <c r="C233" s="989"/>
      <c r="D233" s="521" t="s">
        <v>22</v>
      </c>
      <c r="E233" s="521"/>
      <c r="F233" s="990"/>
      <c r="G233" s="991"/>
      <c r="H233" s="1296" t="s">
        <v>93</v>
      </c>
      <c r="I233" s="1297"/>
      <c r="J233" s="708"/>
      <c r="K233" s="522">
        <f>SUM(K234:K239)</f>
        <v>11950000</v>
      </c>
      <c r="L233" s="522">
        <f>SUM(L234:L239)</f>
        <v>3962462.4599999995</v>
      </c>
      <c r="M233" s="522">
        <f>SUM(M234:M239)</f>
        <v>11950000</v>
      </c>
      <c r="N233" s="65">
        <f aca="true" t="shared" si="71" ref="N233:S233">SUM(N234:N239)</f>
        <v>0</v>
      </c>
      <c r="O233" s="65">
        <f t="shared" si="71"/>
        <v>0</v>
      </c>
      <c r="P233" s="325">
        <f t="shared" si="71"/>
        <v>1800000</v>
      </c>
      <c r="Q233" s="636">
        <f t="shared" si="71"/>
        <v>0</v>
      </c>
      <c r="R233" s="636">
        <f t="shared" si="71"/>
        <v>0</v>
      </c>
      <c r="S233" s="636">
        <f t="shared" si="71"/>
        <v>0</v>
      </c>
      <c r="T233" s="801">
        <f t="shared" si="62"/>
        <v>1800000</v>
      </c>
      <c r="U233" s="1048">
        <f t="shared" si="63"/>
        <v>13750000</v>
      </c>
      <c r="V233" s="361">
        <f t="shared" si="64"/>
        <v>13750000</v>
      </c>
      <c r="W233" s="1048">
        <f t="shared" si="65"/>
        <v>13750000</v>
      </c>
    </row>
    <row r="234" spans="2:23" s="342" customFormat="1" ht="12.75">
      <c r="B234" s="336"/>
      <c r="C234" s="343"/>
      <c r="D234" s="349"/>
      <c r="E234" s="348"/>
      <c r="F234" s="348" t="s">
        <v>1559</v>
      </c>
      <c r="G234" s="428">
        <v>472</v>
      </c>
      <c r="H234" s="334" t="s">
        <v>1383</v>
      </c>
      <c r="I234" s="426"/>
      <c r="J234" s="427"/>
      <c r="K234" s="871">
        <v>5000000</v>
      </c>
      <c r="L234" s="871">
        <v>2290482.4599999995</v>
      </c>
      <c r="M234" s="871">
        <v>5000000</v>
      </c>
      <c r="N234" s="340">
        <v>0</v>
      </c>
      <c r="O234" s="395">
        <v>0</v>
      </c>
      <c r="P234" s="398">
        <v>1800000</v>
      </c>
      <c r="Q234" s="441">
        <v>0</v>
      </c>
      <c r="R234" s="441">
        <v>0</v>
      </c>
      <c r="S234" s="441">
        <v>0</v>
      </c>
      <c r="T234" s="607">
        <f t="shared" si="62"/>
        <v>1800000</v>
      </c>
      <c r="U234" s="818">
        <f t="shared" si="63"/>
        <v>6800000</v>
      </c>
      <c r="V234" s="591">
        <f t="shared" si="64"/>
        <v>6800000</v>
      </c>
      <c r="W234" s="818">
        <f t="shared" si="65"/>
        <v>6800000</v>
      </c>
    </row>
    <row r="235" spans="2:23" s="342" customFormat="1" ht="12.75">
      <c r="B235" s="336"/>
      <c r="C235" s="343"/>
      <c r="D235" s="349"/>
      <c r="E235" s="348"/>
      <c r="F235" s="348" t="s">
        <v>1491</v>
      </c>
      <c r="G235" s="428">
        <v>472</v>
      </c>
      <c r="H235" s="1269" t="s">
        <v>1368</v>
      </c>
      <c r="I235" s="1270"/>
      <c r="J235" s="1270"/>
      <c r="K235" s="523">
        <v>400000</v>
      </c>
      <c r="L235" s="523">
        <v>21980</v>
      </c>
      <c r="M235" s="523">
        <v>400000</v>
      </c>
      <c r="N235" s="340">
        <v>0</v>
      </c>
      <c r="O235" s="395">
        <v>0</v>
      </c>
      <c r="P235" s="398">
        <v>0</v>
      </c>
      <c r="Q235" s="441">
        <v>0</v>
      </c>
      <c r="R235" s="441">
        <v>0</v>
      </c>
      <c r="S235" s="441">
        <v>0</v>
      </c>
      <c r="T235" s="607">
        <f t="shared" si="62"/>
        <v>0</v>
      </c>
      <c r="U235" s="818">
        <f t="shared" si="63"/>
        <v>400000</v>
      </c>
      <c r="V235" s="591">
        <f t="shared" si="64"/>
        <v>400000</v>
      </c>
      <c r="W235" s="818">
        <f t="shared" si="65"/>
        <v>400000</v>
      </c>
    </row>
    <row r="236" spans="2:23" s="342" customFormat="1" ht="12.75">
      <c r="B236" s="336"/>
      <c r="C236" s="343"/>
      <c r="D236" s="349"/>
      <c r="E236" s="348"/>
      <c r="F236" s="348" t="s">
        <v>1492</v>
      </c>
      <c r="G236" s="428">
        <v>472</v>
      </c>
      <c r="H236" s="1269" t="s">
        <v>1369</v>
      </c>
      <c r="I236" s="1270"/>
      <c r="J236" s="1270"/>
      <c r="K236" s="523">
        <v>1000000</v>
      </c>
      <c r="L236" s="523">
        <v>360000</v>
      </c>
      <c r="M236" s="523">
        <v>1000000</v>
      </c>
      <c r="N236" s="340">
        <v>0</v>
      </c>
      <c r="O236" s="395">
        <v>0</v>
      </c>
      <c r="P236" s="398">
        <v>0</v>
      </c>
      <c r="Q236" s="441">
        <v>0</v>
      </c>
      <c r="R236" s="441">
        <v>0</v>
      </c>
      <c r="S236" s="441">
        <v>0</v>
      </c>
      <c r="T236" s="607">
        <f t="shared" si="62"/>
        <v>0</v>
      </c>
      <c r="U236" s="818">
        <f t="shared" si="63"/>
        <v>1000000</v>
      </c>
      <c r="V236" s="591">
        <f t="shared" si="64"/>
        <v>1000000</v>
      </c>
      <c r="W236" s="818">
        <f t="shared" si="65"/>
        <v>1000000</v>
      </c>
    </row>
    <row r="237" spans="2:23" s="342" customFormat="1" ht="12.75">
      <c r="B237" s="336"/>
      <c r="C237" s="343"/>
      <c r="D237" s="349"/>
      <c r="E237" s="348"/>
      <c r="F237" s="348" t="s">
        <v>1493</v>
      </c>
      <c r="G237" s="428">
        <v>472</v>
      </c>
      <c r="H237" s="1269" t="s">
        <v>1436</v>
      </c>
      <c r="I237" s="1270"/>
      <c r="J237" s="1270"/>
      <c r="K237" s="523">
        <v>200000</v>
      </c>
      <c r="L237" s="523">
        <v>0</v>
      </c>
      <c r="M237" s="523">
        <v>200000</v>
      </c>
      <c r="N237" s="340">
        <v>0</v>
      </c>
      <c r="O237" s="395">
        <v>0</v>
      </c>
      <c r="P237" s="398">
        <v>0</v>
      </c>
      <c r="Q237" s="441">
        <v>0</v>
      </c>
      <c r="R237" s="441">
        <v>0</v>
      </c>
      <c r="S237" s="441">
        <v>0</v>
      </c>
      <c r="T237" s="712">
        <f t="shared" si="62"/>
        <v>0</v>
      </c>
      <c r="U237" s="818">
        <f t="shared" si="63"/>
        <v>200000</v>
      </c>
      <c r="V237" s="591">
        <f t="shared" si="64"/>
        <v>200000</v>
      </c>
      <c r="W237" s="818">
        <f t="shared" si="65"/>
        <v>200000</v>
      </c>
    </row>
    <row r="238" spans="2:23" s="342" customFormat="1" ht="12.75">
      <c r="B238" s="336"/>
      <c r="C238" s="343"/>
      <c r="D238" s="349"/>
      <c r="E238" s="348"/>
      <c r="F238" s="348" t="s">
        <v>1563</v>
      </c>
      <c r="G238" s="428">
        <v>472</v>
      </c>
      <c r="H238" s="1269" t="s">
        <v>1370</v>
      </c>
      <c r="I238" s="1270"/>
      <c r="J238" s="1270"/>
      <c r="K238" s="523">
        <v>350000</v>
      </c>
      <c r="L238" s="523">
        <v>0</v>
      </c>
      <c r="M238" s="523">
        <v>350000</v>
      </c>
      <c r="N238" s="340">
        <v>0</v>
      </c>
      <c r="O238" s="395">
        <v>0</v>
      </c>
      <c r="P238" s="398">
        <v>0</v>
      </c>
      <c r="Q238" s="441">
        <v>0</v>
      </c>
      <c r="R238" s="441">
        <v>0</v>
      </c>
      <c r="S238" s="441">
        <v>0</v>
      </c>
      <c r="T238" s="712">
        <f t="shared" si="62"/>
        <v>0</v>
      </c>
      <c r="U238" s="818">
        <f t="shared" si="63"/>
        <v>350000</v>
      </c>
      <c r="V238" s="591">
        <f t="shared" si="64"/>
        <v>350000</v>
      </c>
      <c r="W238" s="818">
        <f t="shared" si="65"/>
        <v>350000</v>
      </c>
    </row>
    <row r="239" spans="2:23" s="342" customFormat="1" ht="12.75">
      <c r="B239" s="336"/>
      <c r="C239" s="343"/>
      <c r="D239" s="338"/>
      <c r="E239" s="343"/>
      <c r="F239" s="348" t="s">
        <v>1566</v>
      </c>
      <c r="G239" s="428">
        <v>472</v>
      </c>
      <c r="H239" s="1351" t="s">
        <v>1371</v>
      </c>
      <c r="I239" s="1332"/>
      <c r="J239" s="1352"/>
      <c r="K239" s="873">
        <v>5000000</v>
      </c>
      <c r="L239" s="873">
        <v>1290000</v>
      </c>
      <c r="M239" s="873">
        <v>5000000</v>
      </c>
      <c r="N239" s="340">
        <v>0</v>
      </c>
      <c r="O239" s="395">
        <v>0</v>
      </c>
      <c r="P239" s="398">
        <v>0</v>
      </c>
      <c r="Q239" s="441">
        <v>0</v>
      </c>
      <c r="R239" s="441">
        <v>0</v>
      </c>
      <c r="S239" s="441">
        <v>0</v>
      </c>
      <c r="T239" s="712">
        <f t="shared" si="62"/>
        <v>0</v>
      </c>
      <c r="U239" s="818">
        <f t="shared" si="63"/>
        <v>5000000</v>
      </c>
      <c r="V239" s="591">
        <f t="shared" si="64"/>
        <v>5000000</v>
      </c>
      <c r="W239" s="818">
        <f t="shared" si="65"/>
        <v>5000000</v>
      </c>
    </row>
    <row r="240" spans="2:23" ht="12.75" customHeight="1">
      <c r="B240" s="270"/>
      <c r="C240" s="271"/>
      <c r="D240" s="412"/>
      <c r="E240" s="332" t="s">
        <v>1527</v>
      </c>
      <c r="F240" s="412"/>
      <c r="G240" s="413"/>
      <c r="H240" s="1260" t="s">
        <v>1204</v>
      </c>
      <c r="I240" s="1261"/>
      <c r="J240" s="1262"/>
      <c r="K240" s="851">
        <f aca="true" t="shared" si="72" ref="K240:S240">K241</f>
        <v>4720000</v>
      </c>
      <c r="L240" s="851">
        <f t="shared" si="72"/>
        <v>1223500</v>
      </c>
      <c r="M240" s="851">
        <f t="shared" si="72"/>
        <v>6270000</v>
      </c>
      <c r="N240" s="276">
        <f t="shared" si="72"/>
        <v>0</v>
      </c>
      <c r="O240" s="276">
        <f t="shared" si="72"/>
        <v>0</v>
      </c>
      <c r="P240" s="276">
        <f t="shared" si="72"/>
        <v>0</v>
      </c>
      <c r="Q240" s="276">
        <f t="shared" si="72"/>
        <v>0</v>
      </c>
      <c r="R240" s="276">
        <f t="shared" si="72"/>
        <v>0</v>
      </c>
      <c r="S240" s="321">
        <f t="shared" si="72"/>
        <v>0</v>
      </c>
      <c r="T240" s="321">
        <f t="shared" si="62"/>
        <v>0</v>
      </c>
      <c r="U240" s="819">
        <f t="shared" si="63"/>
        <v>6270000</v>
      </c>
      <c r="V240" s="635">
        <f t="shared" si="64"/>
        <v>6270000</v>
      </c>
      <c r="W240" s="635">
        <f t="shared" si="65"/>
        <v>6270000</v>
      </c>
    </row>
    <row r="241" spans="2:23" s="342" customFormat="1" ht="12.75">
      <c r="B241" s="336"/>
      <c r="C241" s="343"/>
      <c r="D241" s="167" t="s">
        <v>21</v>
      </c>
      <c r="E241" s="167"/>
      <c r="F241" s="338"/>
      <c r="G241" s="339"/>
      <c r="H241" s="1296" t="s">
        <v>110</v>
      </c>
      <c r="I241" s="1297"/>
      <c r="J241" s="1298"/>
      <c r="K241" s="168">
        <f>SUM(K242:K243)</f>
        <v>4720000</v>
      </c>
      <c r="L241" s="168">
        <f>SUM(L242:L243)</f>
        <v>1223500</v>
      </c>
      <c r="M241" s="168">
        <f>SUM(M242:M243)</f>
        <v>6270000</v>
      </c>
      <c r="N241" s="57">
        <f aca="true" t="shared" si="73" ref="N241:S241">SUM(N242:N243)</f>
        <v>0</v>
      </c>
      <c r="O241" s="57">
        <f t="shared" si="73"/>
        <v>0</v>
      </c>
      <c r="P241" s="57">
        <f t="shared" si="73"/>
        <v>0</v>
      </c>
      <c r="Q241" s="57">
        <f t="shared" si="73"/>
        <v>0</v>
      </c>
      <c r="R241" s="57">
        <f t="shared" si="73"/>
        <v>0</v>
      </c>
      <c r="S241" s="326">
        <f t="shared" si="73"/>
        <v>0</v>
      </c>
      <c r="T241" s="325">
        <f t="shared" si="62"/>
        <v>0</v>
      </c>
      <c r="U241" s="1048">
        <f t="shared" si="63"/>
        <v>6270000</v>
      </c>
      <c r="V241" s="361">
        <f t="shared" si="64"/>
        <v>6270000</v>
      </c>
      <c r="W241" s="1048">
        <f t="shared" si="65"/>
        <v>6270000</v>
      </c>
    </row>
    <row r="242" spans="2:23" s="342" customFormat="1" ht="12.75">
      <c r="B242" s="336"/>
      <c r="C242" s="343"/>
      <c r="D242" s="338"/>
      <c r="E242" s="343"/>
      <c r="F242" s="499">
        <v>170</v>
      </c>
      <c r="G242" s="428">
        <v>481</v>
      </c>
      <c r="H242" s="1257" t="s">
        <v>1366</v>
      </c>
      <c r="I242" s="1258"/>
      <c r="J242" s="1259"/>
      <c r="K242" s="723">
        <v>1570000</v>
      </c>
      <c r="L242" s="723">
        <v>563000</v>
      </c>
      <c r="M242" s="723">
        <v>2320000</v>
      </c>
      <c r="N242" s="340">
        <v>0</v>
      </c>
      <c r="O242" s="395">
        <v>0</v>
      </c>
      <c r="P242" s="395">
        <v>0</v>
      </c>
      <c r="Q242" s="398">
        <v>0</v>
      </c>
      <c r="R242" s="395">
        <v>0</v>
      </c>
      <c r="S242" s="398">
        <v>0</v>
      </c>
      <c r="T242" s="401">
        <f t="shared" si="62"/>
        <v>0</v>
      </c>
      <c r="U242" s="818">
        <f t="shared" si="63"/>
        <v>2320000</v>
      </c>
      <c r="V242" s="591">
        <f t="shared" si="64"/>
        <v>2320000</v>
      </c>
      <c r="W242" s="818">
        <f t="shared" si="65"/>
        <v>2320000</v>
      </c>
    </row>
    <row r="243" spans="2:23" s="342" customFormat="1" ht="12.75">
      <c r="B243" s="336"/>
      <c r="C243" s="343"/>
      <c r="D243" s="338"/>
      <c r="E243" s="343"/>
      <c r="F243" s="354">
        <v>171</v>
      </c>
      <c r="G243" s="428">
        <v>472</v>
      </c>
      <c r="H243" s="1257" t="s">
        <v>1367</v>
      </c>
      <c r="I243" s="1258"/>
      <c r="J243" s="1259"/>
      <c r="K243" s="723">
        <v>3150000</v>
      </c>
      <c r="L243" s="723">
        <v>660500</v>
      </c>
      <c r="M243" s="723">
        <v>3950000</v>
      </c>
      <c r="N243" s="340">
        <v>0</v>
      </c>
      <c r="O243" s="395">
        <v>0</v>
      </c>
      <c r="P243" s="395">
        <v>0</v>
      </c>
      <c r="Q243" s="398">
        <v>0</v>
      </c>
      <c r="R243" s="395">
        <v>0</v>
      </c>
      <c r="S243" s="398">
        <v>0</v>
      </c>
      <c r="T243" s="401">
        <f t="shared" si="62"/>
        <v>0</v>
      </c>
      <c r="U243" s="818">
        <f t="shared" si="63"/>
        <v>3950000</v>
      </c>
      <c r="V243" s="591">
        <f t="shared" si="64"/>
        <v>3950000</v>
      </c>
      <c r="W243" s="818">
        <f t="shared" si="65"/>
        <v>3950000</v>
      </c>
    </row>
    <row r="244" spans="2:23" s="342" customFormat="1" ht="12.75">
      <c r="B244" s="270"/>
      <c r="C244" s="271"/>
      <c r="D244" s="412"/>
      <c r="E244" s="332" t="s">
        <v>1526</v>
      </c>
      <c r="F244" s="412"/>
      <c r="G244" s="413"/>
      <c r="H244" s="1260" t="s">
        <v>1533</v>
      </c>
      <c r="I244" s="1261"/>
      <c r="J244" s="1262"/>
      <c r="K244" s="851">
        <f aca="true" t="shared" si="74" ref="K244:S244">K245</f>
        <v>7000000</v>
      </c>
      <c r="L244" s="851">
        <f t="shared" si="74"/>
        <v>0</v>
      </c>
      <c r="M244" s="851">
        <f t="shared" si="74"/>
        <v>11000000</v>
      </c>
      <c r="N244" s="276">
        <f t="shared" si="74"/>
        <v>0</v>
      </c>
      <c r="O244" s="276">
        <f t="shared" si="74"/>
        <v>0</v>
      </c>
      <c r="P244" s="276">
        <f t="shared" si="74"/>
        <v>2256580</v>
      </c>
      <c r="Q244" s="276">
        <f t="shared" si="74"/>
        <v>0</v>
      </c>
      <c r="R244" s="276">
        <f t="shared" si="74"/>
        <v>0</v>
      </c>
      <c r="S244" s="321">
        <f t="shared" si="74"/>
        <v>0</v>
      </c>
      <c r="T244" s="321">
        <f t="shared" si="62"/>
        <v>2256580</v>
      </c>
      <c r="U244" s="819">
        <f>M244+N244+O244+P244+Q244+R244+S244</f>
        <v>13256580</v>
      </c>
      <c r="V244" s="1060">
        <f t="shared" si="64"/>
        <v>13256580</v>
      </c>
      <c r="W244" s="819">
        <f t="shared" si="65"/>
        <v>13256580</v>
      </c>
    </row>
    <row r="245" spans="2:23" s="342" customFormat="1" ht="12.75">
      <c r="B245" s="336"/>
      <c r="C245" s="343"/>
      <c r="D245" s="167" t="s">
        <v>21</v>
      </c>
      <c r="E245" s="167"/>
      <c r="F245" s="338"/>
      <c r="G245" s="339"/>
      <c r="H245" s="1296" t="s">
        <v>110</v>
      </c>
      <c r="I245" s="1297"/>
      <c r="J245" s="1298"/>
      <c r="K245" s="168">
        <f aca="true" t="shared" si="75" ref="K245:S245">SUM(K246:K246)</f>
        <v>7000000</v>
      </c>
      <c r="L245" s="168">
        <f t="shared" si="75"/>
        <v>0</v>
      </c>
      <c r="M245" s="168">
        <f t="shared" si="75"/>
        <v>11000000</v>
      </c>
      <c r="N245" s="57">
        <f t="shared" si="75"/>
        <v>0</v>
      </c>
      <c r="O245" s="57">
        <f t="shared" si="75"/>
        <v>0</v>
      </c>
      <c r="P245" s="57">
        <f t="shared" si="75"/>
        <v>2256580</v>
      </c>
      <c r="Q245" s="57">
        <f t="shared" si="75"/>
        <v>0</v>
      </c>
      <c r="R245" s="57">
        <f t="shared" si="75"/>
        <v>0</v>
      </c>
      <c r="S245" s="326">
        <f t="shared" si="75"/>
        <v>0</v>
      </c>
      <c r="T245" s="325">
        <f t="shared" si="62"/>
        <v>2256580</v>
      </c>
      <c r="U245" s="1048">
        <f>M245+N245+O245+P245+Q245+R245+S245</f>
        <v>13256580</v>
      </c>
      <c r="V245" s="1132">
        <f t="shared" si="64"/>
        <v>13256580</v>
      </c>
      <c r="W245" s="1048">
        <f t="shared" si="65"/>
        <v>13256580</v>
      </c>
    </row>
    <row r="246" spans="2:23" s="342" customFormat="1" ht="12.75">
      <c r="B246" s="336"/>
      <c r="C246" s="343"/>
      <c r="D246" s="338"/>
      <c r="E246" s="343"/>
      <c r="F246" s="354">
        <v>172</v>
      </c>
      <c r="G246" s="428">
        <v>472</v>
      </c>
      <c r="H246" s="1257" t="s">
        <v>1532</v>
      </c>
      <c r="I246" s="1258"/>
      <c r="J246" s="1259"/>
      <c r="K246" s="723">
        <v>7000000</v>
      </c>
      <c r="L246" s="723">
        <v>0</v>
      </c>
      <c r="M246" s="723">
        <v>11000000</v>
      </c>
      <c r="N246" s="340">
        <v>0</v>
      </c>
      <c r="O246" s="395">
        <v>0</v>
      </c>
      <c r="P246" s="395">
        <v>2256580</v>
      </c>
      <c r="Q246" s="398">
        <v>0</v>
      </c>
      <c r="R246" s="395">
        <v>0</v>
      </c>
      <c r="S246" s="398">
        <v>0</v>
      </c>
      <c r="T246" s="401">
        <f t="shared" si="62"/>
        <v>2256580</v>
      </c>
      <c r="U246" s="818">
        <f>M246+N246+O246+P246+Q246+R246+S246</f>
        <v>13256580</v>
      </c>
      <c r="V246" s="591">
        <f t="shared" si="64"/>
        <v>13256580</v>
      </c>
      <c r="W246" s="818">
        <f t="shared" si="65"/>
        <v>13256580</v>
      </c>
    </row>
    <row r="247" spans="2:23" s="668" customFormat="1" ht="12.75">
      <c r="B247" s="1205"/>
      <c r="C247" s="1206"/>
      <c r="D247" s="1207"/>
      <c r="E247" s="596" t="s">
        <v>289</v>
      </c>
      <c r="F247" s="1207"/>
      <c r="G247" s="595"/>
      <c r="H247" s="1293" t="s">
        <v>1205</v>
      </c>
      <c r="I247" s="1294"/>
      <c r="J247" s="1295"/>
      <c r="K247" s="868">
        <f aca="true" t="shared" si="76" ref="K247:S247">K248+K258</f>
        <v>15700000</v>
      </c>
      <c r="L247" s="868">
        <f t="shared" si="76"/>
        <v>4171181.0300000003</v>
      </c>
      <c r="M247" s="868">
        <f t="shared" si="76"/>
        <v>16600000</v>
      </c>
      <c r="N247" s="619">
        <f t="shared" si="76"/>
        <v>0</v>
      </c>
      <c r="O247" s="619">
        <f t="shared" si="76"/>
        <v>0</v>
      </c>
      <c r="P247" s="619">
        <f t="shared" si="76"/>
        <v>0</v>
      </c>
      <c r="Q247" s="619">
        <f t="shared" si="76"/>
        <v>0</v>
      </c>
      <c r="R247" s="619">
        <f t="shared" si="76"/>
        <v>0</v>
      </c>
      <c r="S247" s="619">
        <f t="shared" si="76"/>
        <v>0</v>
      </c>
      <c r="T247" s="620">
        <f t="shared" si="62"/>
        <v>0</v>
      </c>
      <c r="U247" s="1027">
        <f t="shared" si="63"/>
        <v>16600000</v>
      </c>
      <c r="V247" s="822">
        <f t="shared" si="64"/>
        <v>16600000</v>
      </c>
      <c r="W247" s="822">
        <f t="shared" si="65"/>
        <v>16600000</v>
      </c>
    </row>
    <row r="248" spans="2:23" ht="26.25" customHeight="1">
      <c r="B248" s="563"/>
      <c r="C248" s="564"/>
      <c r="D248" s="528" t="s">
        <v>1167</v>
      </c>
      <c r="E248" s="525" t="s">
        <v>290</v>
      </c>
      <c r="F248" s="528"/>
      <c r="G248" s="526"/>
      <c r="H248" s="1260" t="s">
        <v>1191</v>
      </c>
      <c r="I248" s="1280"/>
      <c r="J248" s="1281"/>
      <c r="K248" s="872">
        <f aca="true" t="shared" si="77" ref="K248:S248">K249</f>
        <v>15400000</v>
      </c>
      <c r="L248" s="872">
        <f t="shared" si="77"/>
        <v>4100574.5200000005</v>
      </c>
      <c r="M248" s="872">
        <f>M249</f>
        <v>16300000</v>
      </c>
      <c r="N248" s="276">
        <f t="shared" si="77"/>
        <v>0</v>
      </c>
      <c r="O248" s="276">
        <f t="shared" si="77"/>
        <v>0</v>
      </c>
      <c r="P248" s="276">
        <f t="shared" si="77"/>
        <v>0</v>
      </c>
      <c r="Q248" s="276">
        <f t="shared" si="77"/>
        <v>0</v>
      </c>
      <c r="R248" s="276">
        <f t="shared" si="77"/>
        <v>0</v>
      </c>
      <c r="S248" s="321">
        <f t="shared" si="77"/>
        <v>0</v>
      </c>
      <c r="T248" s="321">
        <f t="shared" si="62"/>
        <v>0</v>
      </c>
      <c r="U248" s="819">
        <f t="shared" si="63"/>
        <v>16300000</v>
      </c>
      <c r="V248" s="635">
        <f t="shared" si="64"/>
        <v>16300000</v>
      </c>
      <c r="W248" s="635">
        <f t="shared" si="65"/>
        <v>16300000</v>
      </c>
    </row>
    <row r="249" spans="2:23" s="23" customFormat="1" ht="12.75">
      <c r="B249" s="566"/>
      <c r="C249" s="567"/>
      <c r="D249" s="519" t="s">
        <v>529</v>
      </c>
      <c r="E249" s="501"/>
      <c r="F249" s="568"/>
      <c r="G249" s="532"/>
      <c r="H249" s="1296" t="s">
        <v>87</v>
      </c>
      <c r="I249" s="1297"/>
      <c r="J249" s="1298"/>
      <c r="K249" s="168">
        <f>SUM(K250:K257)</f>
        <v>15400000</v>
      </c>
      <c r="L249" s="168">
        <f>SUM(L250:L257)</f>
        <v>4100574.5200000005</v>
      </c>
      <c r="M249" s="168">
        <f>SUM(M250:M257)</f>
        <v>16300000</v>
      </c>
      <c r="N249" s="565">
        <f aca="true" t="shared" si="78" ref="N249:S249">SUM(N250:N256)</f>
        <v>0</v>
      </c>
      <c r="O249" s="565">
        <f t="shared" si="78"/>
        <v>0</v>
      </c>
      <c r="P249" s="565">
        <f t="shared" si="78"/>
        <v>0</v>
      </c>
      <c r="Q249" s="565">
        <f t="shared" si="78"/>
        <v>0</v>
      </c>
      <c r="R249" s="565">
        <f t="shared" si="78"/>
        <v>0</v>
      </c>
      <c r="S249" s="565">
        <f t="shared" si="78"/>
        <v>0</v>
      </c>
      <c r="T249" s="802">
        <f t="shared" si="62"/>
        <v>0</v>
      </c>
      <c r="U249" s="1048">
        <f t="shared" si="63"/>
        <v>16300000</v>
      </c>
      <c r="V249" s="817">
        <f t="shared" si="64"/>
        <v>16300000</v>
      </c>
      <c r="W249" s="1048">
        <f t="shared" si="65"/>
        <v>16300000</v>
      </c>
    </row>
    <row r="250" spans="2:23" ht="12.75">
      <c r="B250" s="500"/>
      <c r="C250" s="562"/>
      <c r="D250" s="501"/>
      <c r="E250" s="501"/>
      <c r="F250" s="786">
        <v>173</v>
      </c>
      <c r="G250" s="417">
        <v>464</v>
      </c>
      <c r="H250" s="1263" t="s">
        <v>111</v>
      </c>
      <c r="I250" s="1264"/>
      <c r="J250" s="1265"/>
      <c r="K250" s="849">
        <v>1700000</v>
      </c>
      <c r="L250" s="849">
        <v>568585.54</v>
      </c>
      <c r="M250" s="849">
        <v>1700000</v>
      </c>
      <c r="N250" s="340">
        <v>0</v>
      </c>
      <c r="O250" s="444">
        <v>0</v>
      </c>
      <c r="P250" s="444">
        <v>0</v>
      </c>
      <c r="Q250" s="444">
        <v>0</v>
      </c>
      <c r="R250" s="444">
        <v>0</v>
      </c>
      <c r="S250" s="444">
        <v>0</v>
      </c>
      <c r="T250" s="403">
        <f t="shared" si="62"/>
        <v>0</v>
      </c>
      <c r="U250" s="818">
        <f t="shared" si="63"/>
        <v>1700000</v>
      </c>
      <c r="V250" s="742">
        <f t="shared" si="64"/>
        <v>1700000</v>
      </c>
      <c r="W250" s="818">
        <f t="shared" si="65"/>
        <v>1700000</v>
      </c>
    </row>
    <row r="251" spans="2:23" ht="12.75">
      <c r="B251" s="500"/>
      <c r="C251" s="562"/>
      <c r="D251" s="501"/>
      <c r="E251" s="501"/>
      <c r="F251" s="786">
        <v>174</v>
      </c>
      <c r="G251" s="417">
        <v>464</v>
      </c>
      <c r="H251" s="1360" t="s">
        <v>112</v>
      </c>
      <c r="I251" s="1361"/>
      <c r="J251" s="1362"/>
      <c r="K251" s="1107">
        <v>300000</v>
      </c>
      <c r="L251" s="1107">
        <v>89746.16</v>
      </c>
      <c r="M251" s="1107">
        <v>300000</v>
      </c>
      <c r="N251" s="340">
        <v>0</v>
      </c>
      <c r="O251" s="444">
        <v>0</v>
      </c>
      <c r="P251" s="444">
        <v>0</v>
      </c>
      <c r="Q251" s="444">
        <v>0</v>
      </c>
      <c r="R251" s="444">
        <v>0</v>
      </c>
      <c r="S251" s="444">
        <v>0</v>
      </c>
      <c r="T251" s="403">
        <f t="shared" si="62"/>
        <v>0</v>
      </c>
      <c r="U251" s="818">
        <f t="shared" si="63"/>
        <v>300000</v>
      </c>
      <c r="V251" s="742">
        <f t="shared" si="64"/>
        <v>300000</v>
      </c>
      <c r="W251" s="818">
        <f t="shared" si="65"/>
        <v>300000</v>
      </c>
    </row>
    <row r="252" spans="2:23" ht="12.75">
      <c r="B252" s="500"/>
      <c r="C252" s="562"/>
      <c r="D252" s="501"/>
      <c r="E252" s="501"/>
      <c r="F252" s="786">
        <v>175</v>
      </c>
      <c r="G252" s="417">
        <v>464</v>
      </c>
      <c r="H252" s="1358" t="s">
        <v>98</v>
      </c>
      <c r="I252" s="1359"/>
      <c r="J252" s="1359"/>
      <c r="K252" s="1073">
        <v>1000000</v>
      </c>
      <c r="L252" s="1073">
        <v>223348.90000000002</v>
      </c>
      <c r="M252" s="1073">
        <v>1000000</v>
      </c>
      <c r="N252" s="340">
        <v>0</v>
      </c>
      <c r="O252" s="444">
        <v>0</v>
      </c>
      <c r="P252" s="444">
        <v>0</v>
      </c>
      <c r="Q252" s="403">
        <v>0</v>
      </c>
      <c r="R252" s="444">
        <v>0</v>
      </c>
      <c r="S252" s="403">
        <v>0</v>
      </c>
      <c r="T252" s="445">
        <f t="shared" si="62"/>
        <v>0</v>
      </c>
      <c r="U252" s="818">
        <f t="shared" si="63"/>
        <v>1000000</v>
      </c>
      <c r="V252" s="742">
        <f t="shared" si="64"/>
        <v>1000000</v>
      </c>
      <c r="W252" s="818">
        <f t="shared" si="65"/>
        <v>1000000</v>
      </c>
    </row>
    <row r="253" spans="2:23" ht="12.75">
      <c r="B253" s="500"/>
      <c r="C253" s="562"/>
      <c r="D253" s="501"/>
      <c r="E253" s="501"/>
      <c r="F253" s="499">
        <v>176</v>
      </c>
      <c r="G253" s="417">
        <v>464</v>
      </c>
      <c r="H253" s="353" t="s">
        <v>99</v>
      </c>
      <c r="I253" s="421"/>
      <c r="J253" s="421"/>
      <c r="K253" s="887">
        <v>1000000</v>
      </c>
      <c r="L253" s="887">
        <v>77218.87000000001</v>
      </c>
      <c r="M253" s="887">
        <v>400000</v>
      </c>
      <c r="N253" s="340">
        <v>0</v>
      </c>
      <c r="O253" s="444">
        <v>0</v>
      </c>
      <c r="P253" s="444">
        <v>0</v>
      </c>
      <c r="Q253" s="403">
        <v>0</v>
      </c>
      <c r="R253" s="444">
        <v>0</v>
      </c>
      <c r="S253" s="403">
        <v>0</v>
      </c>
      <c r="T253" s="445">
        <f t="shared" si="62"/>
        <v>0</v>
      </c>
      <c r="U253" s="818">
        <f t="shared" si="63"/>
        <v>400000</v>
      </c>
      <c r="V253" s="742">
        <f t="shared" si="64"/>
        <v>400000</v>
      </c>
      <c r="W253" s="818">
        <f t="shared" si="65"/>
        <v>400000</v>
      </c>
    </row>
    <row r="254" spans="2:23" ht="12.75">
      <c r="B254" s="414"/>
      <c r="C254" s="415"/>
      <c r="D254" s="443"/>
      <c r="E254" s="443"/>
      <c r="F254" s="1079">
        <v>177</v>
      </c>
      <c r="G254" s="339">
        <v>464</v>
      </c>
      <c r="H254" s="334" t="s">
        <v>101</v>
      </c>
      <c r="I254" s="426"/>
      <c r="J254" s="426"/>
      <c r="K254" s="523">
        <v>8200000</v>
      </c>
      <c r="L254" s="523">
        <v>2412648.0100000002</v>
      </c>
      <c r="M254" s="523">
        <v>10200000</v>
      </c>
      <c r="N254" s="340">
        <v>0</v>
      </c>
      <c r="O254" s="444">
        <v>0</v>
      </c>
      <c r="P254" s="444">
        <v>0</v>
      </c>
      <c r="Q254" s="403">
        <v>0</v>
      </c>
      <c r="R254" s="395">
        <v>0</v>
      </c>
      <c r="S254" s="403">
        <v>0</v>
      </c>
      <c r="T254" s="445">
        <f t="shared" si="62"/>
        <v>0</v>
      </c>
      <c r="U254" s="818">
        <f t="shared" si="63"/>
        <v>10200000</v>
      </c>
      <c r="V254" s="742">
        <f t="shared" si="64"/>
        <v>10200000</v>
      </c>
      <c r="W254" s="818">
        <f t="shared" si="65"/>
        <v>10200000</v>
      </c>
    </row>
    <row r="255" spans="2:23" ht="12.75">
      <c r="B255" s="414"/>
      <c r="C255" s="415"/>
      <c r="D255" s="443"/>
      <c r="E255" s="443"/>
      <c r="F255" s="786">
        <v>178</v>
      </c>
      <c r="G255" s="339">
        <v>464</v>
      </c>
      <c r="H255" s="334" t="s">
        <v>103</v>
      </c>
      <c r="I255" s="426"/>
      <c r="J255" s="426"/>
      <c r="K255" s="523">
        <v>800000</v>
      </c>
      <c r="L255" s="523">
        <v>0</v>
      </c>
      <c r="M255" s="523">
        <v>300000</v>
      </c>
      <c r="N255" s="340">
        <v>0</v>
      </c>
      <c r="O255" s="444">
        <v>0</v>
      </c>
      <c r="P255" s="444">
        <v>0</v>
      </c>
      <c r="Q255" s="403">
        <v>0</v>
      </c>
      <c r="R255" s="395">
        <v>0</v>
      </c>
      <c r="S255" s="403">
        <v>0</v>
      </c>
      <c r="T255" s="445">
        <f t="shared" si="62"/>
        <v>0</v>
      </c>
      <c r="U255" s="818">
        <f t="shared" si="63"/>
        <v>300000</v>
      </c>
      <c r="V255" s="742">
        <f t="shared" si="64"/>
        <v>300000</v>
      </c>
      <c r="W255" s="818">
        <f t="shared" si="65"/>
        <v>300000</v>
      </c>
    </row>
    <row r="256" spans="2:23" ht="12.75">
      <c r="B256" s="1076"/>
      <c r="C256" s="1077"/>
      <c r="D256" s="1078"/>
      <c r="E256" s="1078"/>
      <c r="F256" s="786">
        <v>179</v>
      </c>
      <c r="G256" s="518">
        <v>464</v>
      </c>
      <c r="H256" s="334" t="s">
        <v>1350</v>
      </c>
      <c r="I256" s="426"/>
      <c r="J256" s="426"/>
      <c r="K256" s="523">
        <v>600000</v>
      </c>
      <c r="L256" s="523">
        <v>0</v>
      </c>
      <c r="M256" s="523">
        <v>600000</v>
      </c>
      <c r="N256" s="340">
        <v>0</v>
      </c>
      <c r="O256" s="444">
        <v>0</v>
      </c>
      <c r="P256" s="444">
        <v>0</v>
      </c>
      <c r="Q256" s="403">
        <v>0</v>
      </c>
      <c r="R256" s="395">
        <v>0</v>
      </c>
      <c r="S256" s="403">
        <v>0</v>
      </c>
      <c r="T256" s="445">
        <f t="shared" si="62"/>
        <v>0</v>
      </c>
      <c r="U256" s="818">
        <f t="shared" si="63"/>
        <v>600000</v>
      </c>
      <c r="V256" s="742">
        <f t="shared" si="64"/>
        <v>600000</v>
      </c>
      <c r="W256" s="818">
        <f t="shared" si="65"/>
        <v>600000</v>
      </c>
    </row>
    <row r="257" spans="2:23" ht="12.75">
      <c r="B257" s="464"/>
      <c r="C257" s="464"/>
      <c r="D257" s="1081"/>
      <c r="E257" s="1081"/>
      <c r="F257" s="786">
        <v>180</v>
      </c>
      <c r="G257" s="515">
        <v>464</v>
      </c>
      <c r="H257" s="1074" t="s">
        <v>1499</v>
      </c>
      <c r="I257" s="1074"/>
      <c r="J257" s="1074"/>
      <c r="K257" s="523">
        <v>1800000</v>
      </c>
      <c r="L257" s="523">
        <v>729027.04</v>
      </c>
      <c r="M257" s="523">
        <v>1800000</v>
      </c>
      <c r="N257" s="391">
        <v>0</v>
      </c>
      <c r="O257" s="1022">
        <v>0</v>
      </c>
      <c r="P257" s="1022">
        <v>0</v>
      </c>
      <c r="Q257" s="1075">
        <v>0</v>
      </c>
      <c r="R257" s="389">
        <v>0</v>
      </c>
      <c r="S257" s="1075">
        <v>0</v>
      </c>
      <c r="T257" s="1075">
        <f t="shared" si="62"/>
        <v>0</v>
      </c>
      <c r="U257" s="818">
        <f t="shared" si="63"/>
        <v>1800000</v>
      </c>
      <c r="V257" s="1066">
        <f t="shared" si="64"/>
        <v>1800000</v>
      </c>
      <c r="W257" s="818">
        <f t="shared" si="65"/>
        <v>1800000</v>
      </c>
    </row>
    <row r="258" spans="2:23" ht="15" customHeight="1">
      <c r="B258" s="1080"/>
      <c r="C258" s="784"/>
      <c r="D258" s="699" t="s">
        <v>1167</v>
      </c>
      <c r="E258" s="785" t="s">
        <v>1207</v>
      </c>
      <c r="F258" s="699"/>
      <c r="G258" s="526"/>
      <c r="H258" s="1341" t="s">
        <v>1208</v>
      </c>
      <c r="I258" s="1342"/>
      <c r="J258" s="1342"/>
      <c r="K258" s="984">
        <f aca="true" t="shared" si="79" ref="K258:S258">K259</f>
        <v>300000</v>
      </c>
      <c r="L258" s="984">
        <f t="shared" si="79"/>
        <v>70606.51</v>
      </c>
      <c r="M258" s="984">
        <f t="shared" si="79"/>
        <v>300000</v>
      </c>
      <c r="N258" s="276">
        <f t="shared" si="79"/>
        <v>0</v>
      </c>
      <c r="O258" s="276">
        <f t="shared" si="79"/>
        <v>0</v>
      </c>
      <c r="P258" s="276">
        <f t="shared" si="79"/>
        <v>0</v>
      </c>
      <c r="Q258" s="276">
        <f t="shared" si="79"/>
        <v>0</v>
      </c>
      <c r="R258" s="276">
        <f t="shared" si="79"/>
        <v>0</v>
      </c>
      <c r="S258" s="321">
        <f t="shared" si="79"/>
        <v>0</v>
      </c>
      <c r="T258" s="321">
        <f t="shared" si="62"/>
        <v>0</v>
      </c>
      <c r="U258" s="819">
        <f t="shared" si="63"/>
        <v>300000</v>
      </c>
      <c r="V258" s="974">
        <f t="shared" si="64"/>
        <v>300000</v>
      </c>
      <c r="W258" s="635">
        <f t="shared" si="65"/>
        <v>300000</v>
      </c>
    </row>
    <row r="259" spans="2:23" ht="12.75">
      <c r="B259" s="414"/>
      <c r="C259" s="415"/>
      <c r="D259" s="56">
        <v>721</v>
      </c>
      <c r="E259" s="167"/>
      <c r="F259" s="338"/>
      <c r="G259" s="339"/>
      <c r="H259" s="73" t="s">
        <v>322</v>
      </c>
      <c r="I259" s="74"/>
      <c r="J259" s="433"/>
      <c r="K259" s="706">
        <f>K260</f>
        <v>300000</v>
      </c>
      <c r="L259" s="706">
        <f>L260</f>
        <v>70606.51</v>
      </c>
      <c r="M259" s="706">
        <f>M260</f>
        <v>300000</v>
      </c>
      <c r="N259" s="68">
        <f aca="true" t="shared" si="80" ref="N259:S259">N260</f>
        <v>0</v>
      </c>
      <c r="O259" s="68">
        <f t="shared" si="80"/>
        <v>0</v>
      </c>
      <c r="P259" s="68">
        <f t="shared" si="80"/>
        <v>0</v>
      </c>
      <c r="Q259" s="68">
        <f t="shared" si="80"/>
        <v>0</v>
      </c>
      <c r="R259" s="68">
        <f t="shared" si="80"/>
        <v>0</v>
      </c>
      <c r="S259" s="68">
        <f t="shared" si="80"/>
        <v>0</v>
      </c>
      <c r="T259" s="324">
        <f t="shared" si="62"/>
        <v>0</v>
      </c>
      <c r="U259" s="1048">
        <f t="shared" si="63"/>
        <v>300000</v>
      </c>
      <c r="V259" s="811">
        <f t="shared" si="64"/>
        <v>300000</v>
      </c>
      <c r="W259" s="1048">
        <f t="shared" si="65"/>
        <v>300000</v>
      </c>
    </row>
    <row r="260" spans="2:23" s="342" customFormat="1" ht="12.75">
      <c r="B260" s="336"/>
      <c r="C260" s="343"/>
      <c r="D260" s="338"/>
      <c r="E260" s="343"/>
      <c r="F260" s="354">
        <v>181</v>
      </c>
      <c r="G260" s="428">
        <v>424</v>
      </c>
      <c r="H260" s="1263" t="s">
        <v>1351</v>
      </c>
      <c r="I260" s="1264"/>
      <c r="J260" s="1264"/>
      <c r="K260" s="887">
        <v>300000</v>
      </c>
      <c r="L260" s="887">
        <v>70606.51</v>
      </c>
      <c r="M260" s="887">
        <v>300000</v>
      </c>
      <c r="N260" s="340">
        <v>0</v>
      </c>
      <c r="O260" s="395">
        <v>0</v>
      </c>
      <c r="P260" s="395">
        <v>0</v>
      </c>
      <c r="Q260" s="398">
        <v>0</v>
      </c>
      <c r="R260" s="398">
        <v>0</v>
      </c>
      <c r="S260" s="398">
        <v>0</v>
      </c>
      <c r="T260" s="398">
        <f t="shared" si="62"/>
        <v>0</v>
      </c>
      <c r="U260" s="818">
        <f t="shared" si="63"/>
        <v>300000</v>
      </c>
      <c r="V260" s="591">
        <f t="shared" si="64"/>
        <v>300000</v>
      </c>
      <c r="W260" s="818">
        <f t="shared" si="65"/>
        <v>300000</v>
      </c>
    </row>
    <row r="261" spans="2:23" s="668" customFormat="1" ht="12.75">
      <c r="B261" s="617"/>
      <c r="C261" s="618"/>
      <c r="D261" s="594"/>
      <c r="E261" s="593" t="s">
        <v>298</v>
      </c>
      <c r="F261" s="594"/>
      <c r="G261" s="595"/>
      <c r="H261" s="1293" t="s">
        <v>1209</v>
      </c>
      <c r="I261" s="1294"/>
      <c r="J261" s="1295"/>
      <c r="K261" s="868">
        <f>K262+K275</f>
        <v>8600000</v>
      </c>
      <c r="L261" s="868">
        <f>L262+L275</f>
        <v>0</v>
      </c>
      <c r="M261" s="868">
        <f>M262+M275</f>
        <v>6800000</v>
      </c>
      <c r="N261" s="619">
        <f aca="true" t="shared" si="81" ref="N261:S261">N262+N275</f>
        <v>0</v>
      </c>
      <c r="O261" s="619">
        <f t="shared" si="81"/>
        <v>0</v>
      </c>
      <c r="P261" s="619">
        <f t="shared" si="81"/>
        <v>12000000</v>
      </c>
      <c r="Q261" s="619">
        <f t="shared" si="81"/>
        <v>40000000</v>
      </c>
      <c r="R261" s="619">
        <f t="shared" si="81"/>
        <v>0</v>
      </c>
      <c r="S261" s="619">
        <f t="shared" si="81"/>
        <v>0</v>
      </c>
      <c r="T261" s="620">
        <f t="shared" si="62"/>
        <v>52000000</v>
      </c>
      <c r="U261" s="1027">
        <f t="shared" si="63"/>
        <v>58800000</v>
      </c>
      <c r="V261" s="822">
        <f t="shared" si="64"/>
        <v>58800000</v>
      </c>
      <c r="W261" s="822">
        <f t="shared" si="65"/>
        <v>58800000</v>
      </c>
    </row>
    <row r="262" spans="2:23" ht="26.25" customHeight="1">
      <c r="B262" s="270"/>
      <c r="C262" s="271"/>
      <c r="D262" s="412"/>
      <c r="E262" s="332" t="s">
        <v>299</v>
      </c>
      <c r="F262" s="412"/>
      <c r="G262" s="413"/>
      <c r="H262" s="1260" t="s">
        <v>1210</v>
      </c>
      <c r="I262" s="1261"/>
      <c r="J262" s="1262"/>
      <c r="K262" s="851">
        <f>K263</f>
        <v>7100000</v>
      </c>
      <c r="L262" s="851">
        <f>L263</f>
        <v>0</v>
      </c>
      <c r="M262" s="851">
        <f>M263</f>
        <v>5300000</v>
      </c>
      <c r="N262" s="276">
        <f aca="true" t="shared" si="82" ref="N262:S262">N263</f>
        <v>0</v>
      </c>
      <c r="O262" s="276">
        <f t="shared" si="82"/>
        <v>0</v>
      </c>
      <c r="P262" s="276">
        <f t="shared" si="82"/>
        <v>12000000</v>
      </c>
      <c r="Q262" s="276">
        <f t="shared" si="82"/>
        <v>40000000</v>
      </c>
      <c r="R262" s="276">
        <f t="shared" si="82"/>
        <v>0</v>
      </c>
      <c r="S262" s="276">
        <f t="shared" si="82"/>
        <v>0</v>
      </c>
      <c r="T262" s="321">
        <f t="shared" si="62"/>
        <v>52000000</v>
      </c>
      <c r="U262" s="819">
        <f t="shared" si="63"/>
        <v>57300000</v>
      </c>
      <c r="V262" s="635">
        <f t="shared" si="64"/>
        <v>57300000</v>
      </c>
      <c r="W262" s="635">
        <f t="shared" si="65"/>
        <v>57300000</v>
      </c>
    </row>
    <row r="263" spans="2:23" s="23" customFormat="1" ht="12.75">
      <c r="B263" s="529"/>
      <c r="C263" s="530"/>
      <c r="D263" s="56">
        <v>420</v>
      </c>
      <c r="E263" s="167"/>
      <c r="F263" s="604"/>
      <c r="G263" s="605"/>
      <c r="H263" s="73" t="s">
        <v>207</v>
      </c>
      <c r="I263" s="74"/>
      <c r="J263" s="708"/>
      <c r="K263" s="522">
        <f>SUM(K264:K274)</f>
        <v>7100000</v>
      </c>
      <c r="L263" s="522">
        <f>SUM(L264:L274)</f>
        <v>0</v>
      </c>
      <c r="M263" s="522">
        <f>SUM(M264:M274)</f>
        <v>5300000</v>
      </c>
      <c r="N263" s="522">
        <f aca="true" t="shared" si="83" ref="N263:S263">SUM(N264:N274)</f>
        <v>0</v>
      </c>
      <c r="O263" s="522">
        <f t="shared" si="83"/>
        <v>0</v>
      </c>
      <c r="P263" s="522">
        <f t="shared" si="83"/>
        <v>12000000</v>
      </c>
      <c r="Q263" s="522">
        <f t="shared" si="83"/>
        <v>40000000</v>
      </c>
      <c r="R263" s="522">
        <f t="shared" si="83"/>
        <v>0</v>
      </c>
      <c r="S263" s="522">
        <f t="shared" si="83"/>
        <v>0</v>
      </c>
      <c r="T263" s="800">
        <f t="shared" si="62"/>
        <v>52000000</v>
      </c>
      <c r="U263" s="1048">
        <f t="shared" si="63"/>
        <v>57300000</v>
      </c>
      <c r="V263" s="811">
        <f t="shared" si="64"/>
        <v>57300000</v>
      </c>
      <c r="W263" s="1048">
        <f t="shared" si="65"/>
        <v>57300000</v>
      </c>
    </row>
    <row r="264" spans="2:23" s="494" customFormat="1" ht="12.75">
      <c r="B264" s="495"/>
      <c r="C264" s="436"/>
      <c r="D264" s="496"/>
      <c r="E264" s="436"/>
      <c r="F264" s="496">
        <v>182</v>
      </c>
      <c r="G264" s="418">
        <v>421</v>
      </c>
      <c r="H264" s="1355" t="s">
        <v>215</v>
      </c>
      <c r="I264" s="1356"/>
      <c r="J264" s="1357"/>
      <c r="K264" s="860">
        <v>100000</v>
      </c>
      <c r="L264" s="860">
        <v>0</v>
      </c>
      <c r="M264" s="860">
        <v>100000</v>
      </c>
      <c r="N264" s="340">
        <v>0</v>
      </c>
      <c r="O264" s="497">
        <v>0</v>
      </c>
      <c r="P264" s="497">
        <v>0</v>
      </c>
      <c r="Q264" s="400">
        <v>0</v>
      </c>
      <c r="R264" s="398">
        <v>0</v>
      </c>
      <c r="S264" s="400">
        <v>0</v>
      </c>
      <c r="T264" s="400">
        <f aca="true" t="shared" si="84" ref="T264:T327">SUM(N264:S264)</f>
        <v>0</v>
      </c>
      <c r="U264" s="818">
        <f t="shared" si="63"/>
        <v>100000</v>
      </c>
      <c r="V264" s="814">
        <f t="shared" si="64"/>
        <v>100000</v>
      </c>
      <c r="W264" s="818">
        <f t="shared" si="65"/>
        <v>100000</v>
      </c>
    </row>
    <row r="265" spans="2:23" s="342" customFormat="1" ht="12.75">
      <c r="B265" s="336"/>
      <c r="C265" s="343"/>
      <c r="D265" s="344"/>
      <c r="E265" s="337"/>
      <c r="F265" s="496">
        <v>183</v>
      </c>
      <c r="G265" s="339">
        <v>423</v>
      </c>
      <c r="H265" s="1269" t="s">
        <v>1352</v>
      </c>
      <c r="I265" s="1270"/>
      <c r="J265" s="1271"/>
      <c r="K265" s="723">
        <v>4800000</v>
      </c>
      <c r="L265" s="723">
        <v>0</v>
      </c>
      <c r="M265" s="723">
        <v>3000000</v>
      </c>
      <c r="N265" s="340">
        <v>0</v>
      </c>
      <c r="O265" s="434">
        <v>0</v>
      </c>
      <c r="P265" s="434">
        <v>0</v>
      </c>
      <c r="Q265" s="402">
        <v>0</v>
      </c>
      <c r="R265" s="398">
        <v>0</v>
      </c>
      <c r="S265" s="402">
        <v>0</v>
      </c>
      <c r="T265" s="341">
        <f t="shared" si="84"/>
        <v>0</v>
      </c>
      <c r="U265" s="818">
        <f t="shared" si="63"/>
        <v>3000000</v>
      </c>
      <c r="V265" s="362">
        <f t="shared" si="64"/>
        <v>3000000</v>
      </c>
      <c r="W265" s="818">
        <f t="shared" si="65"/>
        <v>3000000</v>
      </c>
    </row>
    <row r="266" spans="2:23" s="342" customFormat="1" ht="12.75">
      <c r="B266" s="336"/>
      <c r="C266" s="343"/>
      <c r="D266" s="338"/>
      <c r="E266" s="343"/>
      <c r="F266" s="496">
        <v>184</v>
      </c>
      <c r="G266" s="428">
        <v>424</v>
      </c>
      <c r="H266" s="1257" t="s">
        <v>1357</v>
      </c>
      <c r="I266" s="1258"/>
      <c r="J266" s="1259"/>
      <c r="K266" s="723">
        <v>0</v>
      </c>
      <c r="L266" s="723">
        <v>0</v>
      </c>
      <c r="M266" s="723">
        <v>0</v>
      </c>
      <c r="N266" s="340">
        <v>0</v>
      </c>
      <c r="O266" s="395">
        <v>0</v>
      </c>
      <c r="P266" s="395">
        <v>0</v>
      </c>
      <c r="Q266" s="402">
        <v>1000000</v>
      </c>
      <c r="R266" s="398">
        <v>0</v>
      </c>
      <c r="S266" s="403">
        <v>0</v>
      </c>
      <c r="T266" s="403">
        <f t="shared" si="84"/>
        <v>1000000</v>
      </c>
      <c r="U266" s="818">
        <f t="shared" si="63"/>
        <v>1000000</v>
      </c>
      <c r="V266" s="591">
        <f t="shared" si="64"/>
        <v>1000000</v>
      </c>
      <c r="W266" s="818">
        <f t="shared" si="65"/>
        <v>1000000</v>
      </c>
    </row>
    <row r="267" spans="2:23" s="342" customFormat="1" ht="12.75">
      <c r="B267" s="336"/>
      <c r="C267" s="343"/>
      <c r="D267" s="338"/>
      <c r="E267" s="343"/>
      <c r="F267" s="349">
        <v>185</v>
      </c>
      <c r="G267" s="428">
        <v>424</v>
      </c>
      <c r="H267" s="1257" t="s">
        <v>1358</v>
      </c>
      <c r="I267" s="1258"/>
      <c r="J267" s="1259"/>
      <c r="K267" s="723">
        <v>1000000</v>
      </c>
      <c r="L267" s="723">
        <v>0</v>
      </c>
      <c r="M267" s="723">
        <v>1000000</v>
      </c>
      <c r="N267" s="340">
        <v>0</v>
      </c>
      <c r="O267" s="395">
        <v>0</v>
      </c>
      <c r="P267" s="395">
        <v>0</v>
      </c>
      <c r="Q267" s="403">
        <v>2000000</v>
      </c>
      <c r="R267" s="398">
        <v>0</v>
      </c>
      <c r="S267" s="403">
        <v>0</v>
      </c>
      <c r="T267" s="403">
        <f t="shared" si="84"/>
        <v>2000000</v>
      </c>
      <c r="U267" s="818">
        <f t="shared" si="63"/>
        <v>3000000</v>
      </c>
      <c r="V267" s="591">
        <f aca="true" t="shared" si="85" ref="V267:V330">U267</f>
        <v>3000000</v>
      </c>
      <c r="W267" s="818">
        <f aca="true" t="shared" si="86" ref="W267:W330">U267</f>
        <v>3000000</v>
      </c>
    </row>
    <row r="268" spans="2:23" s="342" customFormat="1" ht="12.75">
      <c r="B268" s="336"/>
      <c r="C268" s="343"/>
      <c r="D268" s="338"/>
      <c r="E268" s="343"/>
      <c r="F268" s="349">
        <v>186</v>
      </c>
      <c r="G268" s="428">
        <v>424</v>
      </c>
      <c r="H268" s="1257" t="s">
        <v>1359</v>
      </c>
      <c r="I268" s="1258"/>
      <c r="J268" s="1259"/>
      <c r="K268" s="723">
        <v>0</v>
      </c>
      <c r="L268" s="723">
        <v>0</v>
      </c>
      <c r="M268" s="723">
        <v>0</v>
      </c>
      <c r="N268" s="340">
        <v>0</v>
      </c>
      <c r="O268" s="395">
        <v>0</v>
      </c>
      <c r="P268" s="395">
        <v>0</v>
      </c>
      <c r="Q268" s="402">
        <v>5000000</v>
      </c>
      <c r="R268" s="398">
        <v>0</v>
      </c>
      <c r="S268" s="403">
        <v>0</v>
      </c>
      <c r="T268" s="403">
        <f t="shared" si="84"/>
        <v>5000000</v>
      </c>
      <c r="U268" s="818">
        <f t="shared" si="63"/>
        <v>5000000</v>
      </c>
      <c r="V268" s="591">
        <f t="shared" si="85"/>
        <v>5000000</v>
      </c>
      <c r="W268" s="818">
        <f t="shared" si="86"/>
        <v>5000000</v>
      </c>
    </row>
    <row r="269" spans="2:23" s="342" customFormat="1" ht="12.75">
      <c r="B269" s="336"/>
      <c r="C269" s="343"/>
      <c r="D269" s="338"/>
      <c r="E269" s="343"/>
      <c r="F269" s="349">
        <v>187</v>
      </c>
      <c r="G269" s="428">
        <v>425</v>
      </c>
      <c r="H269" s="1269" t="s">
        <v>1435</v>
      </c>
      <c r="I269" s="1270"/>
      <c r="J269" s="1271"/>
      <c r="K269" s="723">
        <v>0</v>
      </c>
      <c r="L269" s="723">
        <v>0</v>
      </c>
      <c r="M269" s="871">
        <v>0</v>
      </c>
      <c r="N269" s="340">
        <v>0</v>
      </c>
      <c r="O269" s="395">
        <v>0</v>
      </c>
      <c r="P269" s="395">
        <v>12000000</v>
      </c>
      <c r="Q269" s="392">
        <v>12000000</v>
      </c>
      <c r="R269" s="398">
        <v>0</v>
      </c>
      <c r="S269" s="398">
        <v>0</v>
      </c>
      <c r="T269" s="398">
        <f t="shared" si="84"/>
        <v>24000000</v>
      </c>
      <c r="U269" s="818">
        <f aca="true" t="shared" si="87" ref="U269:U329">M269+N269+O269+P269+Q269+R269+S269</f>
        <v>24000000</v>
      </c>
      <c r="V269" s="591">
        <f t="shared" si="85"/>
        <v>24000000</v>
      </c>
      <c r="W269" s="818">
        <f t="shared" si="86"/>
        <v>24000000</v>
      </c>
    </row>
    <row r="270" spans="2:23" s="342" customFormat="1" ht="12.75">
      <c r="B270" s="336"/>
      <c r="C270" s="343"/>
      <c r="D270" s="338"/>
      <c r="E270" s="343"/>
      <c r="F270" s="349">
        <v>188</v>
      </c>
      <c r="G270" s="428">
        <v>426</v>
      </c>
      <c r="H270" s="1257" t="s">
        <v>1353</v>
      </c>
      <c r="I270" s="1258"/>
      <c r="J270" s="1259"/>
      <c r="K270" s="723">
        <v>500000</v>
      </c>
      <c r="L270" s="345">
        <v>0</v>
      </c>
      <c r="M270" s="523">
        <v>500000</v>
      </c>
      <c r="N270" s="340">
        <v>0</v>
      </c>
      <c r="O270" s="395">
        <v>0</v>
      </c>
      <c r="P270" s="395">
        <v>0</v>
      </c>
      <c r="Q270" s="398">
        <v>0</v>
      </c>
      <c r="R270" s="398">
        <v>0</v>
      </c>
      <c r="S270" s="398">
        <v>0</v>
      </c>
      <c r="T270" s="398">
        <f t="shared" si="84"/>
        <v>0</v>
      </c>
      <c r="U270" s="818">
        <f t="shared" si="87"/>
        <v>500000</v>
      </c>
      <c r="V270" s="591">
        <f t="shared" si="85"/>
        <v>500000</v>
      </c>
      <c r="W270" s="818">
        <f t="shared" si="86"/>
        <v>500000</v>
      </c>
    </row>
    <row r="271" spans="2:23" s="342" customFormat="1" ht="12.75">
      <c r="B271" s="336"/>
      <c r="C271" s="343"/>
      <c r="D271" s="338"/>
      <c r="E271" s="343"/>
      <c r="F271" s="496">
        <v>189</v>
      </c>
      <c r="G271" s="428">
        <v>426</v>
      </c>
      <c r="H271" s="1257" t="s">
        <v>1354</v>
      </c>
      <c r="I271" s="1258"/>
      <c r="J271" s="1259"/>
      <c r="K271" s="723">
        <v>100000</v>
      </c>
      <c r="L271" s="345">
        <v>0</v>
      </c>
      <c r="M271" s="523">
        <v>100000</v>
      </c>
      <c r="N271" s="340">
        <v>0</v>
      </c>
      <c r="O271" s="395">
        <v>0</v>
      </c>
      <c r="P271" s="395">
        <v>0</v>
      </c>
      <c r="Q271" s="398">
        <v>0</v>
      </c>
      <c r="R271" s="398">
        <v>0</v>
      </c>
      <c r="S271" s="398">
        <v>0</v>
      </c>
      <c r="T271" s="398">
        <f t="shared" si="84"/>
        <v>0</v>
      </c>
      <c r="U271" s="818">
        <f t="shared" si="87"/>
        <v>100000</v>
      </c>
      <c r="V271" s="591">
        <f t="shared" si="85"/>
        <v>100000</v>
      </c>
      <c r="W271" s="818">
        <f t="shared" si="86"/>
        <v>100000</v>
      </c>
    </row>
    <row r="272" spans="2:23" s="342" customFormat="1" ht="12.75">
      <c r="B272" s="336"/>
      <c r="C272" s="343"/>
      <c r="D272" s="338"/>
      <c r="E272" s="343"/>
      <c r="F272" s="496">
        <v>190</v>
      </c>
      <c r="G272" s="428">
        <v>451</v>
      </c>
      <c r="H272" s="1257" t="s">
        <v>1355</v>
      </c>
      <c r="I272" s="1258"/>
      <c r="J272" s="1259"/>
      <c r="K272" s="723">
        <v>0</v>
      </c>
      <c r="L272" s="345">
        <v>0</v>
      </c>
      <c r="M272" s="523">
        <v>0</v>
      </c>
      <c r="N272" s="340">
        <v>0</v>
      </c>
      <c r="O272" s="395">
        <v>0</v>
      </c>
      <c r="P272" s="395">
        <v>0</v>
      </c>
      <c r="Q272" s="398">
        <v>20000000</v>
      </c>
      <c r="R272" s="398">
        <v>0</v>
      </c>
      <c r="S272" s="398">
        <v>0</v>
      </c>
      <c r="T272" s="401">
        <f t="shared" si="84"/>
        <v>20000000</v>
      </c>
      <c r="U272" s="818">
        <f t="shared" si="87"/>
        <v>20000000</v>
      </c>
      <c r="V272" s="591">
        <f t="shared" si="85"/>
        <v>20000000</v>
      </c>
      <c r="W272" s="818">
        <f t="shared" si="86"/>
        <v>20000000</v>
      </c>
    </row>
    <row r="273" spans="2:23" s="494" customFormat="1" ht="12.75">
      <c r="B273" s="495"/>
      <c r="C273" s="436"/>
      <c r="D273" s="496"/>
      <c r="E273" s="436"/>
      <c r="F273" s="496">
        <v>191</v>
      </c>
      <c r="G273" s="418">
        <v>482</v>
      </c>
      <c r="H273" s="1355" t="s">
        <v>214</v>
      </c>
      <c r="I273" s="1356"/>
      <c r="J273" s="1357"/>
      <c r="K273" s="860">
        <v>100000</v>
      </c>
      <c r="L273" s="1010">
        <v>0</v>
      </c>
      <c r="M273" s="979">
        <v>100000</v>
      </c>
      <c r="N273" s="340">
        <v>0</v>
      </c>
      <c r="O273" s="497">
        <v>0</v>
      </c>
      <c r="P273" s="497">
        <v>0</v>
      </c>
      <c r="Q273" s="400">
        <v>0</v>
      </c>
      <c r="R273" s="398">
        <v>0</v>
      </c>
      <c r="S273" s="400">
        <v>0</v>
      </c>
      <c r="T273" s="498">
        <f t="shared" si="84"/>
        <v>0</v>
      </c>
      <c r="U273" s="818">
        <f t="shared" si="87"/>
        <v>100000</v>
      </c>
      <c r="V273" s="814">
        <f t="shared" si="85"/>
        <v>100000</v>
      </c>
      <c r="W273" s="818">
        <f t="shared" si="86"/>
        <v>100000</v>
      </c>
    </row>
    <row r="274" spans="2:23" s="342" customFormat="1" ht="12.75">
      <c r="B274" s="336"/>
      <c r="C274" s="343"/>
      <c r="D274" s="338"/>
      <c r="E274" s="343"/>
      <c r="F274" s="496">
        <v>192</v>
      </c>
      <c r="G274" s="418">
        <v>512</v>
      </c>
      <c r="H274" s="1351" t="s">
        <v>1461</v>
      </c>
      <c r="I274" s="1332"/>
      <c r="J274" s="1352"/>
      <c r="K274" s="871">
        <v>500000</v>
      </c>
      <c r="L274" s="997">
        <v>0</v>
      </c>
      <c r="M274" s="523">
        <v>500000</v>
      </c>
      <c r="N274" s="340">
        <v>0</v>
      </c>
      <c r="O274" s="395">
        <v>0</v>
      </c>
      <c r="P274" s="395">
        <v>0</v>
      </c>
      <c r="Q274" s="398">
        <v>0</v>
      </c>
      <c r="R274" s="398">
        <v>0</v>
      </c>
      <c r="S274" s="398">
        <v>0</v>
      </c>
      <c r="T274" s="401">
        <f t="shared" si="84"/>
        <v>0</v>
      </c>
      <c r="U274" s="818">
        <f t="shared" si="87"/>
        <v>500000</v>
      </c>
      <c r="V274" s="591">
        <f t="shared" si="85"/>
        <v>500000</v>
      </c>
      <c r="W274" s="818">
        <f t="shared" si="86"/>
        <v>500000</v>
      </c>
    </row>
    <row r="275" spans="2:23" ht="14.25" customHeight="1">
      <c r="B275" s="270"/>
      <c r="C275" s="271"/>
      <c r="D275" s="412"/>
      <c r="E275" s="332" t="s">
        <v>300</v>
      </c>
      <c r="F275" s="412"/>
      <c r="G275" s="413"/>
      <c r="H275" s="1260" t="s">
        <v>1211</v>
      </c>
      <c r="I275" s="1261"/>
      <c r="J275" s="1262"/>
      <c r="K275" s="851">
        <f aca="true" t="shared" si="88" ref="K275:S276">K276</f>
        <v>1500000</v>
      </c>
      <c r="L275" s="976">
        <f t="shared" si="88"/>
        <v>0</v>
      </c>
      <c r="M275" s="984">
        <f t="shared" si="88"/>
        <v>1500000</v>
      </c>
      <c r="N275" s="276">
        <f t="shared" si="88"/>
        <v>0</v>
      </c>
      <c r="O275" s="276">
        <f t="shared" si="88"/>
        <v>0</v>
      </c>
      <c r="P275" s="276">
        <f t="shared" si="88"/>
        <v>0</v>
      </c>
      <c r="Q275" s="276">
        <f t="shared" si="88"/>
        <v>0</v>
      </c>
      <c r="R275" s="276">
        <f t="shared" si="88"/>
        <v>0</v>
      </c>
      <c r="S275" s="321">
        <f t="shared" si="88"/>
        <v>0</v>
      </c>
      <c r="T275" s="321">
        <f t="shared" si="84"/>
        <v>0</v>
      </c>
      <c r="U275" s="819">
        <f t="shared" si="87"/>
        <v>1500000</v>
      </c>
      <c r="V275" s="635">
        <f t="shared" si="85"/>
        <v>1500000</v>
      </c>
      <c r="W275" s="635">
        <f t="shared" si="86"/>
        <v>1500000</v>
      </c>
    </row>
    <row r="276" spans="2:23" s="23" customFormat="1" ht="12.75">
      <c r="B276" s="602"/>
      <c r="C276" s="603"/>
      <c r="D276" s="56">
        <v>620</v>
      </c>
      <c r="E276" s="167"/>
      <c r="F276" s="604"/>
      <c r="G276" s="605"/>
      <c r="H276" s="1296" t="s">
        <v>114</v>
      </c>
      <c r="I276" s="1297"/>
      <c r="J276" s="708"/>
      <c r="K276" s="365">
        <f t="shared" si="88"/>
        <v>1500000</v>
      </c>
      <c r="L276" s="709">
        <f t="shared" si="88"/>
        <v>0</v>
      </c>
      <c r="M276" s="713">
        <f t="shared" si="88"/>
        <v>1500000</v>
      </c>
      <c r="N276" s="365">
        <f t="shared" si="88"/>
        <v>0</v>
      </c>
      <c r="O276" s="365">
        <f t="shared" si="88"/>
        <v>0</v>
      </c>
      <c r="P276" s="365">
        <f t="shared" si="88"/>
        <v>0</v>
      </c>
      <c r="Q276" s="606">
        <f t="shared" si="88"/>
        <v>0</v>
      </c>
      <c r="R276" s="606">
        <f t="shared" si="88"/>
        <v>0</v>
      </c>
      <c r="S276" s="606">
        <f t="shared" si="88"/>
        <v>0</v>
      </c>
      <c r="T276" s="709">
        <f t="shared" si="84"/>
        <v>0</v>
      </c>
      <c r="U276" s="1048">
        <f t="shared" si="87"/>
        <v>1500000</v>
      </c>
      <c r="V276" s="811">
        <f t="shared" si="85"/>
        <v>1500000</v>
      </c>
      <c r="W276" s="1048">
        <f t="shared" si="86"/>
        <v>1500000</v>
      </c>
    </row>
    <row r="277" spans="2:23" ht="13.5" customHeight="1">
      <c r="B277" s="336"/>
      <c r="C277" s="59"/>
      <c r="D277" s="344"/>
      <c r="E277" s="337"/>
      <c r="F277" s="338">
        <v>193</v>
      </c>
      <c r="G277" s="339">
        <v>454</v>
      </c>
      <c r="H277" s="1269" t="s">
        <v>1356</v>
      </c>
      <c r="I277" s="1270"/>
      <c r="J277" s="1270"/>
      <c r="K277" s="359">
        <v>1500000</v>
      </c>
      <c r="L277" s="359">
        <v>0</v>
      </c>
      <c r="M277" s="523">
        <v>1500000</v>
      </c>
      <c r="N277" s="506">
        <v>0</v>
      </c>
      <c r="O277" s="506">
        <v>0</v>
      </c>
      <c r="P277" s="705">
        <v>0</v>
      </c>
      <c r="Q277" s="706">
        <v>0</v>
      </c>
      <c r="R277" s="706">
        <v>0</v>
      </c>
      <c r="S277" s="706">
        <v>0</v>
      </c>
      <c r="T277" s="341">
        <f t="shared" si="84"/>
        <v>0</v>
      </c>
      <c r="U277" s="818">
        <f t="shared" si="87"/>
        <v>1500000</v>
      </c>
      <c r="V277" s="742">
        <f t="shared" si="85"/>
        <v>1500000</v>
      </c>
      <c r="W277" s="818">
        <f t="shared" si="86"/>
        <v>1500000</v>
      </c>
    </row>
    <row r="278" spans="2:23" s="668" customFormat="1" ht="12.75">
      <c r="B278" s="617"/>
      <c r="C278" s="618"/>
      <c r="D278" s="594"/>
      <c r="E278" s="593" t="s">
        <v>302</v>
      </c>
      <c r="F278" s="594"/>
      <c r="G278" s="595"/>
      <c r="H278" s="1293" t="s">
        <v>301</v>
      </c>
      <c r="I278" s="1294"/>
      <c r="J278" s="1295"/>
      <c r="K278" s="868">
        <f>K279+K283+K289</f>
        <v>18906600</v>
      </c>
      <c r="L278" s="996">
        <f aca="true" t="shared" si="89" ref="L278:S278">L279+L283+L289</f>
        <v>787000</v>
      </c>
      <c r="M278" s="994">
        <f t="shared" si="89"/>
        <v>16906700</v>
      </c>
      <c r="N278" s="619">
        <f t="shared" si="89"/>
        <v>0</v>
      </c>
      <c r="O278" s="619">
        <f t="shared" si="89"/>
        <v>0</v>
      </c>
      <c r="P278" s="619">
        <f t="shared" si="89"/>
        <v>0</v>
      </c>
      <c r="Q278" s="619">
        <f t="shared" si="89"/>
        <v>0</v>
      </c>
      <c r="R278" s="619">
        <f t="shared" si="89"/>
        <v>0</v>
      </c>
      <c r="S278" s="619">
        <f t="shared" si="89"/>
        <v>0</v>
      </c>
      <c r="T278" s="620">
        <f t="shared" si="84"/>
        <v>0</v>
      </c>
      <c r="U278" s="1027">
        <f t="shared" si="87"/>
        <v>16906700</v>
      </c>
      <c r="V278" s="822">
        <f t="shared" si="85"/>
        <v>16906700</v>
      </c>
      <c r="W278" s="822">
        <f t="shared" si="86"/>
        <v>16906700</v>
      </c>
    </row>
    <row r="279" spans="2:23" ht="14.25" customHeight="1">
      <c r="B279" s="270"/>
      <c r="C279" s="271"/>
      <c r="D279" s="412"/>
      <c r="E279" s="332" t="s">
        <v>1212</v>
      </c>
      <c r="F279" s="412"/>
      <c r="G279" s="413"/>
      <c r="H279" s="1260" t="s">
        <v>312</v>
      </c>
      <c r="I279" s="1261"/>
      <c r="J279" s="1262"/>
      <c r="K279" s="851">
        <f aca="true" t="shared" si="90" ref="K279:S279">K280</f>
        <v>10306600</v>
      </c>
      <c r="L279" s="976">
        <f t="shared" si="90"/>
        <v>787000</v>
      </c>
      <c r="M279" s="984">
        <f t="shared" si="90"/>
        <v>10306600</v>
      </c>
      <c r="N279" s="276">
        <f t="shared" si="90"/>
        <v>0</v>
      </c>
      <c r="O279" s="276">
        <f t="shared" si="90"/>
        <v>0</v>
      </c>
      <c r="P279" s="276">
        <f t="shared" si="90"/>
        <v>0</v>
      </c>
      <c r="Q279" s="276">
        <f t="shared" si="90"/>
        <v>0</v>
      </c>
      <c r="R279" s="276">
        <f t="shared" si="90"/>
        <v>0</v>
      </c>
      <c r="S279" s="276">
        <f t="shared" si="90"/>
        <v>0</v>
      </c>
      <c r="T279" s="321">
        <f t="shared" si="84"/>
        <v>0</v>
      </c>
      <c r="U279" s="819">
        <f t="shared" si="87"/>
        <v>10306600</v>
      </c>
      <c r="V279" s="635">
        <f t="shared" si="85"/>
        <v>10306600</v>
      </c>
      <c r="W279" s="635">
        <f t="shared" si="86"/>
        <v>10306600</v>
      </c>
    </row>
    <row r="280" spans="2:23" s="42" customFormat="1" ht="12.75">
      <c r="B280" s="602"/>
      <c r="C280" s="603"/>
      <c r="D280" s="56">
        <v>510</v>
      </c>
      <c r="E280" s="167"/>
      <c r="F280" s="604"/>
      <c r="G280" s="605"/>
      <c r="H280" s="1296" t="s">
        <v>1214</v>
      </c>
      <c r="I280" s="1297"/>
      <c r="J280" s="1298"/>
      <c r="K280" s="727">
        <f aca="true" t="shared" si="91" ref="K280:S280">SUM(K281:K282)</f>
        <v>10306600</v>
      </c>
      <c r="L280" s="1011">
        <f t="shared" si="91"/>
        <v>787000</v>
      </c>
      <c r="M280" s="812">
        <f t="shared" si="91"/>
        <v>10306600</v>
      </c>
      <c r="N280" s="365">
        <f t="shared" si="91"/>
        <v>0</v>
      </c>
      <c r="O280" s="365">
        <f t="shared" si="91"/>
        <v>0</v>
      </c>
      <c r="P280" s="365">
        <f t="shared" si="91"/>
        <v>0</v>
      </c>
      <c r="Q280" s="365">
        <f t="shared" si="91"/>
        <v>0</v>
      </c>
      <c r="R280" s="365">
        <f t="shared" si="91"/>
        <v>0</v>
      </c>
      <c r="S280" s="365">
        <f t="shared" si="91"/>
        <v>0</v>
      </c>
      <c r="T280" s="804">
        <f t="shared" si="84"/>
        <v>0</v>
      </c>
      <c r="U280" s="1048">
        <f t="shared" si="87"/>
        <v>10306600</v>
      </c>
      <c r="V280" s="361">
        <f t="shared" si="85"/>
        <v>10306600</v>
      </c>
      <c r="W280" s="1048">
        <f t="shared" si="86"/>
        <v>10306600</v>
      </c>
    </row>
    <row r="281" spans="2:23" s="342" customFormat="1" ht="12.75" customHeight="1">
      <c r="B281" s="355"/>
      <c r="C281" s="319"/>
      <c r="D281" s="356"/>
      <c r="E281" s="357"/>
      <c r="F281" s="349">
        <v>194</v>
      </c>
      <c r="G281" s="350">
        <v>424</v>
      </c>
      <c r="H281" s="1269" t="s">
        <v>1534</v>
      </c>
      <c r="I281" s="1270"/>
      <c r="J281" s="1271"/>
      <c r="K281" s="358">
        <v>250000</v>
      </c>
      <c r="L281" s="358">
        <v>0</v>
      </c>
      <c r="M281" s="358">
        <v>250000</v>
      </c>
      <c r="N281" s="340">
        <v>0</v>
      </c>
      <c r="O281" s="391">
        <v>0</v>
      </c>
      <c r="P281" s="391">
        <v>0</v>
      </c>
      <c r="Q281" s="609">
        <v>0</v>
      </c>
      <c r="R281" s="392">
        <v>0</v>
      </c>
      <c r="S281" s="607">
        <v>0</v>
      </c>
      <c r="T281" s="607">
        <f t="shared" si="84"/>
        <v>0</v>
      </c>
      <c r="U281" s="818">
        <f t="shared" si="87"/>
        <v>250000</v>
      </c>
      <c r="V281" s="362">
        <f t="shared" si="85"/>
        <v>250000</v>
      </c>
      <c r="W281" s="818">
        <f t="shared" si="86"/>
        <v>250000</v>
      </c>
    </row>
    <row r="282" spans="1:23" s="342" customFormat="1" ht="12.75">
      <c r="A282" s="342">
        <v>12600</v>
      </c>
      <c r="B282" s="355"/>
      <c r="C282" s="319"/>
      <c r="D282" s="356"/>
      <c r="E282" s="357"/>
      <c r="F282" s="349">
        <v>195</v>
      </c>
      <c r="G282" s="350">
        <v>451</v>
      </c>
      <c r="H282" s="1269" t="s">
        <v>1456</v>
      </c>
      <c r="I282" s="1270"/>
      <c r="J282" s="1271"/>
      <c r="K282" s="358">
        <v>10056600</v>
      </c>
      <c r="L282" s="358">
        <v>787000</v>
      </c>
      <c r="M282" s="358">
        <v>10056600</v>
      </c>
      <c r="N282" s="340">
        <v>0</v>
      </c>
      <c r="O282" s="514">
        <v>0</v>
      </c>
      <c r="P282" s="398">
        <v>0</v>
      </c>
      <c r="Q282" s="398">
        <v>0</v>
      </c>
      <c r="R282" s="597">
        <v>0</v>
      </c>
      <c r="S282" s="608">
        <v>0</v>
      </c>
      <c r="T282" s="607">
        <f t="shared" si="84"/>
        <v>0</v>
      </c>
      <c r="U282" s="818">
        <f t="shared" si="87"/>
        <v>10056600</v>
      </c>
      <c r="V282" s="362">
        <f t="shared" si="85"/>
        <v>10056600</v>
      </c>
      <c r="W282" s="818">
        <f t="shared" si="86"/>
        <v>10056600</v>
      </c>
    </row>
    <row r="283" spans="2:23" ht="14.25" customHeight="1">
      <c r="B283" s="270"/>
      <c r="C283" s="271"/>
      <c r="D283" s="412"/>
      <c r="E283" s="332" t="s">
        <v>303</v>
      </c>
      <c r="F283" s="412"/>
      <c r="G283" s="413"/>
      <c r="H283" s="1260" t="s">
        <v>1213</v>
      </c>
      <c r="I283" s="1261"/>
      <c r="J283" s="1262"/>
      <c r="K283" s="851">
        <f aca="true" t="shared" si="92" ref="K283:S283">K284</f>
        <v>6100000</v>
      </c>
      <c r="L283" s="851">
        <f t="shared" si="92"/>
        <v>0</v>
      </c>
      <c r="M283" s="851">
        <f t="shared" si="92"/>
        <v>6100000</v>
      </c>
      <c r="N283" s="276">
        <f t="shared" si="92"/>
        <v>0</v>
      </c>
      <c r="O283" s="276">
        <f t="shared" si="92"/>
        <v>0</v>
      </c>
      <c r="P283" s="276">
        <f t="shared" si="92"/>
        <v>0</v>
      </c>
      <c r="Q283" s="276">
        <f t="shared" si="92"/>
        <v>0</v>
      </c>
      <c r="R283" s="700">
        <f t="shared" si="92"/>
        <v>0</v>
      </c>
      <c r="S283" s="700">
        <f t="shared" si="92"/>
        <v>0</v>
      </c>
      <c r="T283" s="805">
        <f t="shared" si="84"/>
        <v>0</v>
      </c>
      <c r="U283" s="819">
        <f t="shared" si="87"/>
        <v>6100000</v>
      </c>
      <c r="V283" s="635">
        <f t="shared" si="85"/>
        <v>6100000</v>
      </c>
      <c r="W283" s="635">
        <f t="shared" si="86"/>
        <v>6100000</v>
      </c>
    </row>
    <row r="284" spans="2:23" s="42" customFormat="1" ht="12.75">
      <c r="B284" s="602"/>
      <c r="C284" s="603"/>
      <c r="D284" s="56">
        <v>560</v>
      </c>
      <c r="E284" s="167"/>
      <c r="F284" s="604"/>
      <c r="G284" s="605"/>
      <c r="H284" s="1296" t="s">
        <v>1215</v>
      </c>
      <c r="I284" s="1297"/>
      <c r="J284" s="1298"/>
      <c r="K284" s="727">
        <f>SUM(K285:K288)</f>
        <v>6100000</v>
      </c>
      <c r="L284" s="727">
        <f>SUM(L285:L288)</f>
        <v>0</v>
      </c>
      <c r="M284" s="727">
        <f>SUM(M285:M288)</f>
        <v>6100000</v>
      </c>
      <c r="N284" s="365">
        <f aca="true" t="shared" si="93" ref="N284:S284">SUM(N285:N288)</f>
        <v>0</v>
      </c>
      <c r="O284" s="365">
        <f t="shared" si="93"/>
        <v>0</v>
      </c>
      <c r="P284" s="365">
        <f t="shared" si="93"/>
        <v>0</v>
      </c>
      <c r="Q284" s="709">
        <f t="shared" si="93"/>
        <v>0</v>
      </c>
      <c r="R284" s="713">
        <f t="shared" si="93"/>
        <v>0</v>
      </c>
      <c r="S284" s="713">
        <f t="shared" si="93"/>
        <v>0</v>
      </c>
      <c r="T284" s="806">
        <f t="shared" si="84"/>
        <v>0</v>
      </c>
      <c r="U284" s="1048">
        <f t="shared" si="87"/>
        <v>6100000</v>
      </c>
      <c r="V284" s="361">
        <f t="shared" si="85"/>
        <v>6100000</v>
      </c>
      <c r="W284" s="1048">
        <f t="shared" si="86"/>
        <v>6100000</v>
      </c>
    </row>
    <row r="285" spans="2:23" s="342" customFormat="1" ht="12.75">
      <c r="B285" s="336"/>
      <c r="C285" s="59"/>
      <c r="D285" s="56"/>
      <c r="E285" s="167"/>
      <c r="F285" s="349">
        <v>196</v>
      </c>
      <c r="G285" s="339">
        <v>424</v>
      </c>
      <c r="H285" s="1257" t="s">
        <v>1391</v>
      </c>
      <c r="I285" s="1258"/>
      <c r="J285" s="1259"/>
      <c r="K285" s="871">
        <v>2500000</v>
      </c>
      <c r="L285" s="871">
        <v>0</v>
      </c>
      <c r="M285" s="871">
        <v>2500000</v>
      </c>
      <c r="N285" s="340">
        <v>0</v>
      </c>
      <c r="O285" s="405">
        <v>0</v>
      </c>
      <c r="P285" s="405">
        <v>0</v>
      </c>
      <c r="Q285" s="446">
        <v>0</v>
      </c>
      <c r="R285" s="597">
        <v>0</v>
      </c>
      <c r="S285" s="597">
        <v>0</v>
      </c>
      <c r="T285" s="710">
        <f t="shared" si="84"/>
        <v>0</v>
      </c>
      <c r="U285" s="818">
        <f t="shared" si="87"/>
        <v>2500000</v>
      </c>
      <c r="V285" s="362">
        <f t="shared" si="85"/>
        <v>2500000</v>
      </c>
      <c r="W285" s="818">
        <f t="shared" si="86"/>
        <v>2500000</v>
      </c>
    </row>
    <row r="286" spans="2:23" s="342" customFormat="1" ht="12.75">
      <c r="B286" s="355"/>
      <c r="C286" s="319"/>
      <c r="D286" s="60"/>
      <c r="E286" s="519"/>
      <c r="F286" s="349">
        <v>197</v>
      </c>
      <c r="G286" s="350">
        <v>424</v>
      </c>
      <c r="H286" s="353" t="s">
        <v>1360</v>
      </c>
      <c r="I286" s="697"/>
      <c r="J286" s="697"/>
      <c r="K286" s="523">
        <v>3000000</v>
      </c>
      <c r="L286" s="523">
        <v>0</v>
      </c>
      <c r="M286" s="523">
        <v>3000000</v>
      </c>
      <c r="N286" s="340">
        <v>0</v>
      </c>
      <c r="O286" s="610">
        <v>0</v>
      </c>
      <c r="P286" s="404">
        <v>0</v>
      </c>
      <c r="Q286" s="710">
        <v>0</v>
      </c>
      <c r="R286" s="597">
        <v>0</v>
      </c>
      <c r="S286" s="597">
        <v>0</v>
      </c>
      <c r="T286" s="710">
        <f t="shared" si="84"/>
        <v>0</v>
      </c>
      <c r="U286" s="818">
        <f t="shared" si="87"/>
        <v>3000000</v>
      </c>
      <c r="V286" s="362">
        <f t="shared" si="85"/>
        <v>3000000</v>
      </c>
      <c r="W286" s="818">
        <f t="shared" si="86"/>
        <v>3000000</v>
      </c>
    </row>
    <row r="287" spans="2:23" s="342" customFormat="1" ht="12.75">
      <c r="B287" s="355"/>
      <c r="C287" s="319"/>
      <c r="D287" s="60"/>
      <c r="E287" s="519"/>
      <c r="F287" s="349">
        <v>198</v>
      </c>
      <c r="G287" s="350">
        <v>481</v>
      </c>
      <c r="H287" s="1351" t="s">
        <v>162</v>
      </c>
      <c r="I287" s="1332"/>
      <c r="J287" s="1332"/>
      <c r="K287" s="523">
        <v>100000</v>
      </c>
      <c r="L287" s="523">
        <v>0</v>
      </c>
      <c r="M287" s="523">
        <v>100000</v>
      </c>
      <c r="N287" s="340">
        <v>0</v>
      </c>
      <c r="O287" s="610">
        <v>0</v>
      </c>
      <c r="P287" s="610">
        <v>0</v>
      </c>
      <c r="Q287" s="711">
        <v>0</v>
      </c>
      <c r="R287" s="597">
        <v>0</v>
      </c>
      <c r="S287" s="597">
        <v>0</v>
      </c>
      <c r="T287" s="710">
        <f t="shared" si="84"/>
        <v>0</v>
      </c>
      <c r="U287" s="818">
        <f t="shared" si="87"/>
        <v>100000</v>
      </c>
      <c r="V287" s="362">
        <f t="shared" si="85"/>
        <v>100000</v>
      </c>
      <c r="W287" s="818">
        <f t="shared" si="86"/>
        <v>100000</v>
      </c>
    </row>
    <row r="288" spans="2:23" s="342" customFormat="1" ht="12.75">
      <c r="B288" s="355"/>
      <c r="C288" s="319"/>
      <c r="D288" s="60"/>
      <c r="E288" s="519"/>
      <c r="F288" s="349">
        <v>199</v>
      </c>
      <c r="G288" s="350">
        <v>424</v>
      </c>
      <c r="H288" s="1354" t="s">
        <v>1384</v>
      </c>
      <c r="I288" s="1277"/>
      <c r="J288" s="1277"/>
      <c r="K288" s="523">
        <v>500000</v>
      </c>
      <c r="L288" s="523">
        <v>0</v>
      </c>
      <c r="M288" s="523">
        <v>500000</v>
      </c>
      <c r="N288" s="340">
        <v>0</v>
      </c>
      <c r="O288" s="610">
        <v>0</v>
      </c>
      <c r="P288" s="404">
        <v>0</v>
      </c>
      <c r="Q288" s="712">
        <v>0</v>
      </c>
      <c r="R288" s="597">
        <v>0</v>
      </c>
      <c r="S288" s="597">
        <v>0</v>
      </c>
      <c r="T288" s="710">
        <f t="shared" si="84"/>
        <v>0</v>
      </c>
      <c r="U288" s="818">
        <f t="shared" si="87"/>
        <v>500000</v>
      </c>
      <c r="V288" s="362">
        <f t="shared" si="85"/>
        <v>500000</v>
      </c>
      <c r="W288" s="818">
        <f t="shared" si="86"/>
        <v>500000</v>
      </c>
    </row>
    <row r="289" spans="2:23" ht="14.25" customHeight="1">
      <c r="B289" s="270"/>
      <c r="C289" s="271"/>
      <c r="D289" s="412"/>
      <c r="E289" s="332" t="s">
        <v>833</v>
      </c>
      <c r="F289" s="412"/>
      <c r="G289" s="413"/>
      <c r="H289" s="1260" t="s">
        <v>1316</v>
      </c>
      <c r="I289" s="1280"/>
      <c r="J289" s="1281"/>
      <c r="K289" s="872">
        <f>K290</f>
        <v>2500000</v>
      </c>
      <c r="L289" s="872">
        <f>L290</f>
        <v>0</v>
      </c>
      <c r="M289" s="872">
        <f>M290</f>
        <v>500100</v>
      </c>
      <c r="N289" s="276">
        <f aca="true" t="shared" si="94" ref="N289:S289">N290</f>
        <v>0</v>
      </c>
      <c r="O289" s="276">
        <f t="shared" si="94"/>
        <v>0</v>
      </c>
      <c r="P289" s="276">
        <f t="shared" si="94"/>
        <v>0</v>
      </c>
      <c r="Q289" s="276">
        <f t="shared" si="94"/>
        <v>0</v>
      </c>
      <c r="R289" s="276">
        <f t="shared" si="94"/>
        <v>0</v>
      </c>
      <c r="S289" s="276">
        <f t="shared" si="94"/>
        <v>0</v>
      </c>
      <c r="T289" s="321">
        <f t="shared" si="84"/>
        <v>0</v>
      </c>
      <c r="U289" s="819">
        <f t="shared" si="87"/>
        <v>500100</v>
      </c>
      <c r="V289" s="635">
        <f t="shared" si="85"/>
        <v>500100</v>
      </c>
      <c r="W289" s="635">
        <f t="shared" si="86"/>
        <v>500100</v>
      </c>
    </row>
    <row r="290" spans="2:23" s="42" customFormat="1" ht="12.75">
      <c r="B290" s="602"/>
      <c r="C290" s="603"/>
      <c r="D290" s="56">
        <v>520</v>
      </c>
      <c r="E290" s="167"/>
      <c r="F290" s="604"/>
      <c r="G290" s="605"/>
      <c r="H290" s="1296" t="s">
        <v>1316</v>
      </c>
      <c r="I290" s="1297"/>
      <c r="J290" s="1298"/>
      <c r="K290" s="727">
        <f>SUM(K291:K292)</f>
        <v>2500000</v>
      </c>
      <c r="L290" s="727">
        <f aca="true" t="shared" si="95" ref="L290:S290">SUM(L291:L291)</f>
        <v>0</v>
      </c>
      <c r="M290" s="727">
        <f>SUM(M291:M292)</f>
        <v>500100</v>
      </c>
      <c r="N290" s="365">
        <f t="shared" si="95"/>
        <v>0</v>
      </c>
      <c r="O290" s="365">
        <f t="shared" si="95"/>
        <v>0</v>
      </c>
      <c r="P290" s="606">
        <f t="shared" si="95"/>
        <v>0</v>
      </c>
      <c r="Q290" s="606">
        <f t="shared" si="95"/>
        <v>0</v>
      </c>
      <c r="R290" s="606">
        <f t="shared" si="95"/>
        <v>0</v>
      </c>
      <c r="S290" s="606">
        <f t="shared" si="95"/>
        <v>0</v>
      </c>
      <c r="T290" s="804">
        <f t="shared" si="84"/>
        <v>0</v>
      </c>
      <c r="U290" s="1048">
        <f t="shared" si="87"/>
        <v>500100</v>
      </c>
      <c r="V290" s="361">
        <f t="shared" si="85"/>
        <v>500100</v>
      </c>
      <c r="W290" s="1048">
        <f t="shared" si="86"/>
        <v>500100</v>
      </c>
    </row>
    <row r="291" spans="2:23" s="342" customFormat="1" ht="12.75" customHeight="1">
      <c r="B291" s="355"/>
      <c r="C291" s="319"/>
      <c r="D291" s="356"/>
      <c r="E291" s="357"/>
      <c r="F291" s="349">
        <v>200</v>
      </c>
      <c r="G291" s="350">
        <v>425</v>
      </c>
      <c r="H291" s="1269" t="s">
        <v>1361</v>
      </c>
      <c r="I291" s="1270"/>
      <c r="J291" s="1271"/>
      <c r="K291" s="358">
        <v>500000</v>
      </c>
      <c r="L291" s="358">
        <v>0</v>
      </c>
      <c r="M291" s="358">
        <v>500000</v>
      </c>
      <c r="N291" s="340">
        <v>0</v>
      </c>
      <c r="O291" s="1101">
        <v>0</v>
      </c>
      <c r="P291" s="740">
        <v>0</v>
      </c>
      <c r="Q291" s="740">
        <v>0</v>
      </c>
      <c r="R291" s="719">
        <v>0</v>
      </c>
      <c r="S291" s="740">
        <v>0</v>
      </c>
      <c r="T291" s="1118">
        <f t="shared" si="84"/>
        <v>0</v>
      </c>
      <c r="U291" s="1059">
        <f t="shared" si="87"/>
        <v>500000</v>
      </c>
      <c r="V291" s="362">
        <f t="shared" si="85"/>
        <v>500000</v>
      </c>
      <c r="W291" s="818">
        <f t="shared" si="86"/>
        <v>500000</v>
      </c>
    </row>
    <row r="292" spans="2:23" s="342" customFormat="1" ht="12.75" customHeight="1">
      <c r="B292" s="355"/>
      <c r="C292" s="319"/>
      <c r="D292" s="356"/>
      <c r="E292" s="357"/>
      <c r="F292" s="349">
        <v>201</v>
      </c>
      <c r="G292" s="350">
        <v>512</v>
      </c>
      <c r="H292" s="1351" t="s">
        <v>1539</v>
      </c>
      <c r="I292" s="1332"/>
      <c r="J292" s="1352"/>
      <c r="K292" s="873">
        <v>2000000</v>
      </c>
      <c r="L292" s="873">
        <v>0</v>
      </c>
      <c r="M292" s="873">
        <v>100</v>
      </c>
      <c r="N292" s="1116">
        <v>0</v>
      </c>
      <c r="O292" s="608">
        <v>0</v>
      </c>
      <c r="P292" s="608">
        <v>0</v>
      </c>
      <c r="Q292" s="608">
        <v>0</v>
      </c>
      <c r="R292" s="597">
        <v>0</v>
      </c>
      <c r="S292" s="608">
        <v>0</v>
      </c>
      <c r="T292" s="608">
        <f t="shared" si="84"/>
        <v>0</v>
      </c>
      <c r="U292" s="818">
        <f>M292+N292+O292+P292+Q292+R292</f>
        <v>100</v>
      </c>
      <c r="V292" s="362">
        <f t="shared" si="85"/>
        <v>100</v>
      </c>
      <c r="W292" s="818">
        <f t="shared" si="86"/>
        <v>100</v>
      </c>
    </row>
    <row r="293" spans="2:23" s="668" customFormat="1" ht="12.75">
      <c r="B293" s="617"/>
      <c r="C293" s="618"/>
      <c r="D293" s="594"/>
      <c r="E293" s="593" t="s">
        <v>1223</v>
      </c>
      <c r="F293" s="594"/>
      <c r="G293" s="595"/>
      <c r="H293" s="1327" t="s">
        <v>307</v>
      </c>
      <c r="I293" s="1328"/>
      <c r="J293" s="1350"/>
      <c r="K293" s="868">
        <f>K294+K298+K304+K309+K314</f>
        <v>42400000</v>
      </c>
      <c r="L293" s="868">
        <f aca="true" t="shared" si="96" ref="L293:S293">L294+L298+L304+L309+L314</f>
        <v>7951878.6</v>
      </c>
      <c r="M293" s="868">
        <f t="shared" si="96"/>
        <v>42200000</v>
      </c>
      <c r="N293" s="619">
        <f t="shared" si="96"/>
        <v>0</v>
      </c>
      <c r="O293" s="619">
        <f t="shared" si="96"/>
        <v>0</v>
      </c>
      <c r="P293" s="619">
        <f t="shared" si="96"/>
        <v>0</v>
      </c>
      <c r="Q293" s="619">
        <f t="shared" si="96"/>
        <v>0</v>
      </c>
      <c r="R293" s="619">
        <f t="shared" si="96"/>
        <v>0</v>
      </c>
      <c r="S293" s="619">
        <f t="shared" si="96"/>
        <v>0</v>
      </c>
      <c r="T293" s="620">
        <f t="shared" si="84"/>
        <v>0</v>
      </c>
      <c r="U293" s="1204">
        <f t="shared" si="87"/>
        <v>42200000</v>
      </c>
      <c r="V293" s="822">
        <f t="shared" si="85"/>
        <v>42200000</v>
      </c>
      <c r="W293" s="822">
        <f t="shared" si="86"/>
        <v>42200000</v>
      </c>
    </row>
    <row r="294" spans="2:23" ht="12.75" customHeight="1">
      <c r="B294" s="270"/>
      <c r="C294" s="271"/>
      <c r="D294" s="412"/>
      <c r="E294" s="332" t="s">
        <v>1218</v>
      </c>
      <c r="F294" s="412"/>
      <c r="G294" s="413"/>
      <c r="H294" s="1260" t="s">
        <v>1297</v>
      </c>
      <c r="I294" s="1261"/>
      <c r="J294" s="1262"/>
      <c r="K294" s="851">
        <f aca="true" t="shared" si="97" ref="K294:S294">K295</f>
        <v>10800000</v>
      </c>
      <c r="L294" s="851">
        <f t="shared" si="97"/>
        <v>3144436.89</v>
      </c>
      <c r="M294" s="851">
        <f t="shared" si="97"/>
        <v>10800000</v>
      </c>
      <c r="N294" s="276">
        <f t="shared" si="97"/>
        <v>0</v>
      </c>
      <c r="O294" s="276">
        <f t="shared" si="97"/>
        <v>0</v>
      </c>
      <c r="P294" s="276">
        <f t="shared" si="97"/>
        <v>0</v>
      </c>
      <c r="Q294" s="276">
        <f t="shared" si="97"/>
        <v>0</v>
      </c>
      <c r="R294" s="276">
        <f t="shared" si="97"/>
        <v>0</v>
      </c>
      <c r="S294" s="276">
        <f t="shared" si="97"/>
        <v>0</v>
      </c>
      <c r="T294" s="321">
        <f t="shared" si="84"/>
        <v>0</v>
      </c>
      <c r="U294" s="819">
        <f t="shared" si="87"/>
        <v>10800000</v>
      </c>
      <c r="V294" s="635">
        <f t="shared" si="85"/>
        <v>10800000</v>
      </c>
      <c r="W294" s="635">
        <f t="shared" si="86"/>
        <v>10800000</v>
      </c>
    </row>
    <row r="295" spans="2:23" s="342" customFormat="1" ht="13.5" customHeight="1">
      <c r="B295" s="314"/>
      <c r="C295" s="315"/>
      <c r="D295" s="318">
        <v>640</v>
      </c>
      <c r="E295" s="348"/>
      <c r="F295" s="349"/>
      <c r="G295" s="350"/>
      <c r="H295" s="1272" t="s">
        <v>169</v>
      </c>
      <c r="I295" s="1273"/>
      <c r="J295" s="1349"/>
      <c r="K295" s="874">
        <f>SUM(K296:K297)</f>
        <v>10800000</v>
      </c>
      <c r="L295" s="874">
        <f>SUM(L296:L297)</f>
        <v>3144436.89</v>
      </c>
      <c r="M295" s="998">
        <f>SUM(M296:M297)</f>
        <v>10800000</v>
      </c>
      <c r="N295" s="316">
        <f aca="true" t="shared" si="98" ref="N295:S295">SUM(N296:N297)</f>
        <v>0</v>
      </c>
      <c r="O295" s="316">
        <f t="shared" si="98"/>
        <v>0</v>
      </c>
      <c r="P295" s="316">
        <f t="shared" si="98"/>
        <v>0</v>
      </c>
      <c r="Q295" s="316">
        <f t="shared" si="98"/>
        <v>0</v>
      </c>
      <c r="R295" s="316">
        <f t="shared" si="98"/>
        <v>0</v>
      </c>
      <c r="S295" s="316">
        <f t="shared" si="98"/>
        <v>0</v>
      </c>
      <c r="T295" s="327">
        <f t="shared" si="84"/>
        <v>0</v>
      </c>
      <c r="U295" s="1048">
        <f t="shared" si="87"/>
        <v>10800000</v>
      </c>
      <c r="V295" s="361">
        <f t="shared" si="85"/>
        <v>10800000</v>
      </c>
      <c r="W295" s="1048">
        <f t="shared" si="86"/>
        <v>10800000</v>
      </c>
    </row>
    <row r="296" spans="2:23" s="342" customFormat="1" ht="13.5" customHeight="1">
      <c r="B296" s="336"/>
      <c r="C296" s="343"/>
      <c r="D296" s="338"/>
      <c r="E296" s="343"/>
      <c r="F296" s="354">
        <v>202</v>
      </c>
      <c r="G296" s="428">
        <v>421</v>
      </c>
      <c r="H296" s="1308" t="s">
        <v>33</v>
      </c>
      <c r="I296" s="1309"/>
      <c r="J296" s="1353"/>
      <c r="K296" s="871">
        <v>9500000</v>
      </c>
      <c r="L296" s="997">
        <v>2884309.3600000003</v>
      </c>
      <c r="M296" s="523">
        <v>9500000</v>
      </c>
      <c r="N296" s="340">
        <v>0</v>
      </c>
      <c r="O296" s="395">
        <v>0</v>
      </c>
      <c r="P296" s="395">
        <v>0</v>
      </c>
      <c r="Q296" s="392">
        <v>0</v>
      </c>
      <c r="R296" s="392">
        <v>0</v>
      </c>
      <c r="S296" s="398">
        <v>0</v>
      </c>
      <c r="T296" s="401">
        <f t="shared" si="84"/>
        <v>0</v>
      </c>
      <c r="U296" s="818">
        <f t="shared" si="87"/>
        <v>9500000</v>
      </c>
      <c r="V296" s="591">
        <f t="shared" si="85"/>
        <v>9500000</v>
      </c>
      <c r="W296" s="818">
        <f t="shared" si="86"/>
        <v>9500000</v>
      </c>
    </row>
    <row r="297" spans="2:23" s="342" customFormat="1" ht="12.75">
      <c r="B297" s="355"/>
      <c r="C297" s="348"/>
      <c r="D297" s="349"/>
      <c r="E297" s="348"/>
      <c r="F297" s="447">
        <v>203</v>
      </c>
      <c r="G297" s="448">
        <v>425</v>
      </c>
      <c r="H297" s="675" t="s">
        <v>90</v>
      </c>
      <c r="I297" s="675"/>
      <c r="J297" s="675"/>
      <c r="K297" s="859">
        <v>1300000</v>
      </c>
      <c r="L297" s="859">
        <v>260127.53</v>
      </c>
      <c r="M297" s="523">
        <v>1300000</v>
      </c>
      <c r="N297" s="340">
        <v>0</v>
      </c>
      <c r="O297" s="389">
        <v>0</v>
      </c>
      <c r="P297" s="389">
        <v>0</v>
      </c>
      <c r="Q297" s="404">
        <v>0</v>
      </c>
      <c r="R297" s="392">
        <v>0</v>
      </c>
      <c r="S297" s="406">
        <v>0</v>
      </c>
      <c r="T297" s="406">
        <f t="shared" si="84"/>
        <v>0</v>
      </c>
      <c r="U297" s="818">
        <f t="shared" si="87"/>
        <v>1300000</v>
      </c>
      <c r="V297" s="591">
        <f t="shared" si="85"/>
        <v>1300000</v>
      </c>
      <c r="W297" s="818">
        <f t="shared" si="86"/>
        <v>1300000</v>
      </c>
    </row>
    <row r="298" spans="2:23" ht="12.75" customHeight="1">
      <c r="B298" s="270"/>
      <c r="C298" s="271"/>
      <c r="D298" s="412"/>
      <c r="E298" s="332" t="s">
        <v>1219</v>
      </c>
      <c r="F298" s="412"/>
      <c r="G298" s="413"/>
      <c r="H298" s="1260" t="s">
        <v>1216</v>
      </c>
      <c r="I298" s="1261"/>
      <c r="J298" s="1262"/>
      <c r="K298" s="851">
        <f>K299</f>
        <v>18800000</v>
      </c>
      <c r="L298" s="976">
        <f>L299</f>
        <v>1555310.1099999999</v>
      </c>
      <c r="M298" s="984">
        <f>M299</f>
        <v>20000000</v>
      </c>
      <c r="N298" s="276">
        <f aca="true" t="shared" si="99" ref="N298:S298">N299</f>
        <v>0</v>
      </c>
      <c r="O298" s="276">
        <f t="shared" si="99"/>
        <v>0</v>
      </c>
      <c r="P298" s="276">
        <f t="shared" si="99"/>
        <v>0</v>
      </c>
      <c r="Q298" s="276">
        <f t="shared" si="99"/>
        <v>0</v>
      </c>
      <c r="R298" s="276">
        <f t="shared" si="99"/>
        <v>0</v>
      </c>
      <c r="S298" s="276">
        <f t="shared" si="99"/>
        <v>0</v>
      </c>
      <c r="T298" s="321">
        <f t="shared" si="84"/>
        <v>0</v>
      </c>
      <c r="U298" s="819">
        <f t="shared" si="87"/>
        <v>20000000</v>
      </c>
      <c r="V298" s="635">
        <f t="shared" si="85"/>
        <v>20000000</v>
      </c>
      <c r="W298" s="635">
        <f t="shared" si="86"/>
        <v>20000000</v>
      </c>
    </row>
    <row r="299" spans="2:23" s="42" customFormat="1" ht="12.75">
      <c r="B299" s="602"/>
      <c r="C299" s="1111"/>
      <c r="D299" s="56">
        <v>540</v>
      </c>
      <c r="E299" s="167"/>
      <c r="F299" s="604"/>
      <c r="G299" s="605"/>
      <c r="H299" s="73" t="s">
        <v>1233</v>
      </c>
      <c r="I299" s="74"/>
      <c r="J299" s="708"/>
      <c r="K299" s="522">
        <f>SUM(K300:K303)</f>
        <v>18800000</v>
      </c>
      <c r="L299" s="800">
        <f>SUM(L300:L303)</f>
        <v>1555310.1099999999</v>
      </c>
      <c r="M299" s="713">
        <f>SUM(M300:M303)</f>
        <v>20000000</v>
      </c>
      <c r="N299" s="713">
        <f aca="true" t="shared" si="100" ref="N299:S299">SUM(N300:N303)</f>
        <v>0</v>
      </c>
      <c r="O299" s="713">
        <f t="shared" si="100"/>
        <v>0</v>
      </c>
      <c r="P299" s="713">
        <f t="shared" si="100"/>
        <v>0</v>
      </c>
      <c r="Q299" s="713">
        <f t="shared" si="100"/>
        <v>0</v>
      </c>
      <c r="R299" s="713">
        <f t="shared" si="100"/>
        <v>0</v>
      </c>
      <c r="S299" s="713">
        <f t="shared" si="100"/>
        <v>0</v>
      </c>
      <c r="T299" s="713">
        <f t="shared" si="84"/>
        <v>0</v>
      </c>
      <c r="U299" s="1048">
        <f t="shared" si="87"/>
        <v>20000000</v>
      </c>
      <c r="V299" s="361">
        <f t="shared" si="85"/>
        <v>20000000</v>
      </c>
      <c r="W299" s="1048">
        <f t="shared" si="86"/>
        <v>20000000</v>
      </c>
    </row>
    <row r="300" spans="2:23" s="342" customFormat="1" ht="12.75">
      <c r="B300" s="336"/>
      <c r="C300" s="343"/>
      <c r="D300" s="338"/>
      <c r="E300" s="343"/>
      <c r="F300" s="354">
        <v>204</v>
      </c>
      <c r="G300" s="428">
        <v>424</v>
      </c>
      <c r="H300" s="1269" t="s">
        <v>1385</v>
      </c>
      <c r="I300" s="1270"/>
      <c r="J300" s="1271"/>
      <c r="K300" s="723">
        <v>10000000</v>
      </c>
      <c r="L300" s="345">
        <v>809460.11</v>
      </c>
      <c r="M300" s="523">
        <v>10000000</v>
      </c>
      <c r="N300" s="340">
        <v>0</v>
      </c>
      <c r="O300" s="395">
        <v>0</v>
      </c>
      <c r="P300" s="395">
        <v>0</v>
      </c>
      <c r="Q300" s="392">
        <v>0</v>
      </c>
      <c r="R300" s="392">
        <v>0</v>
      </c>
      <c r="S300" s="398">
        <v>0</v>
      </c>
      <c r="T300" s="401">
        <f t="shared" si="84"/>
        <v>0</v>
      </c>
      <c r="U300" s="818">
        <f t="shared" si="87"/>
        <v>10000000</v>
      </c>
      <c r="V300" s="591">
        <f t="shared" si="85"/>
        <v>10000000</v>
      </c>
      <c r="W300" s="818">
        <f t="shared" si="86"/>
        <v>10000000</v>
      </c>
    </row>
    <row r="301" spans="2:23" s="342" customFormat="1" ht="12.75">
      <c r="B301" s="336"/>
      <c r="C301" s="343"/>
      <c r="D301" s="338"/>
      <c r="E301" s="343"/>
      <c r="F301" s="354">
        <v>205</v>
      </c>
      <c r="G301" s="428">
        <v>424</v>
      </c>
      <c r="H301" s="1269" t="s">
        <v>1386</v>
      </c>
      <c r="I301" s="1270"/>
      <c r="J301" s="1271"/>
      <c r="K301" s="723">
        <v>500000</v>
      </c>
      <c r="L301" s="345">
        <v>78650</v>
      </c>
      <c r="M301" s="523">
        <v>500000</v>
      </c>
      <c r="N301" s="401">
        <v>0</v>
      </c>
      <c r="O301" s="398">
        <v>0</v>
      </c>
      <c r="P301" s="398">
        <v>0</v>
      </c>
      <c r="Q301" s="398">
        <v>0</v>
      </c>
      <c r="R301" s="398">
        <v>0</v>
      </c>
      <c r="S301" s="398">
        <v>0</v>
      </c>
      <c r="T301" s="401">
        <f t="shared" si="84"/>
        <v>0</v>
      </c>
      <c r="U301" s="818">
        <f t="shared" si="87"/>
        <v>500000</v>
      </c>
      <c r="V301" s="591">
        <f t="shared" si="85"/>
        <v>500000</v>
      </c>
      <c r="W301" s="818">
        <f t="shared" si="86"/>
        <v>500000</v>
      </c>
    </row>
    <row r="302" spans="2:23" s="342" customFormat="1" ht="12.75">
      <c r="B302" s="336"/>
      <c r="C302" s="59"/>
      <c r="D302" s="56"/>
      <c r="E302" s="167"/>
      <c r="F302" s="447">
        <v>206</v>
      </c>
      <c r="G302" s="339">
        <v>425</v>
      </c>
      <c r="H302" s="1269" t="s">
        <v>1463</v>
      </c>
      <c r="I302" s="1270"/>
      <c r="J302" s="1271"/>
      <c r="K302" s="723">
        <v>6500000</v>
      </c>
      <c r="L302" s="345">
        <v>667200</v>
      </c>
      <c r="M302" s="523">
        <v>6500000</v>
      </c>
      <c r="N302" s="340">
        <v>0</v>
      </c>
      <c r="O302" s="405">
        <v>0</v>
      </c>
      <c r="P302" s="405">
        <v>0</v>
      </c>
      <c r="Q302" s="392">
        <v>0</v>
      </c>
      <c r="R302" s="398">
        <v>0</v>
      </c>
      <c r="S302" s="398">
        <v>0</v>
      </c>
      <c r="T302" s="393">
        <f t="shared" si="84"/>
        <v>0</v>
      </c>
      <c r="U302" s="818">
        <f t="shared" si="87"/>
        <v>6500000</v>
      </c>
      <c r="V302" s="362">
        <f t="shared" si="85"/>
        <v>6500000</v>
      </c>
      <c r="W302" s="818">
        <f t="shared" si="86"/>
        <v>6500000</v>
      </c>
    </row>
    <row r="303" spans="2:23" s="342" customFormat="1" ht="12.75">
      <c r="B303" s="355"/>
      <c r="C303" s="319"/>
      <c r="D303" s="60"/>
      <c r="E303" s="519"/>
      <c r="F303" s="447">
        <v>207</v>
      </c>
      <c r="G303" s="350">
        <v>512</v>
      </c>
      <c r="H303" s="1351" t="s">
        <v>1545</v>
      </c>
      <c r="I303" s="1332"/>
      <c r="J303" s="1352"/>
      <c r="K303" s="358">
        <v>1800000</v>
      </c>
      <c r="L303" s="359">
        <v>0</v>
      </c>
      <c r="M303" s="523">
        <v>3000000</v>
      </c>
      <c r="N303" s="391">
        <v>0</v>
      </c>
      <c r="O303" s="610">
        <v>0</v>
      </c>
      <c r="P303" s="610">
        <v>0</v>
      </c>
      <c r="Q303" s="404">
        <v>0</v>
      </c>
      <c r="R303" s="406">
        <v>0</v>
      </c>
      <c r="S303" s="406">
        <v>0</v>
      </c>
      <c r="T303" s="404">
        <f t="shared" si="84"/>
        <v>0</v>
      </c>
      <c r="U303" s="818">
        <f t="shared" si="87"/>
        <v>3000000</v>
      </c>
      <c r="V303" s="362">
        <f t="shared" si="85"/>
        <v>3000000</v>
      </c>
      <c r="W303" s="818">
        <f t="shared" si="86"/>
        <v>3000000</v>
      </c>
    </row>
    <row r="304" spans="2:23" ht="14.25" customHeight="1">
      <c r="B304" s="270"/>
      <c r="C304" s="271"/>
      <c r="D304" s="412"/>
      <c r="E304" s="332" t="s">
        <v>1221</v>
      </c>
      <c r="F304" s="412"/>
      <c r="G304" s="413"/>
      <c r="H304" s="1260" t="s">
        <v>1299</v>
      </c>
      <c r="I304" s="1261"/>
      <c r="J304" s="1262"/>
      <c r="K304" s="851">
        <f>K305</f>
        <v>5500000</v>
      </c>
      <c r="L304" s="976">
        <f>L305</f>
        <v>250701.6</v>
      </c>
      <c r="M304" s="984">
        <f>M305</f>
        <v>4200000</v>
      </c>
      <c r="N304" s="276">
        <f aca="true" t="shared" si="101" ref="N304:S304">N305</f>
        <v>0</v>
      </c>
      <c r="O304" s="276">
        <f t="shared" si="101"/>
        <v>0</v>
      </c>
      <c r="P304" s="276">
        <f t="shared" si="101"/>
        <v>0</v>
      </c>
      <c r="Q304" s="276">
        <f t="shared" si="101"/>
        <v>0</v>
      </c>
      <c r="R304" s="276">
        <f t="shared" si="101"/>
        <v>0</v>
      </c>
      <c r="S304" s="321">
        <f t="shared" si="101"/>
        <v>0</v>
      </c>
      <c r="T304" s="321">
        <f t="shared" si="84"/>
        <v>0</v>
      </c>
      <c r="U304" s="819">
        <f t="shared" si="87"/>
        <v>4200000</v>
      </c>
      <c r="V304" s="635">
        <f t="shared" si="85"/>
        <v>4200000</v>
      </c>
      <c r="W304" s="635">
        <f t="shared" si="86"/>
        <v>4200000</v>
      </c>
    </row>
    <row r="305" spans="2:23" ht="12.75">
      <c r="B305" s="336"/>
      <c r="C305" s="59"/>
      <c r="D305" s="56">
        <v>630</v>
      </c>
      <c r="E305" s="167"/>
      <c r="F305" s="338"/>
      <c r="G305" s="339"/>
      <c r="H305" s="1296" t="s">
        <v>313</v>
      </c>
      <c r="I305" s="1297"/>
      <c r="J305" s="1085"/>
      <c r="K305" s="606">
        <f>SUM(K306:K308)</f>
        <v>5500000</v>
      </c>
      <c r="L305" s="804">
        <f>SUM(L306:L308)</f>
        <v>250701.6</v>
      </c>
      <c r="M305" s="713">
        <f>SUM(M306:M308)</f>
        <v>4200000</v>
      </c>
      <c r="N305" s="365">
        <f aca="true" t="shared" si="102" ref="N305:S305">SUM(N307:N308)</f>
        <v>0</v>
      </c>
      <c r="O305" s="365">
        <f t="shared" si="102"/>
        <v>0</v>
      </c>
      <c r="P305" s="606">
        <f t="shared" si="102"/>
        <v>0</v>
      </c>
      <c r="Q305" s="606">
        <f t="shared" si="102"/>
        <v>0</v>
      </c>
      <c r="R305" s="606">
        <f t="shared" si="102"/>
        <v>0</v>
      </c>
      <c r="S305" s="606">
        <f t="shared" si="102"/>
        <v>0</v>
      </c>
      <c r="T305" s="365">
        <f t="shared" si="84"/>
        <v>0</v>
      </c>
      <c r="U305" s="1048">
        <f t="shared" si="87"/>
        <v>4200000</v>
      </c>
      <c r="V305" s="811">
        <f t="shared" si="85"/>
        <v>4200000</v>
      </c>
      <c r="W305" s="1048">
        <f t="shared" si="86"/>
        <v>4200000</v>
      </c>
    </row>
    <row r="306" spans="2:23" ht="12.75">
      <c r="B306" s="355"/>
      <c r="C306" s="319"/>
      <c r="D306" s="60"/>
      <c r="E306" s="519"/>
      <c r="F306" s="350">
        <v>208</v>
      </c>
      <c r="G306" s="350">
        <v>424</v>
      </c>
      <c r="H306" s="334" t="s">
        <v>1454</v>
      </c>
      <c r="I306" s="426"/>
      <c r="J306" s="714"/>
      <c r="K306" s="706">
        <v>2600000</v>
      </c>
      <c r="L306" s="706">
        <v>132990</v>
      </c>
      <c r="M306" s="706">
        <v>2600000</v>
      </c>
      <c r="N306" s="506">
        <v>0</v>
      </c>
      <c r="O306" s="705">
        <v>0</v>
      </c>
      <c r="P306" s="706">
        <v>0</v>
      </c>
      <c r="Q306" s="706">
        <v>0</v>
      </c>
      <c r="R306" s="706">
        <v>0</v>
      </c>
      <c r="S306" s="706">
        <v>0</v>
      </c>
      <c r="T306" s="709">
        <f t="shared" si="84"/>
        <v>0</v>
      </c>
      <c r="U306" s="818">
        <f t="shared" si="87"/>
        <v>2600000</v>
      </c>
      <c r="V306" s="742">
        <f t="shared" si="85"/>
        <v>2600000</v>
      </c>
      <c r="W306" s="818">
        <f t="shared" si="86"/>
        <v>2600000</v>
      </c>
    </row>
    <row r="307" spans="2:23" ht="12.75">
      <c r="B307" s="355"/>
      <c r="C307" s="319"/>
      <c r="D307" s="60"/>
      <c r="E307" s="519"/>
      <c r="F307" s="766">
        <v>209</v>
      </c>
      <c r="G307" s="350">
        <v>425</v>
      </c>
      <c r="H307" s="334" t="s">
        <v>1488</v>
      </c>
      <c r="I307" s="74"/>
      <c r="J307" s="1086"/>
      <c r="K307" s="706">
        <v>1500000</v>
      </c>
      <c r="L307" s="706">
        <v>117711.6</v>
      </c>
      <c r="M307" s="706">
        <v>1500000</v>
      </c>
      <c r="N307" s="506">
        <v>0</v>
      </c>
      <c r="O307" s="705">
        <v>0</v>
      </c>
      <c r="P307" s="706">
        <v>0</v>
      </c>
      <c r="Q307" s="706">
        <v>0</v>
      </c>
      <c r="R307" s="706">
        <v>0</v>
      </c>
      <c r="S307" s="706">
        <v>0</v>
      </c>
      <c r="T307" s="709">
        <f t="shared" si="84"/>
        <v>0</v>
      </c>
      <c r="U307" s="818">
        <f t="shared" si="87"/>
        <v>1500000</v>
      </c>
      <c r="V307" s="742">
        <f t="shared" si="85"/>
        <v>1500000</v>
      </c>
      <c r="W307" s="818">
        <f t="shared" si="86"/>
        <v>1500000</v>
      </c>
    </row>
    <row r="308" spans="2:23" s="346" customFormat="1" ht="25.5" customHeight="1">
      <c r="B308" s="745"/>
      <c r="C308" s="764"/>
      <c r="D308" s="765"/>
      <c r="E308" s="746"/>
      <c r="F308" s="766">
        <v>210</v>
      </c>
      <c r="G308" s="766">
        <v>511</v>
      </c>
      <c r="H308" s="1344" t="s">
        <v>1453</v>
      </c>
      <c r="I308" s="1345"/>
      <c r="J308" s="1346"/>
      <c r="K308" s="875">
        <v>1400000</v>
      </c>
      <c r="L308" s="875">
        <v>0</v>
      </c>
      <c r="M308" s="875">
        <v>100000</v>
      </c>
      <c r="N308" s="758">
        <v>0</v>
      </c>
      <c r="O308" s="351">
        <v>0</v>
      </c>
      <c r="P308" s="352">
        <v>0</v>
      </c>
      <c r="Q308" s="612">
        <v>0</v>
      </c>
      <c r="R308" s="612">
        <v>0</v>
      </c>
      <c r="S308" s="612">
        <v>0</v>
      </c>
      <c r="T308" s="1233">
        <f t="shared" si="84"/>
        <v>0</v>
      </c>
      <c r="U308" s="818">
        <f t="shared" si="87"/>
        <v>100000</v>
      </c>
      <c r="V308" s="818">
        <f t="shared" si="85"/>
        <v>100000</v>
      </c>
      <c r="W308" s="818">
        <f t="shared" si="86"/>
        <v>100000</v>
      </c>
    </row>
    <row r="309" spans="2:23" ht="14.25" customHeight="1">
      <c r="B309" s="270"/>
      <c r="C309" s="271"/>
      <c r="D309" s="412"/>
      <c r="E309" s="332" t="s">
        <v>1222</v>
      </c>
      <c r="F309" s="412"/>
      <c r="G309" s="413"/>
      <c r="H309" s="1260" t="s">
        <v>1217</v>
      </c>
      <c r="I309" s="1261"/>
      <c r="J309" s="1262"/>
      <c r="K309" s="851">
        <f aca="true" t="shared" si="103" ref="K309:S309">K310</f>
        <v>4300000</v>
      </c>
      <c r="L309" s="851">
        <f t="shared" si="103"/>
        <v>1001430</v>
      </c>
      <c r="M309" s="851">
        <f t="shared" si="103"/>
        <v>5000000</v>
      </c>
      <c r="N309" s="276">
        <f t="shared" si="103"/>
        <v>0</v>
      </c>
      <c r="O309" s="276">
        <f t="shared" si="103"/>
        <v>0</v>
      </c>
      <c r="P309" s="276">
        <f t="shared" si="103"/>
        <v>0</v>
      </c>
      <c r="Q309" s="276">
        <f t="shared" si="103"/>
        <v>0</v>
      </c>
      <c r="R309" s="276">
        <f t="shared" si="103"/>
        <v>0</v>
      </c>
      <c r="S309" s="321">
        <f t="shared" si="103"/>
        <v>0</v>
      </c>
      <c r="T309" s="321">
        <f t="shared" si="84"/>
        <v>0</v>
      </c>
      <c r="U309" s="819">
        <f t="shared" si="87"/>
        <v>5000000</v>
      </c>
      <c r="V309" s="635">
        <f t="shared" si="85"/>
        <v>5000000</v>
      </c>
      <c r="W309" s="635">
        <f t="shared" si="86"/>
        <v>5000000</v>
      </c>
    </row>
    <row r="310" spans="2:23" s="23" customFormat="1" ht="12.75">
      <c r="B310" s="529"/>
      <c r="C310" s="530"/>
      <c r="D310" s="167" t="s">
        <v>400</v>
      </c>
      <c r="E310" s="167"/>
      <c r="F310" s="531"/>
      <c r="G310" s="532"/>
      <c r="H310" s="73" t="s">
        <v>1233</v>
      </c>
      <c r="I310" s="74"/>
      <c r="J310" s="708"/>
      <c r="K310" s="522">
        <f>SUM(K311:K313)</f>
        <v>4300000</v>
      </c>
      <c r="L310" s="522">
        <f>SUM(L311:L313)</f>
        <v>1001430</v>
      </c>
      <c r="M310" s="522">
        <f>SUM(M311:M313)</f>
        <v>5000000</v>
      </c>
      <c r="N310" s="65">
        <f aca="true" t="shared" si="104" ref="N310:S310">SUM(N311:N313)</f>
        <v>0</v>
      </c>
      <c r="O310" s="65">
        <f t="shared" si="104"/>
        <v>0</v>
      </c>
      <c r="P310" s="65">
        <f t="shared" si="104"/>
        <v>0</v>
      </c>
      <c r="Q310" s="556">
        <f t="shared" si="104"/>
        <v>0</v>
      </c>
      <c r="R310" s="556">
        <f t="shared" si="104"/>
        <v>0</v>
      </c>
      <c r="S310" s="556">
        <f t="shared" si="104"/>
        <v>0</v>
      </c>
      <c r="T310" s="325">
        <f t="shared" si="84"/>
        <v>0</v>
      </c>
      <c r="U310" s="1048">
        <f t="shared" si="87"/>
        <v>5000000</v>
      </c>
      <c r="V310" s="811">
        <f t="shared" si="85"/>
        <v>5000000</v>
      </c>
      <c r="W310" s="1048">
        <f t="shared" si="86"/>
        <v>5000000</v>
      </c>
    </row>
    <row r="311" spans="2:23" ht="12.75">
      <c r="B311" s="414"/>
      <c r="C311" s="415"/>
      <c r="D311" s="443"/>
      <c r="E311" s="337"/>
      <c r="F311" s="416">
        <v>211</v>
      </c>
      <c r="G311" s="417">
        <v>423</v>
      </c>
      <c r="H311" s="1269" t="s">
        <v>1362</v>
      </c>
      <c r="I311" s="1270"/>
      <c r="J311" s="1271"/>
      <c r="K311" s="723">
        <v>3000000</v>
      </c>
      <c r="L311" s="723">
        <v>733968</v>
      </c>
      <c r="M311" s="723">
        <v>3000000</v>
      </c>
      <c r="N311" s="340">
        <v>0</v>
      </c>
      <c r="O311" s="340">
        <v>0</v>
      </c>
      <c r="P311" s="341">
        <v>0</v>
      </c>
      <c r="Q311" s="608">
        <v>0</v>
      </c>
      <c r="R311" s="597">
        <v>0</v>
      </c>
      <c r="S311" s="608">
        <v>0</v>
      </c>
      <c r="T311" s="341">
        <f t="shared" si="84"/>
        <v>0</v>
      </c>
      <c r="U311" s="818">
        <f t="shared" si="87"/>
        <v>3000000</v>
      </c>
      <c r="V311" s="742">
        <f t="shared" si="85"/>
        <v>3000000</v>
      </c>
      <c r="W311" s="818">
        <f t="shared" si="86"/>
        <v>3000000</v>
      </c>
    </row>
    <row r="312" spans="2:23" s="342" customFormat="1" ht="12.75">
      <c r="B312" s="336"/>
      <c r="C312" s="59"/>
      <c r="D312" s="56"/>
      <c r="E312" s="167"/>
      <c r="F312" s="416">
        <v>212</v>
      </c>
      <c r="G312" s="339">
        <v>424</v>
      </c>
      <c r="H312" s="1263" t="s">
        <v>1480</v>
      </c>
      <c r="I312" s="1264"/>
      <c r="J312" s="1265"/>
      <c r="K312" s="849">
        <v>800000</v>
      </c>
      <c r="L312" s="849">
        <v>267462</v>
      </c>
      <c r="M312" s="849">
        <v>800000</v>
      </c>
      <c r="N312" s="340">
        <v>0</v>
      </c>
      <c r="O312" s="405">
        <v>0</v>
      </c>
      <c r="P312" s="392">
        <v>0</v>
      </c>
      <c r="Q312" s="597">
        <v>0</v>
      </c>
      <c r="R312" s="597">
        <v>0</v>
      </c>
      <c r="S312" s="597">
        <v>0</v>
      </c>
      <c r="T312" s="393">
        <f t="shared" si="84"/>
        <v>0</v>
      </c>
      <c r="U312" s="818">
        <f t="shared" si="87"/>
        <v>800000</v>
      </c>
      <c r="V312" s="362">
        <f t="shared" si="85"/>
        <v>800000</v>
      </c>
      <c r="W312" s="818">
        <f t="shared" si="86"/>
        <v>800000</v>
      </c>
    </row>
    <row r="313" spans="2:23" s="342" customFormat="1" ht="12.75">
      <c r="B313" s="355"/>
      <c r="C313" s="319"/>
      <c r="D313" s="60"/>
      <c r="E313" s="519"/>
      <c r="F313" s="499">
        <v>213</v>
      </c>
      <c r="G313" s="350">
        <v>424</v>
      </c>
      <c r="H313" s="1338" t="s">
        <v>1588</v>
      </c>
      <c r="I313" s="1339"/>
      <c r="J313" s="1340"/>
      <c r="K313" s="869">
        <v>500000</v>
      </c>
      <c r="L313" s="869">
        <v>0</v>
      </c>
      <c r="M313" s="869">
        <v>1200000</v>
      </c>
      <c r="N313" s="391">
        <v>0</v>
      </c>
      <c r="O313" s="610">
        <v>0</v>
      </c>
      <c r="P313" s="404">
        <v>0</v>
      </c>
      <c r="Q313" s="597">
        <v>0</v>
      </c>
      <c r="R313" s="597">
        <v>0</v>
      </c>
      <c r="S313" s="597">
        <v>0</v>
      </c>
      <c r="T313" s="404">
        <f t="shared" si="84"/>
        <v>0</v>
      </c>
      <c r="U313" s="818">
        <f t="shared" si="87"/>
        <v>1200000</v>
      </c>
      <c r="V313" s="362">
        <f t="shared" si="85"/>
        <v>1200000</v>
      </c>
      <c r="W313" s="818">
        <f t="shared" si="86"/>
        <v>1200000</v>
      </c>
    </row>
    <row r="314" spans="2:23" ht="12.75" customHeight="1">
      <c r="B314" s="270"/>
      <c r="C314" s="271"/>
      <c r="D314" s="412"/>
      <c r="E314" s="332" t="s">
        <v>1220</v>
      </c>
      <c r="F314" s="412"/>
      <c r="G314" s="413"/>
      <c r="H314" s="1260" t="s">
        <v>1464</v>
      </c>
      <c r="I314" s="1261"/>
      <c r="J314" s="1262"/>
      <c r="K314" s="851">
        <f>SUM(K316)</f>
        <v>3000000</v>
      </c>
      <c r="L314" s="851">
        <f aca="true" t="shared" si="105" ref="L314:S314">SUM(L316)</f>
        <v>2000000</v>
      </c>
      <c r="M314" s="851">
        <f t="shared" si="105"/>
        <v>2200000</v>
      </c>
      <c r="N314" s="851">
        <f t="shared" si="105"/>
        <v>0</v>
      </c>
      <c r="O314" s="851">
        <f t="shared" si="105"/>
        <v>0</v>
      </c>
      <c r="P314" s="851">
        <f t="shared" si="105"/>
        <v>0</v>
      </c>
      <c r="Q314" s="851">
        <f t="shared" si="105"/>
        <v>0</v>
      </c>
      <c r="R314" s="851">
        <f t="shared" si="105"/>
        <v>0</v>
      </c>
      <c r="S314" s="851">
        <f t="shared" si="105"/>
        <v>0</v>
      </c>
      <c r="T314" s="851">
        <f t="shared" si="84"/>
        <v>0</v>
      </c>
      <c r="U314" s="819">
        <f t="shared" si="87"/>
        <v>2200000</v>
      </c>
      <c r="V314" s="851">
        <f t="shared" si="85"/>
        <v>2200000</v>
      </c>
      <c r="W314" s="635">
        <f t="shared" si="86"/>
        <v>2200000</v>
      </c>
    </row>
    <row r="315" spans="2:23" s="23" customFormat="1" ht="12.75">
      <c r="B315" s="602"/>
      <c r="C315" s="603"/>
      <c r="D315" s="56">
        <v>620</v>
      </c>
      <c r="E315" s="58"/>
      <c r="F315" s="531"/>
      <c r="G315" s="532"/>
      <c r="H315" s="73" t="s">
        <v>114</v>
      </c>
      <c r="I315" s="74"/>
      <c r="J315" s="708"/>
      <c r="K315" s="522">
        <f>K316</f>
        <v>3000000</v>
      </c>
      <c r="L315" s="522">
        <f aca="true" t="shared" si="106" ref="L315:S315">L316</f>
        <v>2000000</v>
      </c>
      <c r="M315" s="522">
        <f t="shared" si="106"/>
        <v>2200000</v>
      </c>
      <c r="N315" s="522">
        <f t="shared" si="106"/>
        <v>0</v>
      </c>
      <c r="O315" s="522">
        <f t="shared" si="106"/>
        <v>0</v>
      </c>
      <c r="P315" s="522">
        <f t="shared" si="106"/>
        <v>0</v>
      </c>
      <c r="Q315" s="522">
        <f t="shared" si="106"/>
        <v>0</v>
      </c>
      <c r="R315" s="522">
        <f t="shared" si="106"/>
        <v>0</v>
      </c>
      <c r="S315" s="522">
        <f t="shared" si="106"/>
        <v>0</v>
      </c>
      <c r="T315" s="522">
        <f t="shared" si="84"/>
        <v>0</v>
      </c>
      <c r="U315" s="1048">
        <f t="shared" si="87"/>
        <v>2200000</v>
      </c>
      <c r="V315" s="522">
        <f t="shared" si="85"/>
        <v>2200000</v>
      </c>
      <c r="W315" s="1048">
        <f t="shared" si="86"/>
        <v>2200000</v>
      </c>
    </row>
    <row r="316" spans="2:23" ht="12.75">
      <c r="B316" s="355"/>
      <c r="C316" s="319"/>
      <c r="D316" s="356"/>
      <c r="E316" s="443"/>
      <c r="F316" s="416">
        <v>214</v>
      </c>
      <c r="G316" s="417">
        <v>451</v>
      </c>
      <c r="H316" s="334" t="s">
        <v>1477</v>
      </c>
      <c r="I316" s="426"/>
      <c r="J316" s="429"/>
      <c r="K316" s="506">
        <v>3000000</v>
      </c>
      <c r="L316" s="506">
        <v>2000000</v>
      </c>
      <c r="M316" s="506">
        <v>2200000</v>
      </c>
      <c r="N316" s="1022">
        <v>0</v>
      </c>
      <c r="O316" s="1022">
        <v>0</v>
      </c>
      <c r="P316" s="1022">
        <v>0</v>
      </c>
      <c r="Q316" s="1022">
        <v>0</v>
      </c>
      <c r="R316" s="1023">
        <v>0</v>
      </c>
      <c r="S316" s="1022">
        <v>0</v>
      </c>
      <c r="T316" s="862">
        <f t="shared" si="84"/>
        <v>0</v>
      </c>
      <c r="U316" s="818">
        <f t="shared" si="87"/>
        <v>2200000</v>
      </c>
      <c r="V316" s="862">
        <f t="shared" si="85"/>
        <v>2200000</v>
      </c>
      <c r="W316" s="818">
        <f t="shared" si="86"/>
        <v>2200000</v>
      </c>
    </row>
    <row r="317" spans="2:23" s="668" customFormat="1" ht="27" customHeight="1">
      <c r="B317" s="617"/>
      <c r="C317" s="618"/>
      <c r="D317" s="594"/>
      <c r="E317" s="615" t="s">
        <v>291</v>
      </c>
      <c r="F317" s="1203"/>
      <c r="G317" s="1203"/>
      <c r="H317" s="1347" t="s">
        <v>1315</v>
      </c>
      <c r="I317" s="1348"/>
      <c r="J317" s="1348"/>
      <c r="K317" s="876">
        <f>K318+K321</f>
        <v>20900000</v>
      </c>
      <c r="L317" s="876">
        <f>L318+L321</f>
        <v>928600</v>
      </c>
      <c r="M317" s="876">
        <f>M318+M321</f>
        <v>19400000</v>
      </c>
      <c r="N317" s="1201">
        <f aca="true" t="shared" si="107" ref="N317:S317">N318+N321</f>
        <v>0</v>
      </c>
      <c r="O317" s="1201">
        <f t="shared" si="107"/>
        <v>0</v>
      </c>
      <c r="P317" s="1201">
        <f t="shared" si="107"/>
        <v>42500000</v>
      </c>
      <c r="Q317" s="1201">
        <f t="shared" si="107"/>
        <v>11600000</v>
      </c>
      <c r="R317" s="1201">
        <f t="shared" si="107"/>
        <v>0</v>
      </c>
      <c r="S317" s="1201">
        <f t="shared" si="107"/>
        <v>0</v>
      </c>
      <c r="T317" s="1202">
        <f t="shared" si="84"/>
        <v>54100000</v>
      </c>
      <c r="U317" s="1027">
        <f t="shared" si="87"/>
        <v>73500000</v>
      </c>
      <c r="V317" s="822">
        <f t="shared" si="85"/>
        <v>73500000</v>
      </c>
      <c r="W317" s="822">
        <f t="shared" si="86"/>
        <v>73500000</v>
      </c>
    </row>
    <row r="318" spans="2:23" ht="15" customHeight="1">
      <c r="B318" s="270"/>
      <c r="C318" s="271"/>
      <c r="D318" s="412"/>
      <c r="E318" s="332" t="s">
        <v>304</v>
      </c>
      <c r="F318" s="412"/>
      <c r="G318" s="413"/>
      <c r="H318" s="1341" t="s">
        <v>1225</v>
      </c>
      <c r="I318" s="1342"/>
      <c r="J318" s="1343"/>
      <c r="K318" s="851">
        <f aca="true" t="shared" si="108" ref="K318:S318">K319</f>
        <v>6000000</v>
      </c>
      <c r="L318" s="851">
        <f t="shared" si="108"/>
        <v>618000</v>
      </c>
      <c r="M318" s="851">
        <f t="shared" si="108"/>
        <v>2000000</v>
      </c>
      <c r="N318" s="276">
        <f t="shared" si="108"/>
        <v>0</v>
      </c>
      <c r="O318" s="276">
        <f t="shared" si="108"/>
        <v>0</v>
      </c>
      <c r="P318" s="276">
        <f t="shared" si="108"/>
        <v>0</v>
      </c>
      <c r="Q318" s="700">
        <f t="shared" si="108"/>
        <v>3000000</v>
      </c>
      <c r="R318" s="276">
        <f t="shared" si="108"/>
        <v>0</v>
      </c>
      <c r="S318" s="321">
        <f t="shared" si="108"/>
        <v>0</v>
      </c>
      <c r="T318" s="321">
        <f t="shared" si="84"/>
        <v>3000000</v>
      </c>
      <c r="U318" s="819">
        <f t="shared" si="87"/>
        <v>5000000</v>
      </c>
      <c r="V318" s="635">
        <f t="shared" si="85"/>
        <v>5000000</v>
      </c>
      <c r="W318" s="635">
        <f t="shared" si="86"/>
        <v>5000000</v>
      </c>
    </row>
    <row r="319" spans="2:23" s="23" customFormat="1" ht="12.75">
      <c r="B319" s="602"/>
      <c r="C319" s="603"/>
      <c r="D319" s="56">
        <v>620</v>
      </c>
      <c r="E319" s="167"/>
      <c r="F319" s="604"/>
      <c r="G319" s="605"/>
      <c r="H319" s="1296" t="s">
        <v>114</v>
      </c>
      <c r="I319" s="1297"/>
      <c r="J319" s="708"/>
      <c r="K319" s="522">
        <f aca="true" t="shared" si="109" ref="K319:S319">SUM(K320:K320)</f>
        <v>6000000</v>
      </c>
      <c r="L319" s="522">
        <f t="shared" si="109"/>
        <v>618000</v>
      </c>
      <c r="M319" s="522">
        <f t="shared" si="109"/>
        <v>2000000</v>
      </c>
      <c r="N319" s="65">
        <f t="shared" si="109"/>
        <v>0</v>
      </c>
      <c r="O319" s="65">
        <f t="shared" si="109"/>
        <v>0</v>
      </c>
      <c r="P319" s="325">
        <f t="shared" si="109"/>
        <v>0</v>
      </c>
      <c r="Q319" s="636">
        <f t="shared" si="109"/>
        <v>3000000</v>
      </c>
      <c r="R319" s="65">
        <f t="shared" si="109"/>
        <v>0</v>
      </c>
      <c r="S319" s="65">
        <f t="shared" si="109"/>
        <v>0</v>
      </c>
      <c r="T319" s="577">
        <f t="shared" si="84"/>
        <v>3000000</v>
      </c>
      <c r="U319" s="1048">
        <f t="shared" si="87"/>
        <v>5000000</v>
      </c>
      <c r="V319" s="811">
        <f t="shared" si="85"/>
        <v>5000000</v>
      </c>
      <c r="W319" s="1048">
        <f t="shared" si="86"/>
        <v>5000000</v>
      </c>
    </row>
    <row r="320" spans="2:23" s="474" customFormat="1" ht="26.25" customHeight="1">
      <c r="B320" s="753"/>
      <c r="C320" s="754"/>
      <c r="D320" s="755"/>
      <c r="E320" s="756"/>
      <c r="F320" s="1130">
        <v>215</v>
      </c>
      <c r="G320" s="757">
        <v>511</v>
      </c>
      <c r="H320" s="1329" t="s">
        <v>1437</v>
      </c>
      <c r="I320" s="1330"/>
      <c r="J320" s="1336"/>
      <c r="K320" s="877">
        <v>6000000</v>
      </c>
      <c r="L320" s="877">
        <v>618000</v>
      </c>
      <c r="M320" s="877">
        <v>2000000</v>
      </c>
      <c r="N320" s="758">
        <v>0</v>
      </c>
      <c r="O320" s="759">
        <v>0</v>
      </c>
      <c r="P320" s="760">
        <v>0</v>
      </c>
      <c r="Q320" s="761">
        <v>3000000</v>
      </c>
      <c r="R320" s="762">
        <v>0</v>
      </c>
      <c r="S320" s="763">
        <v>0</v>
      </c>
      <c r="T320" s="807">
        <f t="shared" si="84"/>
        <v>3000000</v>
      </c>
      <c r="U320" s="818">
        <f t="shared" si="87"/>
        <v>5000000</v>
      </c>
      <c r="V320" s="591">
        <f t="shared" si="85"/>
        <v>5000000</v>
      </c>
      <c r="W320" s="818">
        <f t="shared" si="86"/>
        <v>5000000</v>
      </c>
    </row>
    <row r="321" spans="2:23" ht="15" customHeight="1">
      <c r="B321" s="270"/>
      <c r="C321" s="271"/>
      <c r="D321" s="412"/>
      <c r="E321" s="332" t="s">
        <v>1227</v>
      </c>
      <c r="F321" s="412"/>
      <c r="G321" s="413"/>
      <c r="H321" s="1260" t="s">
        <v>1228</v>
      </c>
      <c r="I321" s="1261"/>
      <c r="J321" s="1262"/>
      <c r="K321" s="851">
        <f aca="true" t="shared" si="110" ref="K321:S321">K322</f>
        <v>14900000</v>
      </c>
      <c r="L321" s="851">
        <f t="shared" si="110"/>
        <v>310600</v>
      </c>
      <c r="M321" s="851">
        <f t="shared" si="110"/>
        <v>17400000</v>
      </c>
      <c r="N321" s="276">
        <f t="shared" si="110"/>
        <v>0</v>
      </c>
      <c r="O321" s="276">
        <f t="shared" si="110"/>
        <v>0</v>
      </c>
      <c r="P321" s="276">
        <f t="shared" si="110"/>
        <v>42500000</v>
      </c>
      <c r="Q321" s="276">
        <f t="shared" si="110"/>
        <v>8600000</v>
      </c>
      <c r="R321" s="276">
        <f t="shared" si="110"/>
        <v>0</v>
      </c>
      <c r="S321" s="321">
        <f t="shared" si="110"/>
        <v>0</v>
      </c>
      <c r="T321" s="321">
        <f t="shared" si="84"/>
        <v>51100000</v>
      </c>
      <c r="U321" s="819">
        <f>M321+N321+O321+P321+Q321+R321+S321</f>
        <v>68500000</v>
      </c>
      <c r="V321" s="635">
        <f t="shared" si="85"/>
        <v>68500000</v>
      </c>
      <c r="W321" s="635">
        <f t="shared" si="86"/>
        <v>68500000</v>
      </c>
    </row>
    <row r="322" spans="2:23" s="23" customFormat="1" ht="12.75">
      <c r="B322" s="602"/>
      <c r="C322" s="603"/>
      <c r="D322" s="56">
        <v>620</v>
      </c>
      <c r="E322" s="167"/>
      <c r="F322" s="604"/>
      <c r="G322" s="605"/>
      <c r="H322" s="736" t="s">
        <v>114</v>
      </c>
      <c r="I322" s="737"/>
      <c r="J322" s="988"/>
      <c r="K322" s="743">
        <f>SUM(K323:K327)</f>
        <v>14900000</v>
      </c>
      <c r="L322" s="743">
        <f>SUM(L323:L327)</f>
        <v>310600</v>
      </c>
      <c r="M322" s="743">
        <f>SUM(M323:M327)</f>
        <v>17400000</v>
      </c>
      <c r="N322" s="556">
        <f aca="true" t="shared" si="111" ref="N322:S322">SUM(N323:N324)</f>
        <v>0</v>
      </c>
      <c r="O322" s="556">
        <f t="shared" si="111"/>
        <v>0</v>
      </c>
      <c r="P322" s="556">
        <v>42500000</v>
      </c>
      <c r="Q322" s="556">
        <f t="shared" si="111"/>
        <v>8600000</v>
      </c>
      <c r="R322" s="556">
        <f t="shared" si="111"/>
        <v>0</v>
      </c>
      <c r="S322" s="556">
        <f t="shared" si="111"/>
        <v>0</v>
      </c>
      <c r="T322" s="556">
        <f t="shared" si="84"/>
        <v>51100000</v>
      </c>
      <c r="U322" s="1048">
        <f>M322+N322+O322+P322+Q322+R322+S322</f>
        <v>68500000</v>
      </c>
      <c r="V322" s="811">
        <f t="shared" si="85"/>
        <v>68500000</v>
      </c>
      <c r="W322" s="1048">
        <f t="shared" si="86"/>
        <v>68500000</v>
      </c>
    </row>
    <row r="323" spans="2:23" s="342" customFormat="1" ht="12.75">
      <c r="B323" s="336"/>
      <c r="C323" s="59"/>
      <c r="D323" s="56"/>
      <c r="E323" s="167"/>
      <c r="F323" s="350">
        <v>216</v>
      </c>
      <c r="G323" s="518">
        <v>424</v>
      </c>
      <c r="H323" s="1335" t="s">
        <v>1478</v>
      </c>
      <c r="I323" s="1335"/>
      <c r="J323" s="1335"/>
      <c r="K323" s="523">
        <v>400000</v>
      </c>
      <c r="L323" s="523">
        <v>310600</v>
      </c>
      <c r="M323" s="523">
        <v>400000</v>
      </c>
      <c r="N323" s="608">
        <v>0</v>
      </c>
      <c r="O323" s="390">
        <v>0</v>
      </c>
      <c r="P323" s="701">
        <v>0</v>
      </c>
      <c r="Q323" s="446">
        <v>0</v>
      </c>
      <c r="R323" s="701">
        <v>0</v>
      </c>
      <c r="S323" s="446">
        <v>0</v>
      </c>
      <c r="T323" s="393">
        <f t="shared" si="84"/>
        <v>0</v>
      </c>
      <c r="U323" s="818">
        <f t="shared" si="87"/>
        <v>400000</v>
      </c>
      <c r="V323" s="362">
        <f t="shared" si="85"/>
        <v>400000</v>
      </c>
      <c r="W323" s="818">
        <f t="shared" si="86"/>
        <v>400000</v>
      </c>
    </row>
    <row r="324" spans="2:23" s="342" customFormat="1" ht="12.75">
      <c r="B324" s="355"/>
      <c r="C324" s="319"/>
      <c r="D324" s="60"/>
      <c r="E324" s="519"/>
      <c r="F324" s="350">
        <v>217</v>
      </c>
      <c r="G324" s="515">
        <v>424</v>
      </c>
      <c r="H324" s="675" t="s">
        <v>1392</v>
      </c>
      <c r="I324" s="675"/>
      <c r="J324" s="675"/>
      <c r="K324" s="878">
        <v>0</v>
      </c>
      <c r="L324" s="878">
        <v>0</v>
      </c>
      <c r="M324" s="878">
        <v>0</v>
      </c>
      <c r="N324" s="740">
        <v>0</v>
      </c>
      <c r="O324" s="1115">
        <v>0</v>
      </c>
      <c r="P324" s="597">
        <v>0</v>
      </c>
      <c r="Q324" s="523">
        <v>8600000</v>
      </c>
      <c r="R324" s="597">
        <v>0</v>
      </c>
      <c r="S324" s="597">
        <v>0</v>
      </c>
      <c r="T324" s="404">
        <f t="shared" si="84"/>
        <v>8600000</v>
      </c>
      <c r="U324" s="818">
        <f t="shared" si="87"/>
        <v>8600000</v>
      </c>
      <c r="V324" s="362">
        <f t="shared" si="85"/>
        <v>8600000</v>
      </c>
      <c r="W324" s="818">
        <f t="shared" si="86"/>
        <v>8600000</v>
      </c>
    </row>
    <row r="325" spans="1:23" s="342" customFormat="1" ht="12.75">
      <c r="A325" s="342">
        <v>511</v>
      </c>
      <c r="B325" s="355"/>
      <c r="C325" s="319"/>
      <c r="D325" s="60"/>
      <c r="E325" s="519"/>
      <c r="F325" s="350">
        <v>218</v>
      </c>
      <c r="G325" s="515">
        <v>511</v>
      </c>
      <c r="H325" s="1276" t="s">
        <v>1544</v>
      </c>
      <c r="I325" s="1277"/>
      <c r="J325" s="1278"/>
      <c r="K325" s="878">
        <v>10000000</v>
      </c>
      <c r="L325" s="878">
        <v>0</v>
      </c>
      <c r="M325" s="878">
        <v>8000000</v>
      </c>
      <c r="N325" s="740">
        <v>0</v>
      </c>
      <c r="O325" s="1115">
        <v>0</v>
      </c>
      <c r="P325" s="597">
        <v>0</v>
      </c>
      <c r="Q325" s="597">
        <v>0</v>
      </c>
      <c r="R325" s="597">
        <v>0</v>
      </c>
      <c r="S325" s="597">
        <v>0</v>
      </c>
      <c r="T325" s="404">
        <f t="shared" si="84"/>
        <v>0</v>
      </c>
      <c r="U325" s="818">
        <f>M325+N325+O325+P325+Q325</f>
        <v>8000000</v>
      </c>
      <c r="V325" s="362">
        <f t="shared" si="85"/>
        <v>8000000</v>
      </c>
      <c r="W325" s="818">
        <f t="shared" si="86"/>
        <v>8000000</v>
      </c>
    </row>
    <row r="326" spans="2:23" s="342" customFormat="1" ht="12.75">
      <c r="B326" s="355"/>
      <c r="C326" s="319"/>
      <c r="D326" s="60"/>
      <c r="E326" s="519"/>
      <c r="F326" s="350">
        <v>219</v>
      </c>
      <c r="G326" s="515">
        <v>511</v>
      </c>
      <c r="H326" s="1276" t="s">
        <v>1541</v>
      </c>
      <c r="I326" s="1277"/>
      <c r="J326" s="1278"/>
      <c r="K326" s="878">
        <v>1500000</v>
      </c>
      <c r="L326" s="878">
        <v>0</v>
      </c>
      <c r="M326" s="878">
        <v>1500000</v>
      </c>
      <c r="N326" s="608">
        <v>0</v>
      </c>
      <c r="O326" s="597">
        <v>0</v>
      </c>
      <c r="P326" s="404">
        <v>0</v>
      </c>
      <c r="Q326" s="613">
        <v>0</v>
      </c>
      <c r="R326" s="597">
        <v>0</v>
      </c>
      <c r="S326" s="597">
        <v>0</v>
      </c>
      <c r="T326" s="404">
        <f t="shared" si="84"/>
        <v>0</v>
      </c>
      <c r="U326" s="818">
        <f>M326+N326+O326+Q326+P326</f>
        <v>1500000</v>
      </c>
      <c r="V326" s="362">
        <f t="shared" si="85"/>
        <v>1500000</v>
      </c>
      <c r="W326" s="818">
        <f t="shared" si="86"/>
        <v>1500000</v>
      </c>
    </row>
    <row r="327" spans="2:23" s="342" customFormat="1" ht="12.75">
      <c r="B327" s="355"/>
      <c r="C327" s="319"/>
      <c r="D327" s="60"/>
      <c r="E327" s="519"/>
      <c r="F327" s="350">
        <v>220</v>
      </c>
      <c r="G327" s="515">
        <v>511</v>
      </c>
      <c r="H327" s="675" t="s">
        <v>1501</v>
      </c>
      <c r="I327" s="675"/>
      <c r="J327" s="675"/>
      <c r="K327" s="878">
        <v>3000000</v>
      </c>
      <c r="L327" s="878">
        <v>0</v>
      </c>
      <c r="M327" s="878">
        <v>7500000</v>
      </c>
      <c r="N327" s="1117">
        <v>0</v>
      </c>
      <c r="O327" s="610">
        <v>0</v>
      </c>
      <c r="P327" s="610">
        <v>42500000</v>
      </c>
      <c r="Q327" s="404">
        <v>0</v>
      </c>
      <c r="R327" s="610">
        <v>0</v>
      </c>
      <c r="S327" s="404">
        <v>0</v>
      </c>
      <c r="T327" s="404">
        <f t="shared" si="84"/>
        <v>42500000</v>
      </c>
      <c r="U327" s="818">
        <f>M327+N327+O327+P327+Q327+R327+S327</f>
        <v>50000000</v>
      </c>
      <c r="V327" s="362">
        <f t="shared" si="85"/>
        <v>50000000</v>
      </c>
      <c r="W327" s="818">
        <f t="shared" si="86"/>
        <v>50000000</v>
      </c>
    </row>
    <row r="328" spans="2:23" s="668" customFormat="1" ht="27" customHeight="1">
      <c r="B328" s="617"/>
      <c r="C328" s="618"/>
      <c r="D328" s="594"/>
      <c r="E328" s="593" t="s">
        <v>1229</v>
      </c>
      <c r="F328" s="594"/>
      <c r="G328" s="595"/>
      <c r="H328" s="1374" t="s">
        <v>1390</v>
      </c>
      <c r="I328" s="1294"/>
      <c r="J328" s="1295"/>
      <c r="K328" s="994">
        <f aca="true" t="shared" si="112" ref="K328:M329">K329</f>
        <v>5000000</v>
      </c>
      <c r="L328" s="994">
        <f t="shared" si="112"/>
        <v>0</v>
      </c>
      <c r="M328" s="994">
        <f t="shared" si="112"/>
        <v>2500000</v>
      </c>
      <c r="N328" s="1201">
        <f aca="true" t="shared" si="113" ref="N328:S329">N329</f>
        <v>0</v>
      </c>
      <c r="O328" s="1201">
        <f t="shared" si="113"/>
        <v>0</v>
      </c>
      <c r="P328" s="1201">
        <f t="shared" si="113"/>
        <v>2000000</v>
      </c>
      <c r="Q328" s="1201">
        <f t="shared" si="113"/>
        <v>0</v>
      </c>
      <c r="R328" s="1201">
        <f t="shared" si="113"/>
        <v>0</v>
      </c>
      <c r="S328" s="1201">
        <f t="shared" si="113"/>
        <v>0</v>
      </c>
      <c r="T328" s="1202">
        <f aca="true" t="shared" si="114" ref="T328:T391">SUM(N328:S328)</f>
        <v>2000000</v>
      </c>
      <c r="U328" s="1027">
        <f t="shared" si="87"/>
        <v>4500000</v>
      </c>
      <c r="V328" s="822">
        <f t="shared" si="85"/>
        <v>4500000</v>
      </c>
      <c r="W328" s="822">
        <f t="shared" si="86"/>
        <v>4500000</v>
      </c>
    </row>
    <row r="329" spans="2:23" ht="14.25" customHeight="1">
      <c r="B329" s="270"/>
      <c r="C329" s="271"/>
      <c r="D329" s="412"/>
      <c r="E329" s="332" t="s">
        <v>1230</v>
      </c>
      <c r="F329" s="412"/>
      <c r="G329" s="413"/>
      <c r="H329" s="1260" t="s">
        <v>1300</v>
      </c>
      <c r="I329" s="1261"/>
      <c r="J329" s="1262"/>
      <c r="K329" s="851">
        <f t="shared" si="112"/>
        <v>5000000</v>
      </c>
      <c r="L329" s="976">
        <f t="shared" si="112"/>
        <v>0</v>
      </c>
      <c r="M329" s="984">
        <f t="shared" si="112"/>
        <v>2500000</v>
      </c>
      <c r="N329" s="276">
        <f t="shared" si="113"/>
        <v>0</v>
      </c>
      <c r="O329" s="276">
        <f t="shared" si="113"/>
        <v>0</v>
      </c>
      <c r="P329" s="276">
        <f t="shared" si="113"/>
        <v>2000000</v>
      </c>
      <c r="Q329" s="276">
        <f t="shared" si="113"/>
        <v>0</v>
      </c>
      <c r="R329" s="276">
        <f t="shared" si="113"/>
        <v>0</v>
      </c>
      <c r="S329" s="276">
        <f t="shared" si="113"/>
        <v>0</v>
      </c>
      <c r="T329" s="321">
        <f t="shared" si="114"/>
        <v>2000000</v>
      </c>
      <c r="U329" s="819">
        <f t="shared" si="87"/>
        <v>4500000</v>
      </c>
      <c r="V329" s="635">
        <f t="shared" si="85"/>
        <v>4500000</v>
      </c>
      <c r="W329" s="635">
        <f t="shared" si="86"/>
        <v>4500000</v>
      </c>
    </row>
    <row r="330" spans="2:23" s="23" customFormat="1" ht="12.75">
      <c r="B330" s="602"/>
      <c r="C330" s="603"/>
      <c r="D330" s="56">
        <v>620</v>
      </c>
      <c r="E330" s="167"/>
      <c r="F330" s="604"/>
      <c r="G330" s="605"/>
      <c r="H330" s="1296" t="s">
        <v>114</v>
      </c>
      <c r="I330" s="1297"/>
      <c r="J330" s="708"/>
      <c r="K330" s="522">
        <f>SUM(K331:K332)</f>
        <v>5000000</v>
      </c>
      <c r="L330" s="522">
        <f aca="true" t="shared" si="115" ref="L330:S330">SUM(L331:L331)</f>
        <v>0</v>
      </c>
      <c r="M330" s="365">
        <f>M331+M332</f>
        <v>2500000</v>
      </c>
      <c r="N330" s="365">
        <f t="shared" si="115"/>
        <v>0</v>
      </c>
      <c r="O330" s="365">
        <f t="shared" si="115"/>
        <v>0</v>
      </c>
      <c r="P330" s="365">
        <f>P332+P331</f>
        <v>2000000</v>
      </c>
      <c r="Q330" s="365">
        <f t="shared" si="115"/>
        <v>0</v>
      </c>
      <c r="R330" s="365">
        <f t="shared" si="115"/>
        <v>0</v>
      </c>
      <c r="S330" s="365">
        <f t="shared" si="115"/>
        <v>0</v>
      </c>
      <c r="T330" s="577">
        <f t="shared" si="114"/>
        <v>2000000</v>
      </c>
      <c r="U330" s="1048">
        <f>S330+Q330+P330+O330+N330+M330</f>
        <v>4500000</v>
      </c>
      <c r="V330" s="811">
        <f t="shared" si="85"/>
        <v>4500000</v>
      </c>
      <c r="W330" s="818">
        <f t="shared" si="86"/>
        <v>4500000</v>
      </c>
    </row>
    <row r="331" spans="2:23" s="342" customFormat="1" ht="12.75">
      <c r="B331" s="336"/>
      <c r="C331" s="59"/>
      <c r="D331" s="56"/>
      <c r="E331" s="167"/>
      <c r="F331" s="338">
        <v>221</v>
      </c>
      <c r="G331" s="339">
        <v>511</v>
      </c>
      <c r="H331" s="1333" t="s">
        <v>1438</v>
      </c>
      <c r="I331" s="1334"/>
      <c r="J331" s="1337"/>
      <c r="K331" s="997">
        <v>3000000</v>
      </c>
      <c r="L331" s="997">
        <v>0</v>
      </c>
      <c r="M331" s="997">
        <v>500000</v>
      </c>
      <c r="N331" s="405">
        <v>0</v>
      </c>
      <c r="O331" s="405">
        <v>0</v>
      </c>
      <c r="P331" s="358">
        <v>0</v>
      </c>
      <c r="Q331" s="405">
        <v>0</v>
      </c>
      <c r="R331" s="405">
        <v>0</v>
      </c>
      <c r="S331" s="405">
        <v>0</v>
      </c>
      <c r="T331" s="392">
        <f t="shared" si="114"/>
        <v>0</v>
      </c>
      <c r="U331" s="818">
        <f aca="true" t="shared" si="116" ref="U331:U362">M331+N331+O331+P331+Q331+R331+S331</f>
        <v>500000</v>
      </c>
      <c r="V331" s="362">
        <f>U331</f>
        <v>500000</v>
      </c>
      <c r="W331" s="818">
        <f aca="true" t="shared" si="117" ref="W331:W397">U331</f>
        <v>500000</v>
      </c>
    </row>
    <row r="332" spans="2:23" s="342" customFormat="1" ht="12.75">
      <c r="B332" s="355"/>
      <c r="C332" s="319"/>
      <c r="D332" s="60"/>
      <c r="E332" s="519"/>
      <c r="F332" s="349" t="s">
        <v>1571</v>
      </c>
      <c r="G332" s="350">
        <v>454</v>
      </c>
      <c r="H332" s="1252" t="s">
        <v>1474</v>
      </c>
      <c r="I332" s="1252"/>
      <c r="J332" s="1252"/>
      <c r="K332" s="523">
        <v>2000000</v>
      </c>
      <c r="L332" s="523">
        <v>0</v>
      </c>
      <c r="M332" s="523">
        <v>2000000</v>
      </c>
      <c r="N332" s="610">
        <v>0</v>
      </c>
      <c r="O332" s="610">
        <v>0</v>
      </c>
      <c r="P332" s="358">
        <v>2000000</v>
      </c>
      <c r="Q332" s="610">
        <v>0</v>
      </c>
      <c r="R332" s="610"/>
      <c r="S332" s="610">
        <v>0</v>
      </c>
      <c r="T332" s="404">
        <f t="shared" si="114"/>
        <v>2000000</v>
      </c>
      <c r="U332" s="818">
        <f>M332+N332+O332+P332+Q332</f>
        <v>4000000</v>
      </c>
      <c r="V332" s="818">
        <f>U332</f>
        <v>4000000</v>
      </c>
      <c r="W332" s="818">
        <f>U332</f>
        <v>4000000</v>
      </c>
    </row>
    <row r="333" spans="2:23" s="668" customFormat="1" ht="16.5" customHeight="1">
      <c r="B333" s="617"/>
      <c r="C333" s="618"/>
      <c r="D333" s="594"/>
      <c r="E333" s="593" t="s">
        <v>805</v>
      </c>
      <c r="F333" s="594"/>
      <c r="G333" s="595"/>
      <c r="H333" s="1374" t="s">
        <v>163</v>
      </c>
      <c r="I333" s="1294"/>
      <c r="J333" s="1295"/>
      <c r="K333" s="994">
        <f>K334+K338+K343</f>
        <v>7372000</v>
      </c>
      <c r="L333" s="994">
        <f>L334+L338+L343</f>
        <v>2987500</v>
      </c>
      <c r="M333" s="994">
        <f>M334+M338+M343</f>
        <v>8872000</v>
      </c>
      <c r="N333" s="1201">
        <f aca="true" t="shared" si="118" ref="N333:S333">N334+N338+N343</f>
        <v>0</v>
      </c>
      <c r="O333" s="1201">
        <f t="shared" si="118"/>
        <v>0</v>
      </c>
      <c r="P333" s="1201">
        <f t="shared" si="118"/>
        <v>0</v>
      </c>
      <c r="Q333" s="1201">
        <f t="shared" si="118"/>
        <v>0</v>
      </c>
      <c r="R333" s="1201">
        <f t="shared" si="118"/>
        <v>0</v>
      </c>
      <c r="S333" s="1201">
        <f t="shared" si="118"/>
        <v>0</v>
      </c>
      <c r="T333" s="1202">
        <f t="shared" si="114"/>
        <v>0</v>
      </c>
      <c r="U333" s="1027">
        <f t="shared" si="116"/>
        <v>8872000</v>
      </c>
      <c r="V333" s="822">
        <f aca="true" t="shared" si="119" ref="V333:V397">U333</f>
        <v>8872000</v>
      </c>
      <c r="W333" s="822">
        <f t="shared" si="117"/>
        <v>8872000</v>
      </c>
    </row>
    <row r="334" spans="2:23" s="626" customFormat="1" ht="28.5" customHeight="1">
      <c r="B334" s="643"/>
      <c r="C334" s="644"/>
      <c r="D334" s="645"/>
      <c r="E334" s="646" t="s">
        <v>1243</v>
      </c>
      <c r="F334" s="645"/>
      <c r="G334" s="647"/>
      <c r="H334" s="1408" t="s">
        <v>217</v>
      </c>
      <c r="I334" s="1409"/>
      <c r="J334" s="1410"/>
      <c r="K334" s="879">
        <f aca="true" t="shared" si="120" ref="K334:S334">K335</f>
        <v>872000</v>
      </c>
      <c r="L334" s="879">
        <f t="shared" si="120"/>
        <v>0</v>
      </c>
      <c r="M334" s="879">
        <f t="shared" si="120"/>
        <v>872000</v>
      </c>
      <c r="N334" s="276">
        <f t="shared" si="120"/>
        <v>0</v>
      </c>
      <c r="O334" s="276">
        <f t="shared" si="120"/>
        <v>0</v>
      </c>
      <c r="P334" s="276">
        <f t="shared" si="120"/>
        <v>0</v>
      </c>
      <c r="Q334" s="276">
        <f t="shared" si="120"/>
        <v>0</v>
      </c>
      <c r="R334" s="276">
        <f t="shared" si="120"/>
        <v>0</v>
      </c>
      <c r="S334" s="321">
        <f t="shared" si="120"/>
        <v>0</v>
      </c>
      <c r="T334" s="321">
        <f t="shared" si="114"/>
        <v>0</v>
      </c>
      <c r="U334" s="819">
        <f t="shared" si="116"/>
        <v>872000</v>
      </c>
      <c r="V334" s="635">
        <f t="shared" si="119"/>
        <v>872000</v>
      </c>
      <c r="W334" s="635">
        <f t="shared" si="117"/>
        <v>872000</v>
      </c>
    </row>
    <row r="335" spans="2:23" s="342" customFormat="1" ht="12.75">
      <c r="B335" s="336"/>
      <c r="C335" s="343"/>
      <c r="D335" s="56">
        <v>610</v>
      </c>
      <c r="E335" s="167"/>
      <c r="F335" s="338"/>
      <c r="G335" s="339"/>
      <c r="H335" s="1296" t="s">
        <v>113</v>
      </c>
      <c r="I335" s="1297"/>
      <c r="J335" s="1298"/>
      <c r="K335" s="168">
        <f aca="true" t="shared" si="121" ref="K335:S335">SUM(K336:K337)</f>
        <v>872000</v>
      </c>
      <c r="L335" s="168">
        <f t="shared" si="121"/>
        <v>0</v>
      </c>
      <c r="M335" s="168">
        <f t="shared" si="121"/>
        <v>872000</v>
      </c>
      <c r="N335" s="168">
        <f t="shared" si="121"/>
        <v>0</v>
      </c>
      <c r="O335" s="168">
        <f t="shared" si="121"/>
        <v>0</v>
      </c>
      <c r="P335" s="168">
        <f t="shared" si="121"/>
        <v>0</v>
      </c>
      <c r="Q335" s="168">
        <f t="shared" si="121"/>
        <v>0</v>
      </c>
      <c r="R335" s="168">
        <f t="shared" si="121"/>
        <v>0</v>
      </c>
      <c r="S335" s="168">
        <f t="shared" si="121"/>
        <v>0</v>
      </c>
      <c r="T335" s="322">
        <f t="shared" si="114"/>
        <v>0</v>
      </c>
      <c r="U335" s="1048">
        <f t="shared" si="116"/>
        <v>872000</v>
      </c>
      <c r="V335" s="361">
        <f t="shared" si="119"/>
        <v>872000</v>
      </c>
      <c r="W335" s="1048">
        <f t="shared" si="117"/>
        <v>872000</v>
      </c>
    </row>
    <row r="336" spans="2:23" s="342" customFormat="1" ht="13.5" customHeight="1">
      <c r="B336" s="355"/>
      <c r="C336" s="348"/>
      <c r="D336" s="356"/>
      <c r="E336" s="357"/>
      <c r="F336" s="350">
        <v>222</v>
      </c>
      <c r="G336" s="515">
        <v>472</v>
      </c>
      <c r="H336" s="1270" t="s">
        <v>1363</v>
      </c>
      <c r="I336" s="1270"/>
      <c r="J336" s="1270"/>
      <c r="K336" s="359">
        <v>772000</v>
      </c>
      <c r="L336" s="359">
        <v>0</v>
      </c>
      <c r="M336" s="359">
        <v>772000</v>
      </c>
      <c r="N336" s="358">
        <v>0</v>
      </c>
      <c r="O336" s="358">
        <v>0</v>
      </c>
      <c r="P336" s="358">
        <v>0</v>
      </c>
      <c r="Q336" s="359">
        <v>0</v>
      </c>
      <c r="R336" s="392">
        <v>0</v>
      </c>
      <c r="S336" s="523">
        <v>0</v>
      </c>
      <c r="T336" s="345">
        <f t="shared" si="114"/>
        <v>0</v>
      </c>
      <c r="U336" s="818">
        <f t="shared" si="116"/>
        <v>772000</v>
      </c>
      <c r="V336" s="362">
        <f t="shared" si="119"/>
        <v>772000</v>
      </c>
      <c r="W336" s="818">
        <f t="shared" si="117"/>
        <v>772000</v>
      </c>
    </row>
    <row r="337" spans="2:23" s="342" customFormat="1" ht="13.5" customHeight="1">
      <c r="B337" s="355"/>
      <c r="C337" s="348"/>
      <c r="D337" s="356"/>
      <c r="E337" s="357"/>
      <c r="F337" s="350">
        <v>223</v>
      </c>
      <c r="G337" s="515">
        <v>472</v>
      </c>
      <c r="H337" s="1331" t="s">
        <v>1364</v>
      </c>
      <c r="I337" s="1332"/>
      <c r="J337" s="1332"/>
      <c r="K337" s="859">
        <v>100000</v>
      </c>
      <c r="L337" s="859">
        <v>0</v>
      </c>
      <c r="M337" s="859">
        <v>100000</v>
      </c>
      <c r="N337" s="358">
        <v>0</v>
      </c>
      <c r="O337" s="358">
        <v>0</v>
      </c>
      <c r="P337" s="358">
        <v>0</v>
      </c>
      <c r="Q337" s="358">
        <v>0</v>
      </c>
      <c r="R337" s="392">
        <v>0</v>
      </c>
      <c r="S337" s="523">
        <v>0</v>
      </c>
      <c r="T337" s="345">
        <f t="shared" si="114"/>
        <v>0</v>
      </c>
      <c r="U337" s="818">
        <f t="shared" si="116"/>
        <v>100000</v>
      </c>
      <c r="V337" s="362">
        <f t="shared" si="119"/>
        <v>100000</v>
      </c>
      <c r="W337" s="818">
        <f t="shared" si="117"/>
        <v>100000</v>
      </c>
    </row>
    <row r="338" spans="2:23" s="342" customFormat="1" ht="27.75" customHeight="1">
      <c r="B338" s="724"/>
      <c r="C338" s="725"/>
      <c r="D338" s="583"/>
      <c r="E338" s="332" t="s">
        <v>825</v>
      </c>
      <c r="F338" s="583"/>
      <c r="G338" s="584"/>
      <c r="H338" s="1260" t="s">
        <v>1301</v>
      </c>
      <c r="I338" s="1261"/>
      <c r="J338" s="1262"/>
      <c r="K338" s="851">
        <f>K339</f>
        <v>5000000</v>
      </c>
      <c r="L338" s="851">
        <f>L339</f>
        <v>2987500</v>
      </c>
      <c r="M338" s="851">
        <f>M339</f>
        <v>6500000</v>
      </c>
      <c r="N338" s="851">
        <f aca="true" t="shared" si="122" ref="N338:S338">N339</f>
        <v>0</v>
      </c>
      <c r="O338" s="851">
        <f t="shared" si="122"/>
        <v>0</v>
      </c>
      <c r="P338" s="851">
        <f t="shared" si="122"/>
        <v>0</v>
      </c>
      <c r="Q338" s="851">
        <f t="shared" si="122"/>
        <v>0</v>
      </c>
      <c r="R338" s="851">
        <f t="shared" si="122"/>
        <v>0</v>
      </c>
      <c r="S338" s="851">
        <f t="shared" si="122"/>
        <v>0</v>
      </c>
      <c r="T338" s="726">
        <f t="shared" si="114"/>
        <v>0</v>
      </c>
      <c r="U338" s="819">
        <f t="shared" si="116"/>
        <v>6500000</v>
      </c>
      <c r="V338" s="819">
        <f t="shared" si="119"/>
        <v>6500000</v>
      </c>
      <c r="W338" s="635">
        <f t="shared" si="117"/>
        <v>6500000</v>
      </c>
    </row>
    <row r="339" spans="2:23" s="342" customFormat="1" ht="12.75">
      <c r="B339" s="336"/>
      <c r="C339" s="343"/>
      <c r="D339" s="56">
        <v>490</v>
      </c>
      <c r="E339" s="167"/>
      <c r="F339" s="338"/>
      <c r="G339" s="339"/>
      <c r="H339" s="1296" t="s">
        <v>165</v>
      </c>
      <c r="I339" s="1297"/>
      <c r="J339" s="1298"/>
      <c r="K339" s="744">
        <f>SUM(K340:K342)</f>
        <v>5000000</v>
      </c>
      <c r="L339" s="744">
        <f>SUM(L340:L342)</f>
        <v>2987500</v>
      </c>
      <c r="M339" s="744">
        <f>SUM(M340:M342)</f>
        <v>6500000</v>
      </c>
      <c r="N339" s="168">
        <f aca="true" t="shared" si="123" ref="N339:S339">SUM(N340:N342)</f>
        <v>0</v>
      </c>
      <c r="O339" s="168">
        <f t="shared" si="123"/>
        <v>0</v>
      </c>
      <c r="P339" s="168">
        <f t="shared" si="123"/>
        <v>0</v>
      </c>
      <c r="Q339" s="168">
        <f t="shared" si="123"/>
        <v>0</v>
      </c>
      <c r="R339" s="168">
        <f t="shared" si="123"/>
        <v>0</v>
      </c>
      <c r="S339" s="168">
        <f t="shared" si="123"/>
        <v>0</v>
      </c>
      <c r="T339" s="168">
        <f t="shared" si="114"/>
        <v>0</v>
      </c>
      <c r="U339" s="1048">
        <f t="shared" si="116"/>
        <v>6500000</v>
      </c>
      <c r="V339" s="361">
        <f t="shared" si="119"/>
        <v>6500000</v>
      </c>
      <c r="W339" s="1048">
        <f t="shared" si="117"/>
        <v>6500000</v>
      </c>
    </row>
    <row r="340" spans="1:23" s="342" customFormat="1" ht="12.75">
      <c r="A340" s="342" t="s">
        <v>1497</v>
      </c>
      <c r="B340" s="355"/>
      <c r="C340" s="348"/>
      <c r="D340" s="356"/>
      <c r="E340" s="357"/>
      <c r="F340" s="349">
        <v>224</v>
      </c>
      <c r="G340" s="350">
        <v>454</v>
      </c>
      <c r="H340" s="1269" t="s">
        <v>1474</v>
      </c>
      <c r="I340" s="1270"/>
      <c r="J340" s="1270"/>
      <c r="K340" s="523">
        <v>2000000</v>
      </c>
      <c r="L340" s="523">
        <v>1628000</v>
      </c>
      <c r="M340" s="523">
        <v>3500000</v>
      </c>
      <c r="N340" s="358">
        <v>0</v>
      </c>
      <c r="O340" s="358">
        <v>0</v>
      </c>
      <c r="P340" s="358">
        <v>0</v>
      </c>
      <c r="Q340" s="359">
        <v>0</v>
      </c>
      <c r="R340" s="345"/>
      <c r="S340" s="359">
        <v>0</v>
      </c>
      <c r="T340" s="359">
        <f t="shared" si="114"/>
        <v>0</v>
      </c>
      <c r="U340" s="818">
        <f t="shared" si="116"/>
        <v>3500000</v>
      </c>
      <c r="V340" s="362">
        <f t="shared" si="119"/>
        <v>3500000</v>
      </c>
      <c r="W340" s="818">
        <f t="shared" si="117"/>
        <v>3500000</v>
      </c>
    </row>
    <row r="341" spans="2:23" s="342" customFormat="1" ht="12.75">
      <c r="B341" s="355"/>
      <c r="C341" s="348"/>
      <c r="D341" s="356"/>
      <c r="E341" s="357"/>
      <c r="F341" s="349">
        <v>225</v>
      </c>
      <c r="G341" s="350">
        <v>454</v>
      </c>
      <c r="H341" s="1269" t="s">
        <v>1542</v>
      </c>
      <c r="I341" s="1270"/>
      <c r="J341" s="1270"/>
      <c r="K341" s="523">
        <v>1000000</v>
      </c>
      <c r="L341" s="523">
        <v>0</v>
      </c>
      <c r="M341" s="523">
        <v>1000000</v>
      </c>
      <c r="N341" s="358">
        <v>0</v>
      </c>
      <c r="O341" s="358">
        <v>0</v>
      </c>
      <c r="P341" s="358">
        <v>0</v>
      </c>
      <c r="Q341" s="359">
        <v>0</v>
      </c>
      <c r="R341" s="345">
        <v>0</v>
      </c>
      <c r="S341" s="359">
        <v>0</v>
      </c>
      <c r="T341" s="359">
        <f t="shared" si="114"/>
        <v>0</v>
      </c>
      <c r="U341" s="818">
        <v>1000000</v>
      </c>
      <c r="V341" s="362">
        <f t="shared" si="119"/>
        <v>1000000</v>
      </c>
      <c r="W341" s="818">
        <f t="shared" si="117"/>
        <v>1000000</v>
      </c>
    </row>
    <row r="342" spans="2:23" s="342" customFormat="1" ht="12.75">
      <c r="B342" s="355"/>
      <c r="C342" s="348"/>
      <c r="D342" s="349"/>
      <c r="E342" s="348"/>
      <c r="F342" s="447">
        <v>226</v>
      </c>
      <c r="G342" s="448">
        <v>481</v>
      </c>
      <c r="H342" s="1333" t="s">
        <v>164</v>
      </c>
      <c r="I342" s="1334"/>
      <c r="J342" s="1334"/>
      <c r="K342" s="523">
        <v>2000000</v>
      </c>
      <c r="L342" s="523">
        <v>1359500</v>
      </c>
      <c r="M342" s="523">
        <v>2000000</v>
      </c>
      <c r="N342" s="389">
        <v>0</v>
      </c>
      <c r="O342" s="389">
        <v>0</v>
      </c>
      <c r="P342" s="389">
        <v>0</v>
      </c>
      <c r="Q342" s="406">
        <v>0</v>
      </c>
      <c r="R342" s="392">
        <v>0</v>
      </c>
      <c r="S342" s="406">
        <v>0</v>
      </c>
      <c r="T342" s="406">
        <f t="shared" si="114"/>
        <v>0</v>
      </c>
      <c r="U342" s="818">
        <f t="shared" si="116"/>
        <v>2000000</v>
      </c>
      <c r="V342" s="591">
        <f t="shared" si="119"/>
        <v>2000000</v>
      </c>
      <c r="W342" s="818">
        <f t="shared" si="117"/>
        <v>2000000</v>
      </c>
    </row>
    <row r="343" spans="2:23" ht="13.5" customHeight="1">
      <c r="B343" s="270"/>
      <c r="C343" s="271"/>
      <c r="D343" s="412"/>
      <c r="E343" s="332" t="s">
        <v>823</v>
      </c>
      <c r="F343" s="412"/>
      <c r="G343" s="413"/>
      <c r="H343" s="1260" t="s">
        <v>1226</v>
      </c>
      <c r="I343" s="1261"/>
      <c r="J343" s="1262"/>
      <c r="K343" s="851">
        <f aca="true" t="shared" si="124" ref="K343:M344">K344</f>
        <v>1500000</v>
      </c>
      <c r="L343" s="851">
        <f t="shared" si="124"/>
        <v>0</v>
      </c>
      <c r="M343" s="851">
        <f t="shared" si="124"/>
        <v>1500000</v>
      </c>
      <c r="N343" s="276">
        <f aca="true" t="shared" si="125" ref="N343:S343">N344</f>
        <v>0</v>
      </c>
      <c r="O343" s="276">
        <f t="shared" si="125"/>
        <v>0</v>
      </c>
      <c r="P343" s="276">
        <f t="shared" si="125"/>
        <v>0</v>
      </c>
      <c r="Q343" s="276">
        <f t="shared" si="125"/>
        <v>0</v>
      </c>
      <c r="R343" s="276">
        <f t="shared" si="125"/>
        <v>0</v>
      </c>
      <c r="S343" s="276">
        <f t="shared" si="125"/>
        <v>0</v>
      </c>
      <c r="T343" s="321">
        <f t="shared" si="114"/>
        <v>0</v>
      </c>
      <c r="U343" s="819">
        <f t="shared" si="116"/>
        <v>1500000</v>
      </c>
      <c r="V343" s="635">
        <f t="shared" si="119"/>
        <v>1500000</v>
      </c>
      <c r="W343" s="635">
        <f t="shared" si="117"/>
        <v>1500000</v>
      </c>
    </row>
    <row r="344" spans="2:23" s="342" customFormat="1" ht="12.75">
      <c r="B344" s="336"/>
      <c r="C344" s="343"/>
      <c r="D344" s="56">
        <v>412</v>
      </c>
      <c r="E344" s="167"/>
      <c r="F344" s="338"/>
      <c r="G344" s="339"/>
      <c r="H344" s="1296" t="s">
        <v>356</v>
      </c>
      <c r="I344" s="1297"/>
      <c r="J344" s="1298"/>
      <c r="K344" s="744">
        <f t="shared" si="124"/>
        <v>1500000</v>
      </c>
      <c r="L344" s="744">
        <f t="shared" si="124"/>
        <v>0</v>
      </c>
      <c r="M344" s="744">
        <f t="shared" si="124"/>
        <v>1500000</v>
      </c>
      <c r="N344" s="168">
        <f aca="true" t="shared" si="126" ref="N344:S344">N345</f>
        <v>0</v>
      </c>
      <c r="O344" s="168">
        <f t="shared" si="126"/>
        <v>0</v>
      </c>
      <c r="P344" s="744">
        <f t="shared" si="126"/>
        <v>0</v>
      </c>
      <c r="Q344" s="744">
        <f t="shared" si="126"/>
        <v>0</v>
      </c>
      <c r="R344" s="744">
        <f t="shared" si="126"/>
        <v>0</v>
      </c>
      <c r="S344" s="744">
        <f t="shared" si="126"/>
        <v>0</v>
      </c>
      <c r="T344" s="322">
        <f t="shared" si="114"/>
        <v>0</v>
      </c>
      <c r="U344" s="1048">
        <f t="shared" si="116"/>
        <v>1500000</v>
      </c>
      <c r="V344" s="361">
        <f t="shared" si="119"/>
        <v>1500000</v>
      </c>
      <c r="W344" s="1048">
        <f t="shared" si="117"/>
        <v>1500000</v>
      </c>
    </row>
    <row r="345" spans="2:23" s="474" customFormat="1" ht="24.75" customHeight="1">
      <c r="B345" s="745"/>
      <c r="C345" s="746"/>
      <c r="D345" s="747"/>
      <c r="E345" s="746"/>
      <c r="F345" s="1131">
        <v>227</v>
      </c>
      <c r="G345" s="749">
        <v>464</v>
      </c>
      <c r="H345" s="1329" t="s">
        <v>1394</v>
      </c>
      <c r="I345" s="1330"/>
      <c r="J345" s="1330"/>
      <c r="K345" s="752">
        <v>1500000</v>
      </c>
      <c r="L345" s="752">
        <v>0</v>
      </c>
      <c r="M345" s="752">
        <v>1500000</v>
      </c>
      <c r="N345" s="750">
        <v>0</v>
      </c>
      <c r="O345" s="751">
        <v>0</v>
      </c>
      <c r="P345" s="752">
        <v>0</v>
      </c>
      <c r="Q345" s="752">
        <v>0</v>
      </c>
      <c r="R345" s="752">
        <v>0</v>
      </c>
      <c r="S345" s="752">
        <v>0</v>
      </c>
      <c r="T345" s="751">
        <f t="shared" si="114"/>
        <v>0</v>
      </c>
      <c r="U345" s="818">
        <f t="shared" si="116"/>
        <v>1500000</v>
      </c>
      <c r="V345" s="362">
        <f t="shared" si="119"/>
        <v>1500000</v>
      </c>
      <c r="W345" s="818">
        <f t="shared" si="117"/>
        <v>1500000</v>
      </c>
    </row>
    <row r="346" spans="2:23" s="668" customFormat="1" ht="14.25" customHeight="1">
      <c r="B346" s="617"/>
      <c r="C346" s="618"/>
      <c r="D346" s="594"/>
      <c r="E346" s="593" t="s">
        <v>305</v>
      </c>
      <c r="F346" s="594"/>
      <c r="G346" s="595"/>
      <c r="H346" s="1327" t="s">
        <v>1322</v>
      </c>
      <c r="I346" s="1328"/>
      <c r="J346" s="1328"/>
      <c r="K346" s="994">
        <f aca="true" t="shared" si="127" ref="K346:S346">K347+K359</f>
        <v>19240000</v>
      </c>
      <c r="L346" s="994">
        <f t="shared" si="127"/>
        <v>1272479.3900000001</v>
      </c>
      <c r="M346" s="994">
        <f t="shared" si="127"/>
        <v>20240000</v>
      </c>
      <c r="N346" s="619">
        <f t="shared" si="127"/>
        <v>0</v>
      </c>
      <c r="O346" s="619">
        <f t="shared" si="127"/>
        <v>0</v>
      </c>
      <c r="P346" s="619">
        <f t="shared" si="127"/>
        <v>0</v>
      </c>
      <c r="Q346" s="619">
        <f t="shared" si="127"/>
        <v>40286871</v>
      </c>
      <c r="R346" s="619">
        <f t="shared" si="127"/>
        <v>0</v>
      </c>
      <c r="S346" s="619">
        <f t="shared" si="127"/>
        <v>0</v>
      </c>
      <c r="T346" s="620">
        <f t="shared" si="114"/>
        <v>40286871</v>
      </c>
      <c r="U346" s="1027">
        <f t="shared" si="116"/>
        <v>60526871</v>
      </c>
      <c r="V346" s="822">
        <f t="shared" si="119"/>
        <v>60526871</v>
      </c>
      <c r="W346" s="822">
        <f t="shared" si="117"/>
        <v>60526871</v>
      </c>
    </row>
    <row r="347" spans="2:23" ht="14.25" customHeight="1">
      <c r="B347" s="270"/>
      <c r="C347" s="271"/>
      <c r="D347" s="412"/>
      <c r="E347" s="332" t="s">
        <v>306</v>
      </c>
      <c r="F347" s="412"/>
      <c r="G347" s="413"/>
      <c r="H347" s="1323" t="s">
        <v>1303</v>
      </c>
      <c r="I347" s="1324"/>
      <c r="J347" s="1324"/>
      <c r="K347" s="984">
        <f aca="true" t="shared" si="128" ref="K347:S347">K348</f>
        <v>16490000</v>
      </c>
      <c r="L347" s="984">
        <f t="shared" si="128"/>
        <v>1272479.3900000001</v>
      </c>
      <c r="M347" s="984">
        <f t="shared" si="128"/>
        <v>17490000</v>
      </c>
      <c r="N347" s="276">
        <f t="shared" si="128"/>
        <v>0</v>
      </c>
      <c r="O347" s="276">
        <f t="shared" si="128"/>
        <v>0</v>
      </c>
      <c r="P347" s="276">
        <f t="shared" si="128"/>
        <v>0</v>
      </c>
      <c r="Q347" s="276">
        <f t="shared" si="128"/>
        <v>33286871</v>
      </c>
      <c r="R347" s="276">
        <f t="shared" si="128"/>
        <v>0</v>
      </c>
      <c r="S347" s="321">
        <f t="shared" si="128"/>
        <v>0</v>
      </c>
      <c r="T347" s="321">
        <f t="shared" si="114"/>
        <v>33286871</v>
      </c>
      <c r="U347" s="819">
        <f t="shared" si="116"/>
        <v>50776871</v>
      </c>
      <c r="V347" s="635">
        <f t="shared" si="119"/>
        <v>50776871</v>
      </c>
      <c r="W347" s="635">
        <f t="shared" si="117"/>
        <v>50776871</v>
      </c>
    </row>
    <row r="348" spans="2:23" ht="12.75">
      <c r="B348" s="336"/>
      <c r="C348" s="59"/>
      <c r="D348" s="56">
        <v>451</v>
      </c>
      <c r="E348" s="167"/>
      <c r="F348" s="338"/>
      <c r="G348" s="339"/>
      <c r="H348" s="1317" t="s">
        <v>369</v>
      </c>
      <c r="I348" s="1318"/>
      <c r="J348" s="1319"/>
      <c r="K348" s="880">
        <f aca="true" t="shared" si="129" ref="K348:S348">SUM(K349:K358)</f>
        <v>16490000</v>
      </c>
      <c r="L348" s="880">
        <f t="shared" si="129"/>
        <v>1272479.3900000001</v>
      </c>
      <c r="M348" s="880">
        <f>SUM(M349:M358)</f>
        <v>17490000</v>
      </c>
      <c r="N348" s="556">
        <f t="shared" si="129"/>
        <v>0</v>
      </c>
      <c r="O348" s="556">
        <f t="shared" si="129"/>
        <v>0</v>
      </c>
      <c r="P348" s="556">
        <f t="shared" si="129"/>
        <v>0</v>
      </c>
      <c r="Q348" s="556">
        <f t="shared" si="129"/>
        <v>33286871</v>
      </c>
      <c r="R348" s="556">
        <f t="shared" si="129"/>
        <v>0</v>
      </c>
      <c r="S348" s="556">
        <f t="shared" si="129"/>
        <v>0</v>
      </c>
      <c r="T348" s="325">
        <f t="shared" si="114"/>
        <v>33286871</v>
      </c>
      <c r="U348" s="1048">
        <f t="shared" si="116"/>
        <v>50776871</v>
      </c>
      <c r="V348" s="811">
        <f t="shared" si="119"/>
        <v>50776871</v>
      </c>
      <c r="W348" s="1048">
        <f t="shared" si="117"/>
        <v>50776871</v>
      </c>
    </row>
    <row r="349" spans="2:23" s="342" customFormat="1" ht="12.75">
      <c r="B349" s="336"/>
      <c r="C349" s="59"/>
      <c r="D349" s="344"/>
      <c r="E349" s="337"/>
      <c r="F349" s="354">
        <v>228</v>
      </c>
      <c r="G349" s="339">
        <v>424</v>
      </c>
      <c r="H349" s="1276" t="s">
        <v>1281</v>
      </c>
      <c r="I349" s="1277"/>
      <c r="J349" s="1278"/>
      <c r="K349" s="881">
        <v>1000000</v>
      </c>
      <c r="L349" s="881">
        <v>110180.88</v>
      </c>
      <c r="M349" s="881">
        <v>1000000</v>
      </c>
      <c r="N349" s="388">
        <v>0</v>
      </c>
      <c r="O349" s="340">
        <v>0</v>
      </c>
      <c r="P349" s="340">
        <v>0</v>
      </c>
      <c r="Q349" s="340">
        <v>0</v>
      </c>
      <c r="R349" s="340">
        <v>0</v>
      </c>
      <c r="S349" s="341">
        <v>0</v>
      </c>
      <c r="T349" s="341">
        <f t="shared" si="114"/>
        <v>0</v>
      </c>
      <c r="U349" s="818">
        <f t="shared" si="116"/>
        <v>1000000</v>
      </c>
      <c r="V349" s="742">
        <f t="shared" si="119"/>
        <v>1000000</v>
      </c>
      <c r="W349" s="818">
        <f t="shared" si="117"/>
        <v>1000000</v>
      </c>
    </row>
    <row r="350" spans="2:23" s="342" customFormat="1" ht="12.75">
      <c r="B350" s="336"/>
      <c r="C350" s="59"/>
      <c r="D350" s="344"/>
      <c r="E350" s="337"/>
      <c r="F350" s="354">
        <v>229</v>
      </c>
      <c r="G350" s="339">
        <v>424</v>
      </c>
      <c r="H350" s="1276" t="s">
        <v>1311</v>
      </c>
      <c r="I350" s="1277"/>
      <c r="J350" s="1278"/>
      <c r="K350" s="881">
        <v>240000</v>
      </c>
      <c r="L350" s="881">
        <v>0</v>
      </c>
      <c r="M350" s="881">
        <v>240000</v>
      </c>
      <c r="N350" s="388">
        <v>0</v>
      </c>
      <c r="O350" s="514">
        <v>0</v>
      </c>
      <c r="P350" s="405">
        <v>0</v>
      </c>
      <c r="Q350" s="405">
        <v>0</v>
      </c>
      <c r="R350" s="340">
        <v>0</v>
      </c>
      <c r="S350" s="341">
        <v>0</v>
      </c>
      <c r="T350" s="341">
        <f t="shared" si="114"/>
        <v>0</v>
      </c>
      <c r="U350" s="818">
        <f t="shared" si="116"/>
        <v>240000</v>
      </c>
      <c r="V350" s="742">
        <f t="shared" si="119"/>
        <v>240000</v>
      </c>
      <c r="W350" s="818">
        <f t="shared" si="117"/>
        <v>240000</v>
      </c>
    </row>
    <row r="351" spans="2:23" s="342" customFormat="1" ht="12.75">
      <c r="B351" s="336"/>
      <c r="C351" s="59"/>
      <c r="D351" s="344"/>
      <c r="E351" s="337"/>
      <c r="F351" s="354">
        <v>230</v>
      </c>
      <c r="G351" s="339">
        <v>424</v>
      </c>
      <c r="H351" s="1276" t="s">
        <v>1329</v>
      </c>
      <c r="I351" s="1277"/>
      <c r="J351" s="1278"/>
      <c r="K351" s="881">
        <v>500000</v>
      </c>
      <c r="L351" s="881">
        <v>0</v>
      </c>
      <c r="M351" s="881">
        <v>500000</v>
      </c>
      <c r="N351" s="388">
        <v>0</v>
      </c>
      <c r="O351" s="395">
        <v>0</v>
      </c>
      <c r="P351" s="395">
        <v>0</v>
      </c>
      <c r="Q351" s="395">
        <v>0</v>
      </c>
      <c r="R351" s="395">
        <v>0</v>
      </c>
      <c r="S351" s="395">
        <v>0</v>
      </c>
      <c r="T351" s="341">
        <f t="shared" si="114"/>
        <v>0</v>
      </c>
      <c r="U351" s="818">
        <f t="shared" si="116"/>
        <v>500000</v>
      </c>
      <c r="V351" s="742">
        <f t="shared" si="119"/>
        <v>500000</v>
      </c>
      <c r="W351" s="818">
        <f t="shared" si="117"/>
        <v>500000</v>
      </c>
    </row>
    <row r="352" spans="2:23" s="342" customFormat="1" ht="12.75">
      <c r="B352" s="336"/>
      <c r="C352" s="59"/>
      <c r="D352" s="344"/>
      <c r="E352" s="337"/>
      <c r="F352" s="354">
        <v>231</v>
      </c>
      <c r="G352" s="339">
        <v>424</v>
      </c>
      <c r="H352" s="1276" t="s">
        <v>1312</v>
      </c>
      <c r="I352" s="1277"/>
      <c r="J352" s="1278"/>
      <c r="K352" s="881">
        <v>150000</v>
      </c>
      <c r="L352" s="881">
        <v>61598.4</v>
      </c>
      <c r="M352" s="881">
        <v>150000</v>
      </c>
      <c r="N352" s="388">
        <v>0</v>
      </c>
      <c r="O352" s="395">
        <v>0</v>
      </c>
      <c r="P352" s="395">
        <v>0</v>
      </c>
      <c r="Q352" s="395">
        <v>0</v>
      </c>
      <c r="R352" s="395">
        <v>0</v>
      </c>
      <c r="S352" s="395">
        <v>0</v>
      </c>
      <c r="T352" s="341">
        <f t="shared" si="114"/>
        <v>0</v>
      </c>
      <c r="U352" s="818">
        <f t="shared" si="116"/>
        <v>150000</v>
      </c>
      <c r="V352" s="742">
        <f t="shared" si="119"/>
        <v>150000</v>
      </c>
      <c r="W352" s="818">
        <f t="shared" si="117"/>
        <v>150000</v>
      </c>
    </row>
    <row r="353" spans="2:23" s="342" customFormat="1" ht="12.75">
      <c r="B353" s="336"/>
      <c r="C353" s="59"/>
      <c r="D353" s="344"/>
      <c r="E353" s="337"/>
      <c r="F353" s="354">
        <v>232</v>
      </c>
      <c r="G353" s="339">
        <v>424</v>
      </c>
      <c r="H353" s="1276" t="s">
        <v>1452</v>
      </c>
      <c r="I353" s="1277"/>
      <c r="J353" s="1278"/>
      <c r="K353" s="881">
        <v>600000</v>
      </c>
      <c r="L353" s="881">
        <v>0</v>
      </c>
      <c r="M353" s="881">
        <v>600000</v>
      </c>
      <c r="N353" s="388">
        <v>0</v>
      </c>
      <c r="O353" s="514">
        <v>0</v>
      </c>
      <c r="P353" s="395">
        <v>0</v>
      </c>
      <c r="Q353" s="395">
        <v>0</v>
      </c>
      <c r="R353" s="388">
        <v>0</v>
      </c>
      <c r="S353" s="401">
        <v>0</v>
      </c>
      <c r="T353" s="341">
        <f t="shared" si="114"/>
        <v>0</v>
      </c>
      <c r="U353" s="818">
        <f t="shared" si="116"/>
        <v>600000</v>
      </c>
      <c r="V353" s="742">
        <f t="shared" si="119"/>
        <v>600000</v>
      </c>
      <c r="W353" s="818">
        <f t="shared" si="117"/>
        <v>600000</v>
      </c>
    </row>
    <row r="354" spans="2:23" s="342" customFormat="1" ht="12.75">
      <c r="B354" s="336"/>
      <c r="C354" s="59"/>
      <c r="D354" s="344"/>
      <c r="E354" s="337"/>
      <c r="F354" s="354">
        <v>233</v>
      </c>
      <c r="G354" s="339">
        <v>424</v>
      </c>
      <c r="H354" s="1276" t="s">
        <v>1282</v>
      </c>
      <c r="I354" s="1277"/>
      <c r="J354" s="1278"/>
      <c r="K354" s="881">
        <v>1000000</v>
      </c>
      <c r="L354" s="881">
        <v>529828.2</v>
      </c>
      <c r="M354" s="881">
        <v>1000000</v>
      </c>
      <c r="N354" s="590">
        <v>0</v>
      </c>
      <c r="O354" s="514">
        <v>0</v>
      </c>
      <c r="P354" s="701">
        <v>0</v>
      </c>
      <c r="Q354" s="701">
        <v>0</v>
      </c>
      <c r="R354" s="702">
        <v>0</v>
      </c>
      <c r="S354" s="685">
        <v>0</v>
      </c>
      <c r="T354" s="341">
        <f t="shared" si="114"/>
        <v>0</v>
      </c>
      <c r="U354" s="818">
        <f t="shared" si="116"/>
        <v>1000000</v>
      </c>
      <c r="V354" s="742">
        <f t="shared" si="119"/>
        <v>1000000</v>
      </c>
      <c r="W354" s="818">
        <f t="shared" si="117"/>
        <v>1000000</v>
      </c>
    </row>
    <row r="355" spans="2:23" s="342" customFormat="1" ht="12.75">
      <c r="B355" s="336"/>
      <c r="C355" s="59"/>
      <c r="D355" s="344"/>
      <c r="E355" s="337"/>
      <c r="F355" s="354">
        <v>234</v>
      </c>
      <c r="G355" s="339">
        <v>425</v>
      </c>
      <c r="H355" s="1276" t="s">
        <v>1314</v>
      </c>
      <c r="I355" s="1277"/>
      <c r="J355" s="1278"/>
      <c r="K355" s="881">
        <v>2250000</v>
      </c>
      <c r="L355" s="881">
        <v>570871.91</v>
      </c>
      <c r="M355" s="881">
        <v>2000000</v>
      </c>
      <c r="N355" s="715">
        <v>0</v>
      </c>
      <c r="O355" s="441">
        <v>0</v>
      </c>
      <c r="P355" s="608">
        <v>0</v>
      </c>
      <c r="Q355" s="608">
        <v>0</v>
      </c>
      <c r="R355" s="608">
        <v>0</v>
      </c>
      <c r="S355" s="608">
        <v>0</v>
      </c>
      <c r="T355" s="341">
        <f t="shared" si="114"/>
        <v>0</v>
      </c>
      <c r="U355" s="818">
        <f t="shared" si="116"/>
        <v>2000000</v>
      </c>
      <c r="V355" s="742">
        <f t="shared" si="119"/>
        <v>2000000</v>
      </c>
      <c r="W355" s="818">
        <f t="shared" si="117"/>
        <v>2000000</v>
      </c>
    </row>
    <row r="356" spans="2:23" s="342" customFormat="1" ht="12.75">
      <c r="B356" s="336"/>
      <c r="C356" s="59"/>
      <c r="D356" s="344"/>
      <c r="E356" s="357"/>
      <c r="F356" s="338">
        <v>235</v>
      </c>
      <c r="G356" s="350">
        <v>425</v>
      </c>
      <c r="H356" s="1276" t="s">
        <v>1313</v>
      </c>
      <c r="I356" s="1277"/>
      <c r="J356" s="1278"/>
      <c r="K356" s="878">
        <v>2750000</v>
      </c>
      <c r="L356" s="878">
        <v>0</v>
      </c>
      <c r="M356" s="878">
        <v>4000000</v>
      </c>
      <c r="N356" s="628">
        <v>0</v>
      </c>
      <c r="O356" s="628">
        <v>0</v>
      </c>
      <c r="P356" s="740">
        <v>0</v>
      </c>
      <c r="Q356" s="740">
        <v>0</v>
      </c>
      <c r="R356" s="740">
        <v>0</v>
      </c>
      <c r="S356" s="740">
        <v>0</v>
      </c>
      <c r="T356" s="685">
        <f t="shared" si="114"/>
        <v>0</v>
      </c>
      <c r="U356" s="818">
        <f t="shared" si="116"/>
        <v>4000000</v>
      </c>
      <c r="V356" s="742">
        <f t="shared" si="119"/>
        <v>4000000</v>
      </c>
      <c r="W356" s="818">
        <f t="shared" si="117"/>
        <v>4000000</v>
      </c>
    </row>
    <row r="357" spans="2:23" s="342" customFormat="1" ht="12.75">
      <c r="B357" s="336"/>
      <c r="C357" s="59"/>
      <c r="D357" s="344"/>
      <c r="E357" s="357"/>
      <c r="F357" s="338">
        <v>236</v>
      </c>
      <c r="G357" s="350">
        <v>425</v>
      </c>
      <c r="H357" s="1276" t="s">
        <v>1561</v>
      </c>
      <c r="I357" s="1277"/>
      <c r="J357" s="1278"/>
      <c r="K357" s="878">
        <v>0</v>
      </c>
      <c r="L357" s="1008">
        <v>0</v>
      </c>
      <c r="M357" s="878">
        <v>0</v>
      </c>
      <c r="N357" s="1126">
        <v>0</v>
      </c>
      <c r="O357" s="628">
        <v>0</v>
      </c>
      <c r="P357" s="740">
        <v>0</v>
      </c>
      <c r="Q357" s="740">
        <v>4000000</v>
      </c>
      <c r="R357" s="740">
        <v>0</v>
      </c>
      <c r="S357" s="740">
        <v>0</v>
      </c>
      <c r="T357" s="1101">
        <f t="shared" si="114"/>
        <v>4000000</v>
      </c>
      <c r="U357" s="818">
        <f t="shared" si="116"/>
        <v>4000000</v>
      </c>
      <c r="V357" s="742">
        <f t="shared" si="119"/>
        <v>4000000</v>
      </c>
      <c r="W357" s="818">
        <f t="shared" si="117"/>
        <v>4000000</v>
      </c>
    </row>
    <row r="358" spans="2:23" s="342" customFormat="1" ht="12.75">
      <c r="B358" s="336"/>
      <c r="C358" s="59"/>
      <c r="D358" s="56"/>
      <c r="E358" s="519"/>
      <c r="F358" s="338">
        <v>237</v>
      </c>
      <c r="G358" s="350">
        <v>511</v>
      </c>
      <c r="H358" s="1284" t="s">
        <v>1543</v>
      </c>
      <c r="I358" s="1285"/>
      <c r="J358" s="1286"/>
      <c r="K358" s="878">
        <v>8000000</v>
      </c>
      <c r="L358" s="1008">
        <v>0</v>
      </c>
      <c r="M358" s="523">
        <v>8000000</v>
      </c>
      <c r="N358" s="715">
        <v>0</v>
      </c>
      <c r="O358" s="441">
        <v>0</v>
      </c>
      <c r="P358" s="597">
        <v>0</v>
      </c>
      <c r="Q358" s="597">
        <v>29286871</v>
      </c>
      <c r="R358" s="608">
        <v>0</v>
      </c>
      <c r="S358" s="597">
        <v>0</v>
      </c>
      <c r="T358" s="710">
        <f t="shared" si="114"/>
        <v>29286871</v>
      </c>
      <c r="U358" s="818">
        <f t="shared" si="116"/>
        <v>37286871</v>
      </c>
      <c r="V358" s="362">
        <f t="shared" si="119"/>
        <v>37286871</v>
      </c>
      <c r="W358" s="818">
        <f t="shared" si="117"/>
        <v>37286871</v>
      </c>
    </row>
    <row r="359" spans="2:23" ht="12.75" customHeight="1">
      <c r="B359" s="270"/>
      <c r="C359" s="271"/>
      <c r="D359" s="412"/>
      <c r="E359" s="332" t="s">
        <v>1471</v>
      </c>
      <c r="F359" s="412"/>
      <c r="G359" s="413"/>
      <c r="H359" s="1260" t="s">
        <v>1470</v>
      </c>
      <c r="I359" s="1261"/>
      <c r="J359" s="1262"/>
      <c r="K359" s="864">
        <f>K360</f>
        <v>2750000</v>
      </c>
      <c r="L359" s="864">
        <f>L360</f>
        <v>0</v>
      </c>
      <c r="M359" s="864">
        <f>M360</f>
        <v>2750000</v>
      </c>
      <c r="N359" s="276">
        <f aca="true" t="shared" si="130" ref="N359:S359">N360</f>
        <v>0</v>
      </c>
      <c r="O359" s="276">
        <f t="shared" si="130"/>
        <v>0</v>
      </c>
      <c r="P359" s="276">
        <f t="shared" si="130"/>
        <v>0</v>
      </c>
      <c r="Q359" s="276">
        <f t="shared" si="130"/>
        <v>7000000</v>
      </c>
      <c r="R359" s="276">
        <f t="shared" si="130"/>
        <v>0</v>
      </c>
      <c r="S359" s="321">
        <f t="shared" si="130"/>
        <v>0</v>
      </c>
      <c r="T359" s="793">
        <f t="shared" si="114"/>
        <v>7000000</v>
      </c>
      <c r="U359" s="819">
        <f t="shared" si="116"/>
        <v>9750000</v>
      </c>
      <c r="V359" s="635">
        <f t="shared" si="119"/>
        <v>9750000</v>
      </c>
      <c r="W359" s="635">
        <f t="shared" si="117"/>
        <v>9750000</v>
      </c>
    </row>
    <row r="360" spans="2:23" s="42" customFormat="1" ht="12.75">
      <c r="B360" s="314"/>
      <c r="C360" s="315"/>
      <c r="D360" s="318">
        <v>451</v>
      </c>
      <c r="E360" s="315"/>
      <c r="F360" s="318"/>
      <c r="G360" s="995"/>
      <c r="H360" s="1272" t="s">
        <v>369</v>
      </c>
      <c r="I360" s="1273"/>
      <c r="J360" s="1273"/>
      <c r="K360" s="985">
        <f>SUM(K361:K363)</f>
        <v>2750000</v>
      </c>
      <c r="L360" s="985">
        <f>SUM(L361:L363)</f>
        <v>0</v>
      </c>
      <c r="M360" s="985">
        <f>SUM(M361:M363)</f>
        <v>2750000</v>
      </c>
      <c r="N360" s="316">
        <f aca="true" t="shared" si="131" ref="N360:S360">SUM(N361:N363)</f>
        <v>0</v>
      </c>
      <c r="O360" s="316">
        <f t="shared" si="131"/>
        <v>0</v>
      </c>
      <c r="P360" s="316">
        <f t="shared" si="131"/>
        <v>0</v>
      </c>
      <c r="Q360" s="316">
        <f t="shared" si="131"/>
        <v>7000000</v>
      </c>
      <c r="R360" s="316">
        <f t="shared" si="131"/>
        <v>0</v>
      </c>
      <c r="S360" s="327">
        <f t="shared" si="131"/>
        <v>0</v>
      </c>
      <c r="T360" s="796">
        <f t="shared" si="114"/>
        <v>7000000</v>
      </c>
      <c r="U360" s="1048">
        <f t="shared" si="116"/>
        <v>9750000</v>
      </c>
      <c r="V360" s="361">
        <f t="shared" si="119"/>
        <v>9750000</v>
      </c>
      <c r="W360" s="1048">
        <f t="shared" si="117"/>
        <v>9750000</v>
      </c>
    </row>
    <row r="361" spans="2:23" s="342" customFormat="1" ht="12.75" customHeight="1">
      <c r="B361" s="347"/>
      <c r="C361" s="348"/>
      <c r="D361" s="349"/>
      <c r="E361" s="611"/>
      <c r="F361" s="337" t="s">
        <v>1564</v>
      </c>
      <c r="G361" s="624">
        <v>463</v>
      </c>
      <c r="H361" s="1274" t="s">
        <v>1342</v>
      </c>
      <c r="I361" s="1275"/>
      <c r="J361" s="1275"/>
      <c r="K361" s="986">
        <v>150000</v>
      </c>
      <c r="L361" s="986">
        <v>0</v>
      </c>
      <c r="M361" s="986">
        <v>150000</v>
      </c>
      <c r="N361" s="389">
        <v>0</v>
      </c>
      <c r="O361" s="520">
        <v>0</v>
      </c>
      <c r="P361" s="520">
        <v>0</v>
      </c>
      <c r="Q361" s="520">
        <v>500000</v>
      </c>
      <c r="R361" s="598">
        <v>0</v>
      </c>
      <c r="S361" s="642">
        <v>0</v>
      </c>
      <c r="T361" s="797">
        <f t="shared" si="114"/>
        <v>500000</v>
      </c>
      <c r="U361" s="818">
        <f t="shared" si="116"/>
        <v>650000</v>
      </c>
      <c r="V361" s="362">
        <f t="shared" si="119"/>
        <v>650000</v>
      </c>
      <c r="W361" s="818">
        <f t="shared" si="117"/>
        <v>650000</v>
      </c>
    </row>
    <row r="362" spans="2:23" s="342" customFormat="1" ht="12.75" customHeight="1">
      <c r="B362" s="347"/>
      <c r="C362" s="348"/>
      <c r="D362" s="349"/>
      <c r="E362" s="343"/>
      <c r="F362" s="738" t="s">
        <v>1565</v>
      </c>
      <c r="G362" s="338">
        <v>511</v>
      </c>
      <c r="H362" s="1279" t="s">
        <v>1380</v>
      </c>
      <c r="I362" s="1279"/>
      <c r="J362" s="1266"/>
      <c r="K362" s="986">
        <v>1300000</v>
      </c>
      <c r="L362" s="986">
        <v>0</v>
      </c>
      <c r="M362" s="986">
        <v>1300000</v>
      </c>
      <c r="N362" s="389">
        <v>0</v>
      </c>
      <c r="O362" s="614">
        <v>0</v>
      </c>
      <c r="P362" s="614">
        <v>0</v>
      </c>
      <c r="Q362" s="614">
        <v>3500000</v>
      </c>
      <c r="R362" s="579">
        <v>0</v>
      </c>
      <c r="S362" s="640">
        <v>0</v>
      </c>
      <c r="T362" s="797">
        <f t="shared" si="114"/>
        <v>3500000</v>
      </c>
      <c r="U362" s="818">
        <f t="shared" si="116"/>
        <v>4800000</v>
      </c>
      <c r="V362" s="362">
        <f t="shared" si="119"/>
        <v>4800000</v>
      </c>
      <c r="W362" s="818">
        <f t="shared" si="117"/>
        <v>4800000</v>
      </c>
    </row>
    <row r="363" spans="2:23" s="342" customFormat="1" ht="12.75" customHeight="1">
      <c r="B363" s="347"/>
      <c r="C363" s="348"/>
      <c r="D363" s="349"/>
      <c r="E363" s="587"/>
      <c r="F363" s="739" t="s">
        <v>1567</v>
      </c>
      <c r="G363" s="625">
        <v>512</v>
      </c>
      <c r="H363" s="1282" t="s">
        <v>82</v>
      </c>
      <c r="I363" s="1283"/>
      <c r="J363" s="1283"/>
      <c r="K363" s="986">
        <v>1300000</v>
      </c>
      <c r="L363" s="986">
        <v>0</v>
      </c>
      <c r="M363" s="986">
        <v>1300000</v>
      </c>
      <c r="N363" s="389">
        <v>0</v>
      </c>
      <c r="O363" s="612">
        <v>0</v>
      </c>
      <c r="P363" s="612">
        <v>0</v>
      </c>
      <c r="Q363" s="612">
        <v>3000000</v>
      </c>
      <c r="R363" s="613">
        <v>0</v>
      </c>
      <c r="S363" s="641">
        <v>0</v>
      </c>
      <c r="T363" s="797">
        <f t="shared" si="114"/>
        <v>3000000</v>
      </c>
      <c r="U363" s="818">
        <f aca="true" t="shared" si="132" ref="U363:U392">M363+N363+O363+P363+Q363+R363+S363</f>
        <v>4300000</v>
      </c>
      <c r="V363" s="362">
        <f t="shared" si="119"/>
        <v>4300000</v>
      </c>
      <c r="W363" s="818">
        <f t="shared" si="117"/>
        <v>4300000</v>
      </c>
    </row>
    <row r="364" spans="2:23" s="342" customFormat="1" ht="12.75" customHeight="1">
      <c r="B364" s="51"/>
      <c r="C364" s="52" t="s">
        <v>1270</v>
      </c>
      <c r="D364" s="53"/>
      <c r="E364" s="268"/>
      <c r="F364" s="53"/>
      <c r="G364" s="66"/>
      <c r="H364" s="1325" t="s">
        <v>94</v>
      </c>
      <c r="I364" s="1326"/>
      <c r="J364" s="1326"/>
      <c r="K364" s="882">
        <f>K367</f>
        <v>60022000</v>
      </c>
      <c r="L364" s="882">
        <f>L367</f>
        <v>19463795.079999994</v>
      </c>
      <c r="M364" s="1009">
        <f>M367</f>
        <v>64036000</v>
      </c>
      <c r="N364" s="716">
        <f aca="true" t="shared" si="133" ref="N364:S364">N367</f>
        <v>0</v>
      </c>
      <c r="O364" s="716">
        <f t="shared" si="133"/>
        <v>0</v>
      </c>
      <c r="P364" s="716">
        <f t="shared" si="133"/>
        <v>5000000</v>
      </c>
      <c r="Q364" s="716">
        <f t="shared" si="133"/>
        <v>2365000</v>
      </c>
      <c r="R364" s="716">
        <f t="shared" si="133"/>
        <v>0</v>
      </c>
      <c r="S364" s="716">
        <f t="shared" si="133"/>
        <v>427000</v>
      </c>
      <c r="T364" s="741">
        <f t="shared" si="114"/>
        <v>7792000</v>
      </c>
      <c r="U364" s="1050">
        <f t="shared" si="132"/>
        <v>71828000</v>
      </c>
      <c r="V364" s="820">
        <f t="shared" si="119"/>
        <v>71828000</v>
      </c>
      <c r="W364" s="1029">
        <f t="shared" si="117"/>
        <v>71828000</v>
      </c>
    </row>
    <row r="365" spans="2:23" s="668" customFormat="1" ht="12.75" customHeight="1">
      <c r="B365" s="617"/>
      <c r="C365" s="618"/>
      <c r="D365" s="594"/>
      <c r="E365" s="593" t="s">
        <v>284</v>
      </c>
      <c r="F365" s="594"/>
      <c r="G365" s="595"/>
      <c r="H365" s="1320" t="s">
        <v>1516</v>
      </c>
      <c r="I365" s="1321"/>
      <c r="J365" s="1322"/>
      <c r="K365" s="868">
        <f aca="true" t="shared" si="134" ref="K365:S366">K366</f>
        <v>60022000</v>
      </c>
      <c r="L365" s="996">
        <f t="shared" si="134"/>
        <v>19463795.079999994</v>
      </c>
      <c r="M365" s="994">
        <f t="shared" si="134"/>
        <v>64036000</v>
      </c>
      <c r="N365" s="619">
        <f t="shared" si="134"/>
        <v>0</v>
      </c>
      <c r="O365" s="619">
        <f t="shared" si="134"/>
        <v>0</v>
      </c>
      <c r="P365" s="619">
        <f t="shared" si="134"/>
        <v>5000000</v>
      </c>
      <c r="Q365" s="619">
        <f t="shared" si="134"/>
        <v>2365000</v>
      </c>
      <c r="R365" s="619">
        <f t="shared" si="134"/>
        <v>0</v>
      </c>
      <c r="S365" s="619">
        <f t="shared" si="134"/>
        <v>427000</v>
      </c>
      <c r="T365" s="620">
        <f t="shared" si="114"/>
        <v>7792000</v>
      </c>
      <c r="U365" s="1027">
        <f t="shared" si="132"/>
        <v>71828000</v>
      </c>
      <c r="V365" s="822">
        <f t="shared" si="119"/>
        <v>71828000</v>
      </c>
      <c r="W365" s="822">
        <f t="shared" si="117"/>
        <v>71828000</v>
      </c>
    </row>
    <row r="366" spans="2:23" ht="12.75" customHeight="1">
      <c r="B366" s="270"/>
      <c r="C366" s="271"/>
      <c r="D366" s="412"/>
      <c r="E366" s="332" t="s">
        <v>1518</v>
      </c>
      <c r="F366" s="412"/>
      <c r="G366" s="413"/>
      <c r="H366" s="1260" t="s">
        <v>1517</v>
      </c>
      <c r="I366" s="1280"/>
      <c r="J366" s="1281"/>
      <c r="K366" s="851">
        <f t="shared" si="134"/>
        <v>60022000</v>
      </c>
      <c r="L366" s="976">
        <f t="shared" si="134"/>
        <v>19463795.079999994</v>
      </c>
      <c r="M366" s="984">
        <f t="shared" si="134"/>
        <v>64036000</v>
      </c>
      <c r="N366" s="276">
        <f t="shared" si="134"/>
        <v>0</v>
      </c>
      <c r="O366" s="276">
        <f t="shared" si="134"/>
        <v>0</v>
      </c>
      <c r="P366" s="276">
        <f t="shared" si="134"/>
        <v>5000000</v>
      </c>
      <c r="Q366" s="276">
        <f t="shared" si="134"/>
        <v>2365000</v>
      </c>
      <c r="R366" s="276">
        <f t="shared" si="134"/>
        <v>0</v>
      </c>
      <c r="S366" s="276">
        <f t="shared" si="134"/>
        <v>427000</v>
      </c>
      <c r="T366" s="321">
        <f t="shared" si="114"/>
        <v>7792000</v>
      </c>
      <c r="U366" s="819">
        <f t="shared" si="132"/>
        <v>71828000</v>
      </c>
      <c r="V366" s="635">
        <f t="shared" si="119"/>
        <v>71828000</v>
      </c>
      <c r="W366" s="635">
        <f t="shared" si="117"/>
        <v>71828000</v>
      </c>
    </row>
    <row r="367" spans="2:23" s="342" customFormat="1" ht="12.75" customHeight="1">
      <c r="B367" s="336"/>
      <c r="C367" s="343"/>
      <c r="D367" s="56">
        <v>911</v>
      </c>
      <c r="E367" s="167"/>
      <c r="F367" s="338"/>
      <c r="G367" s="339"/>
      <c r="H367" s="1296" t="s">
        <v>95</v>
      </c>
      <c r="I367" s="1297"/>
      <c r="J367" s="1298"/>
      <c r="K367" s="168">
        <f>SUM(K368:K383)</f>
        <v>60022000</v>
      </c>
      <c r="L367" s="322">
        <f>SUM(L368:L383)</f>
        <v>19463795.079999994</v>
      </c>
      <c r="M367" s="812">
        <f>SUM(M368:M384)</f>
        <v>64036000</v>
      </c>
      <c r="N367" s="168">
        <f>SUM(N368:N383)</f>
        <v>0</v>
      </c>
      <c r="O367" s="168">
        <f>SUM(O368:O383)</f>
        <v>0</v>
      </c>
      <c r="P367" s="168">
        <f>SUM(P368:P384)</f>
        <v>5000000</v>
      </c>
      <c r="Q367" s="168">
        <f>SUM(Q368:Q384)</f>
        <v>2365000</v>
      </c>
      <c r="R367" s="168">
        <f>SUM(R368:R384)</f>
        <v>0</v>
      </c>
      <c r="S367" s="168">
        <f>SUM(S368:S384)</f>
        <v>427000</v>
      </c>
      <c r="T367" s="322">
        <f t="shared" si="114"/>
        <v>7792000</v>
      </c>
      <c r="U367" s="1048">
        <f>M367+N367+O367+P367+Q367+R367+S367</f>
        <v>71828000</v>
      </c>
      <c r="V367" s="361">
        <f t="shared" si="119"/>
        <v>71828000</v>
      </c>
      <c r="W367" s="1048">
        <f t="shared" si="117"/>
        <v>71828000</v>
      </c>
    </row>
    <row r="368" spans="2:23" s="342" customFormat="1" ht="12.75" customHeight="1">
      <c r="B368" s="336"/>
      <c r="C368" s="343"/>
      <c r="D368" s="338"/>
      <c r="E368" s="343"/>
      <c r="F368" s="354">
        <v>241</v>
      </c>
      <c r="G368" s="428">
        <v>411</v>
      </c>
      <c r="H368" s="1257" t="s">
        <v>27</v>
      </c>
      <c r="I368" s="1258"/>
      <c r="J368" s="1259"/>
      <c r="K368" s="723">
        <v>40172000</v>
      </c>
      <c r="L368" s="723">
        <v>13765726.690000001</v>
      </c>
      <c r="M368" s="358">
        <v>42984000</v>
      </c>
      <c r="N368" s="395">
        <v>0</v>
      </c>
      <c r="O368" s="395">
        <v>0</v>
      </c>
      <c r="P368" s="395">
        <v>0</v>
      </c>
      <c r="Q368" s="398">
        <v>0</v>
      </c>
      <c r="R368" s="395">
        <v>0</v>
      </c>
      <c r="S368" s="398">
        <v>0</v>
      </c>
      <c r="T368" s="401">
        <f t="shared" si="114"/>
        <v>0</v>
      </c>
      <c r="U368" s="818">
        <f t="shared" si="132"/>
        <v>42984000</v>
      </c>
      <c r="V368" s="591">
        <f t="shared" si="119"/>
        <v>42984000</v>
      </c>
      <c r="W368" s="818">
        <f t="shared" si="117"/>
        <v>42984000</v>
      </c>
    </row>
    <row r="369" spans="2:23" s="342" customFormat="1" ht="12.75">
      <c r="B369" s="336"/>
      <c r="C369" s="343"/>
      <c r="D369" s="338"/>
      <c r="E369" s="343"/>
      <c r="F369" s="354">
        <v>242</v>
      </c>
      <c r="G369" s="428">
        <v>412</v>
      </c>
      <c r="H369" s="1257" t="s">
        <v>78</v>
      </c>
      <c r="I369" s="1258"/>
      <c r="J369" s="1259"/>
      <c r="K369" s="723">
        <v>6941000</v>
      </c>
      <c r="L369" s="723">
        <v>2226446.1</v>
      </c>
      <c r="M369" s="723">
        <v>7427000</v>
      </c>
      <c r="N369" s="395">
        <v>0</v>
      </c>
      <c r="O369" s="395">
        <v>0</v>
      </c>
      <c r="P369" s="395">
        <v>0</v>
      </c>
      <c r="Q369" s="398">
        <v>0</v>
      </c>
      <c r="R369" s="395">
        <v>0</v>
      </c>
      <c r="S369" s="398">
        <v>0</v>
      </c>
      <c r="T369" s="401">
        <f t="shared" si="114"/>
        <v>0</v>
      </c>
      <c r="U369" s="818">
        <f t="shared" si="132"/>
        <v>7427000</v>
      </c>
      <c r="V369" s="591">
        <f t="shared" si="119"/>
        <v>7427000</v>
      </c>
      <c r="W369" s="818">
        <f t="shared" si="117"/>
        <v>7427000</v>
      </c>
    </row>
    <row r="370" spans="2:23" s="342" customFormat="1" ht="12.75">
      <c r="B370" s="336"/>
      <c r="C370" s="343"/>
      <c r="D370" s="338"/>
      <c r="E370" s="343"/>
      <c r="F370" s="354">
        <v>243</v>
      </c>
      <c r="G370" s="428">
        <v>413</v>
      </c>
      <c r="H370" s="334" t="s">
        <v>29</v>
      </c>
      <c r="I370" s="426"/>
      <c r="J370" s="427"/>
      <c r="K370" s="723">
        <v>200000</v>
      </c>
      <c r="L370" s="723">
        <v>45459</v>
      </c>
      <c r="M370" s="723">
        <v>400000</v>
      </c>
      <c r="N370" s="395">
        <v>0</v>
      </c>
      <c r="O370" s="395">
        <v>0</v>
      </c>
      <c r="P370" s="395">
        <v>150000</v>
      </c>
      <c r="Q370" s="398">
        <v>19000</v>
      </c>
      <c r="R370" s="395">
        <v>0</v>
      </c>
      <c r="S370" s="398">
        <v>0</v>
      </c>
      <c r="T370" s="401">
        <f t="shared" si="114"/>
        <v>169000</v>
      </c>
      <c r="U370" s="818">
        <f t="shared" si="132"/>
        <v>569000</v>
      </c>
      <c r="V370" s="591">
        <f t="shared" si="119"/>
        <v>569000</v>
      </c>
      <c r="W370" s="818">
        <f t="shared" si="117"/>
        <v>569000</v>
      </c>
    </row>
    <row r="371" spans="2:23" s="342" customFormat="1" ht="12.75">
      <c r="B371" s="336"/>
      <c r="C371" s="343"/>
      <c r="D371" s="338"/>
      <c r="E371" s="343"/>
      <c r="F371" s="354">
        <v>244</v>
      </c>
      <c r="G371" s="428">
        <v>414</v>
      </c>
      <c r="H371" s="1257" t="s">
        <v>199</v>
      </c>
      <c r="I371" s="1258"/>
      <c r="J371" s="1259"/>
      <c r="K371" s="723">
        <v>375000</v>
      </c>
      <c r="L371" s="723">
        <v>321428.39</v>
      </c>
      <c r="M371" s="723">
        <v>1025000</v>
      </c>
      <c r="N371" s="395">
        <v>0</v>
      </c>
      <c r="O371" s="395">
        <v>0</v>
      </c>
      <c r="P371" s="395">
        <v>0</v>
      </c>
      <c r="Q371" s="398">
        <v>0</v>
      </c>
      <c r="R371" s="395">
        <v>0</v>
      </c>
      <c r="S371" s="398">
        <v>0</v>
      </c>
      <c r="T371" s="401">
        <f t="shared" si="114"/>
        <v>0</v>
      </c>
      <c r="U371" s="818">
        <f t="shared" si="132"/>
        <v>1025000</v>
      </c>
      <c r="V371" s="591">
        <f t="shared" si="119"/>
        <v>1025000</v>
      </c>
      <c r="W371" s="818">
        <f t="shared" si="117"/>
        <v>1025000</v>
      </c>
    </row>
    <row r="372" spans="2:23" s="342" customFormat="1" ht="12.75">
      <c r="B372" s="336"/>
      <c r="C372" s="343"/>
      <c r="D372" s="338"/>
      <c r="E372" s="343"/>
      <c r="F372" s="354">
        <v>245</v>
      </c>
      <c r="G372" s="428">
        <v>415</v>
      </c>
      <c r="H372" s="1257" t="s">
        <v>31</v>
      </c>
      <c r="I372" s="1258"/>
      <c r="J372" s="1259"/>
      <c r="K372" s="723">
        <v>2037000</v>
      </c>
      <c r="L372" s="723">
        <v>637080.82</v>
      </c>
      <c r="M372" s="723">
        <v>2040000</v>
      </c>
      <c r="N372" s="395">
        <v>0</v>
      </c>
      <c r="O372" s="395">
        <v>0</v>
      </c>
      <c r="P372" s="395">
        <v>600000</v>
      </c>
      <c r="Q372" s="398">
        <v>100000</v>
      </c>
      <c r="R372" s="395">
        <v>0</v>
      </c>
      <c r="S372" s="398">
        <v>0</v>
      </c>
      <c r="T372" s="401">
        <f t="shared" si="114"/>
        <v>700000</v>
      </c>
      <c r="U372" s="818">
        <f t="shared" si="132"/>
        <v>2740000</v>
      </c>
      <c r="V372" s="591">
        <f t="shared" si="119"/>
        <v>2740000</v>
      </c>
      <c r="W372" s="818">
        <f t="shared" si="117"/>
        <v>2740000</v>
      </c>
    </row>
    <row r="373" spans="2:23" s="342" customFormat="1" ht="12.75">
      <c r="B373" s="336"/>
      <c r="C373" s="343"/>
      <c r="D373" s="338"/>
      <c r="E373" s="343"/>
      <c r="F373" s="354">
        <v>246</v>
      </c>
      <c r="G373" s="428">
        <v>416</v>
      </c>
      <c r="H373" s="1269" t="s">
        <v>197</v>
      </c>
      <c r="I373" s="1270"/>
      <c r="J373" s="1271"/>
      <c r="K373" s="723">
        <v>636000</v>
      </c>
      <c r="L373" s="723">
        <v>0</v>
      </c>
      <c r="M373" s="723">
        <v>636000</v>
      </c>
      <c r="N373" s="395">
        <v>0</v>
      </c>
      <c r="O373" s="395">
        <v>0</v>
      </c>
      <c r="P373" s="395">
        <v>0</v>
      </c>
      <c r="Q373" s="398">
        <v>0</v>
      </c>
      <c r="R373" s="395">
        <v>0</v>
      </c>
      <c r="S373" s="398">
        <v>0</v>
      </c>
      <c r="T373" s="401">
        <f t="shared" si="114"/>
        <v>0</v>
      </c>
      <c r="U373" s="818">
        <f t="shared" si="132"/>
        <v>636000</v>
      </c>
      <c r="V373" s="591">
        <f t="shared" si="119"/>
        <v>636000</v>
      </c>
      <c r="W373" s="818">
        <f t="shared" si="117"/>
        <v>636000</v>
      </c>
    </row>
    <row r="374" spans="2:23" s="342" customFormat="1" ht="12.75">
      <c r="B374" s="336"/>
      <c r="C374" s="343"/>
      <c r="D374" s="338"/>
      <c r="E374" s="343"/>
      <c r="F374" s="354">
        <v>247</v>
      </c>
      <c r="G374" s="428">
        <v>421</v>
      </c>
      <c r="H374" s="1269" t="s">
        <v>33</v>
      </c>
      <c r="I374" s="1270"/>
      <c r="J374" s="1271"/>
      <c r="K374" s="723">
        <v>2592000</v>
      </c>
      <c r="L374" s="723">
        <v>1115759.06</v>
      </c>
      <c r="M374" s="723">
        <v>3092000</v>
      </c>
      <c r="N374" s="395">
        <v>0</v>
      </c>
      <c r="O374" s="395">
        <v>0</v>
      </c>
      <c r="P374" s="395">
        <v>1566000</v>
      </c>
      <c r="Q374" s="398">
        <v>1540000</v>
      </c>
      <c r="R374" s="395">
        <v>0</v>
      </c>
      <c r="S374" s="398">
        <v>2000</v>
      </c>
      <c r="T374" s="401">
        <f t="shared" si="114"/>
        <v>3108000</v>
      </c>
      <c r="U374" s="818">
        <f t="shared" si="132"/>
        <v>6200000</v>
      </c>
      <c r="V374" s="591">
        <f t="shared" si="119"/>
        <v>6200000</v>
      </c>
      <c r="W374" s="818">
        <f t="shared" si="117"/>
        <v>6200000</v>
      </c>
    </row>
    <row r="375" spans="2:23" s="342" customFormat="1" ht="12.75">
      <c r="B375" s="336"/>
      <c r="C375" s="343"/>
      <c r="D375" s="338"/>
      <c r="E375" s="343"/>
      <c r="F375" s="354">
        <v>248</v>
      </c>
      <c r="G375" s="428">
        <v>422</v>
      </c>
      <c r="H375" s="1269" t="s">
        <v>34</v>
      </c>
      <c r="I375" s="1270"/>
      <c r="J375" s="1271"/>
      <c r="K375" s="723">
        <v>40000</v>
      </c>
      <c r="L375" s="723">
        <v>4250.11</v>
      </c>
      <c r="M375" s="723">
        <v>40000</v>
      </c>
      <c r="N375" s="395">
        <v>0</v>
      </c>
      <c r="O375" s="395">
        <v>0</v>
      </c>
      <c r="P375" s="395">
        <v>0</v>
      </c>
      <c r="Q375" s="398">
        <v>0</v>
      </c>
      <c r="R375" s="395">
        <v>0</v>
      </c>
      <c r="S375" s="398">
        <v>40000</v>
      </c>
      <c r="T375" s="398">
        <f t="shared" si="114"/>
        <v>40000</v>
      </c>
      <c r="U375" s="818">
        <f t="shared" si="132"/>
        <v>80000</v>
      </c>
      <c r="V375" s="591">
        <f t="shared" si="119"/>
        <v>80000</v>
      </c>
      <c r="W375" s="818">
        <f t="shared" si="117"/>
        <v>80000</v>
      </c>
    </row>
    <row r="376" spans="2:23" s="342" customFormat="1" ht="12.75">
      <c r="B376" s="336"/>
      <c r="C376" s="343"/>
      <c r="D376" s="338"/>
      <c r="E376" s="343"/>
      <c r="F376" s="354">
        <v>249</v>
      </c>
      <c r="G376" s="428">
        <v>423</v>
      </c>
      <c r="H376" s="1269" t="s">
        <v>35</v>
      </c>
      <c r="I376" s="1270"/>
      <c r="J376" s="1271"/>
      <c r="K376" s="723">
        <v>316000</v>
      </c>
      <c r="L376" s="723">
        <v>42335.4</v>
      </c>
      <c r="M376" s="723">
        <v>303000</v>
      </c>
      <c r="N376" s="395">
        <v>0</v>
      </c>
      <c r="O376" s="395">
        <v>0</v>
      </c>
      <c r="P376" s="395">
        <v>214000</v>
      </c>
      <c r="Q376" s="398">
        <v>147000</v>
      </c>
      <c r="R376" s="395">
        <v>0</v>
      </c>
      <c r="S376" s="398">
        <v>385000</v>
      </c>
      <c r="T376" s="398">
        <f t="shared" si="114"/>
        <v>746000</v>
      </c>
      <c r="U376" s="818">
        <f t="shared" si="132"/>
        <v>1049000</v>
      </c>
      <c r="V376" s="591">
        <f t="shared" si="119"/>
        <v>1049000</v>
      </c>
      <c r="W376" s="818">
        <f t="shared" si="117"/>
        <v>1049000</v>
      </c>
    </row>
    <row r="377" spans="2:23" s="342" customFormat="1" ht="12.75">
      <c r="B377" s="336"/>
      <c r="C377" s="343"/>
      <c r="D377" s="338"/>
      <c r="E377" s="343"/>
      <c r="F377" s="354">
        <v>250</v>
      </c>
      <c r="G377" s="428">
        <v>424</v>
      </c>
      <c r="H377" s="1257" t="s">
        <v>36</v>
      </c>
      <c r="I377" s="1258"/>
      <c r="J377" s="1259"/>
      <c r="K377" s="723">
        <v>700000</v>
      </c>
      <c r="L377" s="723">
        <v>111660</v>
      </c>
      <c r="M377" s="723">
        <v>700000</v>
      </c>
      <c r="N377" s="395">
        <v>0</v>
      </c>
      <c r="O377" s="395">
        <v>0</v>
      </c>
      <c r="P377" s="395">
        <v>500000</v>
      </c>
      <c r="Q377" s="398">
        <v>41000</v>
      </c>
      <c r="R377" s="395">
        <v>0</v>
      </c>
      <c r="S377" s="398">
        <v>0</v>
      </c>
      <c r="T377" s="398">
        <f t="shared" si="114"/>
        <v>541000</v>
      </c>
      <c r="U377" s="818">
        <f t="shared" si="132"/>
        <v>1241000</v>
      </c>
      <c r="V377" s="591">
        <f t="shared" si="119"/>
        <v>1241000</v>
      </c>
      <c r="W377" s="818">
        <f t="shared" si="117"/>
        <v>1241000</v>
      </c>
    </row>
    <row r="378" spans="2:23" s="342" customFormat="1" ht="12.75">
      <c r="B378" s="336"/>
      <c r="C378" s="343"/>
      <c r="D378" s="338"/>
      <c r="E378" s="343"/>
      <c r="F378" s="354">
        <v>251</v>
      </c>
      <c r="G378" s="428">
        <v>425</v>
      </c>
      <c r="H378" s="1257" t="s">
        <v>90</v>
      </c>
      <c r="I378" s="1258"/>
      <c r="J378" s="1259"/>
      <c r="K378" s="723">
        <v>100000</v>
      </c>
      <c r="L378" s="723">
        <v>10900</v>
      </c>
      <c r="M378" s="723">
        <v>100000</v>
      </c>
      <c r="N378" s="395">
        <v>0</v>
      </c>
      <c r="O378" s="395">
        <v>0</v>
      </c>
      <c r="P378" s="395">
        <v>100000</v>
      </c>
      <c r="Q378" s="398">
        <v>0</v>
      </c>
      <c r="R378" s="395">
        <v>0</v>
      </c>
      <c r="S378" s="398">
        <v>0</v>
      </c>
      <c r="T378" s="398">
        <f t="shared" si="114"/>
        <v>100000</v>
      </c>
      <c r="U378" s="818">
        <f t="shared" si="132"/>
        <v>200000</v>
      </c>
      <c r="V378" s="591">
        <f t="shared" si="119"/>
        <v>200000</v>
      </c>
      <c r="W378" s="818">
        <f t="shared" si="117"/>
        <v>200000</v>
      </c>
    </row>
    <row r="379" spans="2:23" s="342" customFormat="1" ht="12.75">
      <c r="B379" s="336"/>
      <c r="C379" s="343"/>
      <c r="D379" s="338"/>
      <c r="E379" s="343"/>
      <c r="F379" s="354">
        <v>252</v>
      </c>
      <c r="G379" s="428">
        <v>426</v>
      </c>
      <c r="H379" s="1269" t="s">
        <v>38</v>
      </c>
      <c r="I379" s="1270"/>
      <c r="J379" s="1271"/>
      <c r="K379" s="723">
        <v>4390000</v>
      </c>
      <c r="L379" s="723">
        <v>1148842.2</v>
      </c>
      <c r="M379" s="723">
        <v>4460000</v>
      </c>
      <c r="N379" s="395">
        <v>0</v>
      </c>
      <c r="O379" s="395">
        <v>0</v>
      </c>
      <c r="P379" s="395">
        <v>1865000</v>
      </c>
      <c r="Q379" s="398">
        <v>518000</v>
      </c>
      <c r="R379" s="395">
        <v>0</v>
      </c>
      <c r="S379" s="398">
        <v>0</v>
      </c>
      <c r="T379" s="398">
        <f t="shared" si="114"/>
        <v>2383000</v>
      </c>
      <c r="U379" s="818">
        <f t="shared" si="132"/>
        <v>6843000</v>
      </c>
      <c r="V379" s="591">
        <f t="shared" si="119"/>
        <v>6843000</v>
      </c>
      <c r="W379" s="818">
        <f t="shared" si="117"/>
        <v>6843000</v>
      </c>
    </row>
    <row r="380" spans="2:23" s="342" customFormat="1" ht="12.75">
      <c r="B380" s="336"/>
      <c r="C380" s="343"/>
      <c r="D380" s="338"/>
      <c r="E380" s="343"/>
      <c r="F380" s="354">
        <v>253</v>
      </c>
      <c r="G380" s="428">
        <v>444</v>
      </c>
      <c r="H380" s="1269" t="s">
        <v>1365</v>
      </c>
      <c r="I380" s="1270"/>
      <c r="J380" s="1271"/>
      <c r="K380" s="723">
        <v>4000</v>
      </c>
      <c r="L380" s="723">
        <v>1056.31</v>
      </c>
      <c r="M380" s="723">
        <v>10000</v>
      </c>
      <c r="N380" s="395">
        <v>0</v>
      </c>
      <c r="O380" s="395">
        <v>0</v>
      </c>
      <c r="P380" s="395">
        <v>0</v>
      </c>
      <c r="Q380" s="398">
        <v>0</v>
      </c>
      <c r="R380" s="395">
        <v>0</v>
      </c>
      <c r="S380" s="398">
        <v>0</v>
      </c>
      <c r="T380" s="398">
        <f t="shared" si="114"/>
        <v>0</v>
      </c>
      <c r="U380" s="818">
        <f t="shared" si="132"/>
        <v>10000</v>
      </c>
      <c r="V380" s="591">
        <f t="shared" si="119"/>
        <v>10000</v>
      </c>
      <c r="W380" s="818">
        <f t="shared" si="117"/>
        <v>10000</v>
      </c>
    </row>
    <row r="381" spans="2:23" s="342" customFormat="1" ht="12.75">
      <c r="B381" s="336"/>
      <c r="C381" s="343"/>
      <c r="D381" s="338"/>
      <c r="E381" s="343"/>
      <c r="F381" s="354">
        <v>254</v>
      </c>
      <c r="G381" s="428">
        <v>482</v>
      </c>
      <c r="H381" s="1257" t="s">
        <v>81</v>
      </c>
      <c r="I381" s="1258"/>
      <c r="J381" s="1259"/>
      <c r="K381" s="723">
        <v>19000</v>
      </c>
      <c r="L381" s="723">
        <v>0</v>
      </c>
      <c r="M381" s="723">
        <v>19000</v>
      </c>
      <c r="N381" s="395">
        <v>0</v>
      </c>
      <c r="O381" s="395">
        <v>0</v>
      </c>
      <c r="P381" s="395">
        <v>5000</v>
      </c>
      <c r="Q381" s="398">
        <v>0</v>
      </c>
      <c r="R381" s="395">
        <v>0</v>
      </c>
      <c r="S381" s="398">
        <v>0</v>
      </c>
      <c r="T381" s="398">
        <f t="shared" si="114"/>
        <v>5000</v>
      </c>
      <c r="U381" s="818">
        <f t="shared" si="132"/>
        <v>24000</v>
      </c>
      <c r="V381" s="591">
        <f t="shared" si="119"/>
        <v>24000</v>
      </c>
      <c r="W381" s="818">
        <f t="shared" si="117"/>
        <v>24000</v>
      </c>
    </row>
    <row r="382" spans="2:23" s="342" customFormat="1" ht="12.75">
      <c r="B382" s="546"/>
      <c r="C382" s="467"/>
      <c r="D382" s="547"/>
      <c r="E382" s="467"/>
      <c r="F382" s="354" t="s">
        <v>1584</v>
      </c>
      <c r="G382" s="516">
        <v>511</v>
      </c>
      <c r="H382" s="524" t="s">
        <v>1586</v>
      </c>
      <c r="I382" s="697"/>
      <c r="J382" s="698"/>
      <c r="K382" s="871"/>
      <c r="L382" s="871"/>
      <c r="M382" s="871">
        <v>1000</v>
      </c>
      <c r="N382" s="395">
        <v>0</v>
      </c>
      <c r="O382" s="514">
        <v>0</v>
      </c>
      <c r="P382" s="514">
        <v>0</v>
      </c>
      <c r="Q382" s="435">
        <v>0</v>
      </c>
      <c r="R382" s="514"/>
      <c r="S382" s="435">
        <v>0</v>
      </c>
      <c r="T382" s="435">
        <f t="shared" si="114"/>
        <v>0</v>
      </c>
      <c r="U382" s="818">
        <f>K382+L382+M382+N382+O382+P382+Q382+S382</f>
        <v>1000</v>
      </c>
      <c r="V382" s="591">
        <f t="shared" si="119"/>
        <v>1000</v>
      </c>
      <c r="W382" s="818">
        <f t="shared" si="117"/>
        <v>1000</v>
      </c>
    </row>
    <row r="383" spans="2:23" s="342" customFormat="1" ht="12.75">
      <c r="B383" s="546"/>
      <c r="C383" s="467"/>
      <c r="D383" s="547"/>
      <c r="E383" s="467"/>
      <c r="F383" s="354">
        <v>255</v>
      </c>
      <c r="G383" s="516">
        <v>512</v>
      </c>
      <c r="H383" s="1252" t="s">
        <v>82</v>
      </c>
      <c r="I383" s="1252"/>
      <c r="J383" s="1252"/>
      <c r="K383" s="523">
        <v>1500000</v>
      </c>
      <c r="L383" s="523">
        <v>32851</v>
      </c>
      <c r="M383" s="523">
        <v>798000</v>
      </c>
      <c r="N383" s="388">
        <v>0</v>
      </c>
      <c r="O383" s="514">
        <v>0</v>
      </c>
      <c r="P383" s="514">
        <v>0</v>
      </c>
      <c r="Q383" s="435">
        <v>0</v>
      </c>
      <c r="R383" s="514">
        <v>0</v>
      </c>
      <c r="S383" s="435">
        <v>0</v>
      </c>
      <c r="T383" s="435">
        <f t="shared" si="114"/>
        <v>0</v>
      </c>
      <c r="U383" s="818">
        <f t="shared" si="132"/>
        <v>798000</v>
      </c>
      <c r="V383" s="591">
        <f t="shared" si="119"/>
        <v>798000</v>
      </c>
      <c r="W383" s="818">
        <f t="shared" si="117"/>
        <v>798000</v>
      </c>
    </row>
    <row r="384" spans="2:23" s="342" customFormat="1" ht="12.75">
      <c r="B384" s="546"/>
      <c r="C384" s="467"/>
      <c r="D384" s="547"/>
      <c r="E384" s="467"/>
      <c r="F384" s="354" t="s">
        <v>1585</v>
      </c>
      <c r="G384" s="516">
        <v>515</v>
      </c>
      <c r="H384" s="1335" t="s">
        <v>205</v>
      </c>
      <c r="I384" s="1335"/>
      <c r="J384" s="1335"/>
      <c r="K384" s="523"/>
      <c r="L384" s="523"/>
      <c r="M384" s="523">
        <v>1000</v>
      </c>
      <c r="N384" s="388">
        <v>0</v>
      </c>
      <c r="O384" s="590">
        <v>0</v>
      </c>
      <c r="P384" s="590">
        <v>0</v>
      </c>
      <c r="Q384" s="639">
        <v>0</v>
      </c>
      <c r="R384" s="590"/>
      <c r="S384" s="639">
        <v>0</v>
      </c>
      <c r="T384" s="639">
        <f t="shared" si="114"/>
        <v>0</v>
      </c>
      <c r="U384" s="818">
        <f>SUM(K384:S384)</f>
        <v>1000</v>
      </c>
      <c r="V384" s="591">
        <f t="shared" si="119"/>
        <v>1000</v>
      </c>
      <c r="W384" s="818">
        <f t="shared" si="117"/>
        <v>1000</v>
      </c>
    </row>
    <row r="385" spans="2:23" ht="12.75">
      <c r="B385" s="51"/>
      <c r="C385" s="52" t="s">
        <v>1190</v>
      </c>
      <c r="D385" s="53"/>
      <c r="E385" s="268"/>
      <c r="F385" s="53"/>
      <c r="G385" s="66"/>
      <c r="H385" s="1315" t="s">
        <v>274</v>
      </c>
      <c r="I385" s="1316"/>
      <c r="J385" s="1316"/>
      <c r="K385" s="883">
        <f>K386</f>
        <v>14654258</v>
      </c>
      <c r="L385" s="883">
        <f>L386</f>
        <v>4199543.109999999</v>
      </c>
      <c r="M385" s="883">
        <f>M386</f>
        <v>15266402</v>
      </c>
      <c r="N385" s="67">
        <f aca="true" t="shared" si="135" ref="N385:S385">N386</f>
        <v>182000</v>
      </c>
      <c r="O385" s="67">
        <f t="shared" si="135"/>
        <v>610000</v>
      </c>
      <c r="P385" s="67">
        <f t="shared" si="135"/>
        <v>260000</v>
      </c>
      <c r="Q385" s="67">
        <f t="shared" si="135"/>
        <v>46271</v>
      </c>
      <c r="R385" s="67">
        <f t="shared" si="135"/>
        <v>0</v>
      </c>
      <c r="S385" s="67">
        <f t="shared" si="135"/>
        <v>0</v>
      </c>
      <c r="T385" s="323">
        <f t="shared" si="114"/>
        <v>1098271</v>
      </c>
      <c r="U385" s="1029">
        <f t="shared" si="132"/>
        <v>16364673</v>
      </c>
      <c r="V385" s="820">
        <f t="shared" si="119"/>
        <v>16364673</v>
      </c>
      <c r="W385" s="1029">
        <f t="shared" si="117"/>
        <v>16364673</v>
      </c>
    </row>
    <row r="386" spans="2:23" s="668" customFormat="1" ht="12.75">
      <c r="B386" s="617"/>
      <c r="C386" s="618"/>
      <c r="D386" s="594"/>
      <c r="E386" s="593" t="s">
        <v>286</v>
      </c>
      <c r="F386" s="594"/>
      <c r="G386" s="595"/>
      <c r="H386" s="1293" t="s">
        <v>1244</v>
      </c>
      <c r="I386" s="1294"/>
      <c r="J386" s="1295"/>
      <c r="K386" s="868">
        <f aca="true" t="shared" si="136" ref="K386:S386">K387+K402</f>
        <v>14654258</v>
      </c>
      <c r="L386" s="868">
        <f t="shared" si="136"/>
        <v>4199543.109999999</v>
      </c>
      <c r="M386" s="868">
        <f t="shared" si="136"/>
        <v>15266402</v>
      </c>
      <c r="N386" s="868">
        <f t="shared" si="136"/>
        <v>182000</v>
      </c>
      <c r="O386" s="868">
        <f t="shared" si="136"/>
        <v>610000</v>
      </c>
      <c r="P386" s="868">
        <f t="shared" si="136"/>
        <v>260000</v>
      </c>
      <c r="Q386" s="868">
        <f t="shared" si="136"/>
        <v>46271</v>
      </c>
      <c r="R386" s="868">
        <f t="shared" si="136"/>
        <v>0</v>
      </c>
      <c r="S386" s="868">
        <f t="shared" si="136"/>
        <v>0</v>
      </c>
      <c r="T386" s="868">
        <f t="shared" si="114"/>
        <v>1098271</v>
      </c>
      <c r="U386" s="1027">
        <f t="shared" si="132"/>
        <v>16364673</v>
      </c>
      <c r="V386" s="822">
        <f t="shared" si="119"/>
        <v>16364673</v>
      </c>
      <c r="W386" s="822">
        <f t="shared" si="117"/>
        <v>16364673</v>
      </c>
    </row>
    <row r="387" spans="2:23" s="342" customFormat="1" ht="12.75" customHeight="1">
      <c r="B387" s="270"/>
      <c r="C387" s="271"/>
      <c r="D387" s="412"/>
      <c r="E387" s="332" t="s">
        <v>287</v>
      </c>
      <c r="F387" s="412"/>
      <c r="G387" s="413"/>
      <c r="H387" s="1260" t="s">
        <v>309</v>
      </c>
      <c r="I387" s="1261"/>
      <c r="J387" s="1262"/>
      <c r="K387" s="851">
        <f aca="true" t="shared" si="137" ref="K387:S387">K388</f>
        <v>12498940</v>
      </c>
      <c r="L387" s="851">
        <f t="shared" si="137"/>
        <v>3668051.09</v>
      </c>
      <c r="M387" s="851">
        <f t="shared" si="137"/>
        <v>13151084</v>
      </c>
      <c r="N387" s="276">
        <f t="shared" si="137"/>
        <v>140000</v>
      </c>
      <c r="O387" s="276">
        <f t="shared" si="137"/>
        <v>340000</v>
      </c>
      <c r="P387" s="276">
        <f t="shared" si="137"/>
        <v>260000</v>
      </c>
      <c r="Q387" s="276">
        <f t="shared" si="137"/>
        <v>20271</v>
      </c>
      <c r="R387" s="276">
        <f t="shared" si="137"/>
        <v>0</v>
      </c>
      <c r="S387" s="276">
        <f t="shared" si="137"/>
        <v>0</v>
      </c>
      <c r="T387" s="321">
        <f t="shared" si="114"/>
        <v>760271</v>
      </c>
      <c r="U387" s="819">
        <f t="shared" si="132"/>
        <v>13911355</v>
      </c>
      <c r="V387" s="635">
        <f t="shared" si="119"/>
        <v>13911355</v>
      </c>
      <c r="W387" s="635">
        <f t="shared" si="117"/>
        <v>13911355</v>
      </c>
    </row>
    <row r="388" spans="2:23" s="342" customFormat="1" ht="12.75">
      <c r="B388" s="336"/>
      <c r="C388" s="343"/>
      <c r="D388" s="167" t="s">
        <v>537</v>
      </c>
      <c r="E388" s="167"/>
      <c r="F388" s="338"/>
      <c r="G388" s="339"/>
      <c r="H388" s="1296" t="s">
        <v>167</v>
      </c>
      <c r="I388" s="1297"/>
      <c r="J388" s="1298"/>
      <c r="K388" s="168">
        <f aca="true" t="shared" si="138" ref="K388:S388">SUM(K389:K401)</f>
        <v>12498940</v>
      </c>
      <c r="L388" s="168">
        <f t="shared" si="138"/>
        <v>3668051.09</v>
      </c>
      <c r="M388" s="168">
        <f t="shared" si="138"/>
        <v>13151084</v>
      </c>
      <c r="N388" s="65">
        <f t="shared" si="138"/>
        <v>140000</v>
      </c>
      <c r="O388" s="65">
        <f t="shared" si="138"/>
        <v>340000</v>
      </c>
      <c r="P388" s="65">
        <f t="shared" si="138"/>
        <v>260000</v>
      </c>
      <c r="Q388" s="65">
        <f t="shared" si="138"/>
        <v>20271</v>
      </c>
      <c r="R388" s="65">
        <f t="shared" si="138"/>
        <v>0</v>
      </c>
      <c r="S388" s="65">
        <f t="shared" si="138"/>
        <v>0</v>
      </c>
      <c r="T388" s="326">
        <f t="shared" si="114"/>
        <v>760271</v>
      </c>
      <c r="U388" s="1048">
        <f>M388+N388+O388+P388+Q388+R388+S388</f>
        <v>13911355</v>
      </c>
      <c r="V388" s="361">
        <f t="shared" si="119"/>
        <v>13911355</v>
      </c>
      <c r="W388" s="1048">
        <f t="shared" si="117"/>
        <v>13911355</v>
      </c>
    </row>
    <row r="389" spans="2:23" s="342" customFormat="1" ht="12.75">
      <c r="B389" s="336"/>
      <c r="C389" s="343"/>
      <c r="D389" s="338"/>
      <c r="E389" s="343"/>
      <c r="F389" s="354">
        <v>256</v>
      </c>
      <c r="G389" s="428">
        <v>411</v>
      </c>
      <c r="H389" s="1257" t="s">
        <v>27</v>
      </c>
      <c r="I389" s="1258"/>
      <c r="J389" s="1259"/>
      <c r="K389" s="723">
        <v>6099395</v>
      </c>
      <c r="L389" s="723">
        <v>2217107.41</v>
      </c>
      <c r="M389" s="723">
        <v>6678936</v>
      </c>
      <c r="N389" s="395">
        <v>0</v>
      </c>
      <c r="O389" s="395">
        <v>0</v>
      </c>
      <c r="P389" s="395">
        <v>0</v>
      </c>
      <c r="Q389" s="392">
        <v>0</v>
      </c>
      <c r="R389" s="395">
        <v>0</v>
      </c>
      <c r="S389" s="398">
        <v>0</v>
      </c>
      <c r="T389" s="398">
        <f t="shared" si="114"/>
        <v>0</v>
      </c>
      <c r="U389" s="818">
        <f t="shared" si="132"/>
        <v>6678936</v>
      </c>
      <c r="V389" s="362">
        <f t="shared" si="119"/>
        <v>6678936</v>
      </c>
      <c r="W389" s="818">
        <f t="shared" si="117"/>
        <v>6678936</v>
      </c>
    </row>
    <row r="390" spans="2:23" s="342" customFormat="1" ht="12.75" customHeight="1">
      <c r="B390" s="336"/>
      <c r="C390" s="343"/>
      <c r="D390" s="338"/>
      <c r="E390" s="343"/>
      <c r="F390" s="354">
        <v>257</v>
      </c>
      <c r="G390" s="428">
        <v>412</v>
      </c>
      <c r="H390" s="1257" t="s">
        <v>78</v>
      </c>
      <c r="I390" s="1258"/>
      <c r="J390" s="1259"/>
      <c r="K390" s="723">
        <v>1046045</v>
      </c>
      <c r="L390" s="723">
        <v>358062.9</v>
      </c>
      <c r="M390" s="723">
        <v>1078648</v>
      </c>
      <c r="N390" s="395">
        <v>0</v>
      </c>
      <c r="O390" s="395">
        <v>0</v>
      </c>
      <c r="P390" s="395">
        <v>0</v>
      </c>
      <c r="Q390" s="392">
        <v>0</v>
      </c>
      <c r="R390" s="395">
        <v>0</v>
      </c>
      <c r="S390" s="398">
        <v>0</v>
      </c>
      <c r="T390" s="398">
        <f t="shared" si="114"/>
        <v>0</v>
      </c>
      <c r="U390" s="818">
        <f t="shared" si="132"/>
        <v>1078648</v>
      </c>
      <c r="V390" s="362">
        <f t="shared" si="119"/>
        <v>1078648</v>
      </c>
      <c r="W390" s="818">
        <f t="shared" si="117"/>
        <v>1078648</v>
      </c>
    </row>
    <row r="391" spans="2:23" s="342" customFormat="1" ht="12.75">
      <c r="B391" s="336"/>
      <c r="C391" s="343"/>
      <c r="D391" s="338"/>
      <c r="E391" s="343"/>
      <c r="F391" s="354">
        <v>258</v>
      </c>
      <c r="G391" s="428">
        <v>414</v>
      </c>
      <c r="H391" s="1257" t="s">
        <v>30</v>
      </c>
      <c r="I391" s="1258"/>
      <c r="J391" s="1259"/>
      <c r="K391" s="723">
        <v>550000</v>
      </c>
      <c r="L391" s="723">
        <v>75247.1</v>
      </c>
      <c r="M391" s="723">
        <v>550000</v>
      </c>
      <c r="N391" s="395">
        <v>20000</v>
      </c>
      <c r="O391" s="395">
        <v>0</v>
      </c>
      <c r="P391" s="395">
        <v>0</v>
      </c>
      <c r="Q391" s="392">
        <v>0</v>
      </c>
      <c r="R391" s="395">
        <v>0</v>
      </c>
      <c r="S391" s="398">
        <v>0</v>
      </c>
      <c r="T391" s="398">
        <f t="shared" si="114"/>
        <v>20000</v>
      </c>
      <c r="U391" s="818">
        <f t="shared" si="132"/>
        <v>570000</v>
      </c>
      <c r="V391" s="362">
        <f t="shared" si="119"/>
        <v>570000</v>
      </c>
      <c r="W391" s="818">
        <f t="shared" si="117"/>
        <v>570000</v>
      </c>
    </row>
    <row r="392" spans="2:23" s="342" customFormat="1" ht="12.75">
      <c r="B392" s="336"/>
      <c r="C392" s="343"/>
      <c r="D392" s="338"/>
      <c r="E392" s="343"/>
      <c r="F392" s="354">
        <v>259</v>
      </c>
      <c r="G392" s="428">
        <v>415</v>
      </c>
      <c r="H392" s="1257" t="s">
        <v>31</v>
      </c>
      <c r="I392" s="1258"/>
      <c r="J392" s="1259"/>
      <c r="K392" s="723">
        <v>400000</v>
      </c>
      <c r="L392" s="723">
        <v>79233</v>
      </c>
      <c r="M392" s="723">
        <v>400000</v>
      </c>
      <c r="N392" s="395">
        <v>0</v>
      </c>
      <c r="O392" s="395">
        <v>0</v>
      </c>
      <c r="P392" s="395">
        <v>0</v>
      </c>
      <c r="Q392" s="392">
        <v>0</v>
      </c>
      <c r="R392" s="395">
        <v>0</v>
      </c>
      <c r="S392" s="398">
        <v>0</v>
      </c>
      <c r="T392" s="398">
        <f aca="true" t="shared" si="139" ref="T392:T455">SUM(N392:S392)</f>
        <v>0</v>
      </c>
      <c r="U392" s="818">
        <f t="shared" si="132"/>
        <v>400000</v>
      </c>
      <c r="V392" s="362">
        <f t="shared" si="119"/>
        <v>400000</v>
      </c>
      <c r="W392" s="818">
        <f t="shared" si="117"/>
        <v>400000</v>
      </c>
    </row>
    <row r="393" spans="2:23" s="342" customFormat="1" ht="12.75">
      <c r="B393" s="336"/>
      <c r="C393" s="343"/>
      <c r="D393" s="338"/>
      <c r="E393" s="343"/>
      <c r="F393" s="354">
        <v>260</v>
      </c>
      <c r="G393" s="428">
        <v>421</v>
      </c>
      <c r="H393" s="1257" t="s">
        <v>33</v>
      </c>
      <c r="I393" s="1258"/>
      <c r="J393" s="1259"/>
      <c r="K393" s="723">
        <v>2075000</v>
      </c>
      <c r="L393" s="723">
        <v>708131.6700000002</v>
      </c>
      <c r="M393" s="723">
        <v>2075000</v>
      </c>
      <c r="N393" s="395">
        <v>23000</v>
      </c>
      <c r="O393" s="395">
        <v>0</v>
      </c>
      <c r="P393" s="395">
        <v>0</v>
      </c>
      <c r="Q393" s="392">
        <v>0</v>
      </c>
      <c r="R393" s="395">
        <v>0</v>
      </c>
      <c r="S393" s="398">
        <v>0</v>
      </c>
      <c r="T393" s="398">
        <f t="shared" si="139"/>
        <v>23000</v>
      </c>
      <c r="U393" s="818">
        <f aca="true" t="shared" si="140" ref="U393:U424">M393+N393+O393+P393+Q393+R393+S393</f>
        <v>2098000</v>
      </c>
      <c r="V393" s="362">
        <f t="shared" si="119"/>
        <v>2098000</v>
      </c>
      <c r="W393" s="818">
        <f t="shared" si="117"/>
        <v>2098000</v>
      </c>
    </row>
    <row r="394" spans="2:23" s="342" customFormat="1" ht="12.75">
      <c r="B394" s="336"/>
      <c r="C394" s="343"/>
      <c r="D394" s="338"/>
      <c r="E394" s="343"/>
      <c r="F394" s="354">
        <v>261</v>
      </c>
      <c r="G394" s="428">
        <v>422</v>
      </c>
      <c r="H394" s="1257" t="s">
        <v>34</v>
      </c>
      <c r="I394" s="1258"/>
      <c r="J394" s="1259"/>
      <c r="K394" s="723">
        <v>50000</v>
      </c>
      <c r="L394" s="723">
        <v>2617</v>
      </c>
      <c r="M394" s="723">
        <v>50000</v>
      </c>
      <c r="N394" s="395">
        <v>10000</v>
      </c>
      <c r="O394" s="395">
        <v>0</v>
      </c>
      <c r="P394" s="395">
        <v>0</v>
      </c>
      <c r="Q394" s="392">
        <v>0</v>
      </c>
      <c r="R394" s="395">
        <v>0</v>
      </c>
      <c r="S394" s="398">
        <v>0</v>
      </c>
      <c r="T394" s="398">
        <f t="shared" si="139"/>
        <v>10000</v>
      </c>
      <c r="U394" s="818">
        <f t="shared" si="140"/>
        <v>60000</v>
      </c>
      <c r="V394" s="362">
        <f t="shared" si="119"/>
        <v>60000</v>
      </c>
      <c r="W394" s="818">
        <f t="shared" si="117"/>
        <v>60000</v>
      </c>
    </row>
    <row r="395" spans="2:23" s="342" customFormat="1" ht="12.75">
      <c r="B395" s="336"/>
      <c r="C395" s="343"/>
      <c r="D395" s="338"/>
      <c r="E395" s="343"/>
      <c r="F395" s="354">
        <v>262</v>
      </c>
      <c r="G395" s="428">
        <v>423</v>
      </c>
      <c r="H395" s="1269" t="s">
        <v>35</v>
      </c>
      <c r="I395" s="1270"/>
      <c r="J395" s="1271"/>
      <c r="K395" s="723">
        <v>725000</v>
      </c>
      <c r="L395" s="723">
        <v>82880</v>
      </c>
      <c r="M395" s="723">
        <v>695000</v>
      </c>
      <c r="N395" s="395">
        <v>10000</v>
      </c>
      <c r="O395" s="395">
        <v>0</v>
      </c>
      <c r="P395" s="395">
        <v>0</v>
      </c>
      <c r="Q395" s="392">
        <v>12000</v>
      </c>
      <c r="R395" s="395">
        <v>0</v>
      </c>
      <c r="S395" s="398">
        <v>0</v>
      </c>
      <c r="T395" s="398">
        <f t="shared" si="139"/>
        <v>22000</v>
      </c>
      <c r="U395" s="818">
        <f t="shared" si="140"/>
        <v>717000</v>
      </c>
      <c r="V395" s="362">
        <f t="shared" si="119"/>
        <v>717000</v>
      </c>
      <c r="W395" s="818">
        <f t="shared" si="117"/>
        <v>717000</v>
      </c>
    </row>
    <row r="396" spans="2:23" s="342" customFormat="1" ht="12.75">
      <c r="B396" s="336"/>
      <c r="C396" s="343"/>
      <c r="D396" s="338"/>
      <c r="E396" s="343"/>
      <c r="F396" s="354">
        <v>263</v>
      </c>
      <c r="G396" s="428">
        <v>424</v>
      </c>
      <c r="H396" s="1257" t="s">
        <v>36</v>
      </c>
      <c r="I396" s="1258"/>
      <c r="J396" s="1259"/>
      <c r="K396" s="723">
        <v>160000</v>
      </c>
      <c r="L396" s="723">
        <v>5280</v>
      </c>
      <c r="M396" s="723">
        <v>210000</v>
      </c>
      <c r="N396" s="395">
        <v>0</v>
      </c>
      <c r="O396" s="395">
        <v>0</v>
      </c>
      <c r="P396" s="395">
        <v>60000</v>
      </c>
      <c r="Q396" s="392">
        <v>0</v>
      </c>
      <c r="R396" s="395">
        <v>0</v>
      </c>
      <c r="S396" s="398">
        <v>0</v>
      </c>
      <c r="T396" s="398">
        <f t="shared" si="139"/>
        <v>60000</v>
      </c>
      <c r="U396" s="818">
        <f t="shared" si="140"/>
        <v>270000</v>
      </c>
      <c r="V396" s="362">
        <f t="shared" si="119"/>
        <v>270000</v>
      </c>
      <c r="W396" s="818">
        <f t="shared" si="117"/>
        <v>270000</v>
      </c>
    </row>
    <row r="397" spans="2:23" s="342" customFormat="1" ht="12.75">
      <c r="B397" s="336"/>
      <c r="C397" s="343"/>
      <c r="D397" s="338"/>
      <c r="E397" s="343"/>
      <c r="F397" s="354">
        <v>264</v>
      </c>
      <c r="G397" s="428">
        <v>425</v>
      </c>
      <c r="H397" s="1257" t="s">
        <v>90</v>
      </c>
      <c r="I397" s="1258"/>
      <c r="J397" s="1259"/>
      <c r="K397" s="723">
        <v>160000</v>
      </c>
      <c r="L397" s="723">
        <v>13691</v>
      </c>
      <c r="M397" s="723">
        <v>140000</v>
      </c>
      <c r="N397" s="395">
        <v>5000</v>
      </c>
      <c r="O397" s="395">
        <v>0</v>
      </c>
      <c r="P397" s="395">
        <v>0</v>
      </c>
      <c r="Q397" s="392">
        <v>0</v>
      </c>
      <c r="R397" s="395">
        <v>0</v>
      </c>
      <c r="S397" s="398">
        <v>0</v>
      </c>
      <c r="T397" s="398">
        <f t="shared" si="139"/>
        <v>5000</v>
      </c>
      <c r="U397" s="818">
        <f t="shared" si="140"/>
        <v>145000</v>
      </c>
      <c r="V397" s="362">
        <f t="shared" si="119"/>
        <v>145000</v>
      </c>
      <c r="W397" s="818">
        <f t="shared" si="117"/>
        <v>145000</v>
      </c>
    </row>
    <row r="398" spans="2:23" s="342" customFormat="1" ht="12.75">
      <c r="B398" s="336"/>
      <c r="C398" s="343"/>
      <c r="D398" s="338"/>
      <c r="E398" s="343"/>
      <c r="F398" s="354">
        <v>265</v>
      </c>
      <c r="G398" s="428">
        <v>426</v>
      </c>
      <c r="H398" s="1257" t="s">
        <v>38</v>
      </c>
      <c r="I398" s="1258"/>
      <c r="J398" s="1259"/>
      <c r="K398" s="723">
        <v>492000</v>
      </c>
      <c r="L398" s="723">
        <v>87517.01000000001</v>
      </c>
      <c r="M398" s="723">
        <v>492000</v>
      </c>
      <c r="N398" s="395">
        <v>39500</v>
      </c>
      <c r="O398" s="395">
        <v>0</v>
      </c>
      <c r="P398" s="395">
        <v>0</v>
      </c>
      <c r="Q398" s="392">
        <v>0</v>
      </c>
      <c r="R398" s="395">
        <v>0</v>
      </c>
      <c r="S398" s="398">
        <v>0</v>
      </c>
      <c r="T398" s="398">
        <f t="shared" si="139"/>
        <v>39500</v>
      </c>
      <c r="U398" s="818">
        <f t="shared" si="140"/>
        <v>531500</v>
      </c>
      <c r="V398" s="362">
        <f aca="true" t="shared" si="141" ref="V398:V463">U398</f>
        <v>531500</v>
      </c>
      <c r="W398" s="818">
        <f aca="true" t="shared" si="142" ref="W398:W463">U398</f>
        <v>531500</v>
      </c>
    </row>
    <row r="399" spans="2:23" s="342" customFormat="1" ht="12.75">
      <c r="B399" s="336"/>
      <c r="C399" s="343"/>
      <c r="D399" s="338"/>
      <c r="E399" s="343"/>
      <c r="F399" s="354">
        <v>266</v>
      </c>
      <c r="G399" s="428">
        <v>482</v>
      </c>
      <c r="H399" s="1257" t="s">
        <v>81</v>
      </c>
      <c r="I399" s="1258"/>
      <c r="J399" s="1259"/>
      <c r="K399" s="723">
        <v>41500</v>
      </c>
      <c r="L399" s="723">
        <v>10484</v>
      </c>
      <c r="M399" s="723">
        <v>41500</v>
      </c>
      <c r="N399" s="395">
        <v>3500</v>
      </c>
      <c r="O399" s="395">
        <v>0</v>
      </c>
      <c r="P399" s="395">
        <v>0</v>
      </c>
      <c r="Q399" s="392">
        <v>0</v>
      </c>
      <c r="R399" s="395">
        <v>0</v>
      </c>
      <c r="S399" s="398">
        <v>0</v>
      </c>
      <c r="T399" s="398">
        <f t="shared" si="139"/>
        <v>3500</v>
      </c>
      <c r="U399" s="818">
        <f t="shared" si="140"/>
        <v>45000</v>
      </c>
      <c r="V399" s="362">
        <f t="shared" si="141"/>
        <v>45000</v>
      </c>
      <c r="W399" s="818">
        <f t="shared" si="142"/>
        <v>45000</v>
      </c>
    </row>
    <row r="400" spans="2:23" s="342" customFormat="1" ht="12.75">
      <c r="B400" s="336"/>
      <c r="C400" s="343"/>
      <c r="D400" s="338"/>
      <c r="E400" s="343"/>
      <c r="F400" s="354">
        <v>267</v>
      </c>
      <c r="G400" s="428">
        <v>512</v>
      </c>
      <c r="H400" s="1257" t="s">
        <v>82</v>
      </c>
      <c r="I400" s="1258"/>
      <c r="J400" s="1259"/>
      <c r="K400" s="723">
        <v>550000</v>
      </c>
      <c r="L400" s="723">
        <v>27800</v>
      </c>
      <c r="M400" s="723">
        <v>590000</v>
      </c>
      <c r="N400" s="395">
        <v>9000</v>
      </c>
      <c r="O400" s="395">
        <v>340000</v>
      </c>
      <c r="P400" s="395">
        <v>0</v>
      </c>
      <c r="Q400" s="392">
        <v>8271</v>
      </c>
      <c r="R400" s="395">
        <v>0</v>
      </c>
      <c r="S400" s="398">
        <v>0</v>
      </c>
      <c r="T400" s="401">
        <f t="shared" si="139"/>
        <v>357271</v>
      </c>
      <c r="U400" s="818">
        <f t="shared" si="140"/>
        <v>947271</v>
      </c>
      <c r="V400" s="362">
        <f t="shared" si="141"/>
        <v>947271</v>
      </c>
      <c r="W400" s="818">
        <f t="shared" si="142"/>
        <v>947271</v>
      </c>
    </row>
    <row r="401" spans="2:23" s="342" customFormat="1" ht="12.75">
      <c r="B401" s="336"/>
      <c r="C401" s="343"/>
      <c r="D401" s="338"/>
      <c r="E401" s="343"/>
      <c r="F401" s="354">
        <v>268</v>
      </c>
      <c r="G401" s="428">
        <v>515</v>
      </c>
      <c r="H401" s="1257" t="s">
        <v>205</v>
      </c>
      <c r="I401" s="1258"/>
      <c r="J401" s="1259"/>
      <c r="K401" s="723">
        <v>150000</v>
      </c>
      <c r="L401" s="723">
        <v>0</v>
      </c>
      <c r="M401" s="723">
        <v>150000</v>
      </c>
      <c r="N401" s="395">
        <v>20000</v>
      </c>
      <c r="O401" s="395">
        <v>0</v>
      </c>
      <c r="P401" s="395">
        <v>200000</v>
      </c>
      <c r="Q401" s="392">
        <v>0</v>
      </c>
      <c r="R401" s="395">
        <v>0</v>
      </c>
      <c r="S401" s="398">
        <v>0</v>
      </c>
      <c r="T401" s="401">
        <f t="shared" si="139"/>
        <v>220000</v>
      </c>
      <c r="U401" s="818">
        <f t="shared" si="140"/>
        <v>370000</v>
      </c>
      <c r="V401" s="362">
        <f t="shared" si="141"/>
        <v>370000</v>
      </c>
      <c r="W401" s="818">
        <f t="shared" si="142"/>
        <v>370000</v>
      </c>
    </row>
    <row r="402" spans="2:27" s="342" customFormat="1" ht="15" customHeight="1">
      <c r="B402" s="270"/>
      <c r="C402" s="271"/>
      <c r="D402" s="412"/>
      <c r="E402" s="332" t="s">
        <v>297</v>
      </c>
      <c r="F402" s="412"/>
      <c r="G402" s="413"/>
      <c r="H402" s="1400" t="s">
        <v>1306</v>
      </c>
      <c r="I402" s="1401"/>
      <c r="J402" s="1402"/>
      <c r="K402" s="879">
        <f>SUM(K404:K406)</f>
        <v>2155318</v>
      </c>
      <c r="L402" s="879">
        <f>SUM(L404:L406)</f>
        <v>531492.02</v>
      </c>
      <c r="M402" s="879">
        <f>SUM(M404:M406)</f>
        <v>2115318</v>
      </c>
      <c r="N402" s="276">
        <f aca="true" t="shared" si="143" ref="N402:S402">SUM(N404:N406)</f>
        <v>42000</v>
      </c>
      <c r="O402" s="276">
        <f t="shared" si="143"/>
        <v>270000</v>
      </c>
      <c r="P402" s="276">
        <f t="shared" si="143"/>
        <v>0</v>
      </c>
      <c r="Q402" s="276">
        <f t="shared" si="143"/>
        <v>26000</v>
      </c>
      <c r="R402" s="276">
        <f t="shared" si="143"/>
        <v>0</v>
      </c>
      <c r="S402" s="321">
        <f t="shared" si="143"/>
        <v>0</v>
      </c>
      <c r="T402" s="321">
        <f t="shared" si="139"/>
        <v>338000</v>
      </c>
      <c r="U402" s="819">
        <f t="shared" si="140"/>
        <v>2453318</v>
      </c>
      <c r="V402" s="1060">
        <f t="shared" si="141"/>
        <v>2453318</v>
      </c>
      <c r="W402" s="635">
        <f t="shared" si="142"/>
        <v>2453318</v>
      </c>
      <c r="AA402" s="782"/>
    </row>
    <row r="403" spans="2:28" s="342" customFormat="1" ht="12.75">
      <c r="B403" s="336"/>
      <c r="C403" s="343"/>
      <c r="D403" s="167" t="s">
        <v>537</v>
      </c>
      <c r="E403" s="167"/>
      <c r="F403" s="338"/>
      <c r="G403" s="339"/>
      <c r="H403" s="73" t="s">
        <v>167</v>
      </c>
      <c r="I403" s="74"/>
      <c r="J403" s="688"/>
      <c r="K403" s="168">
        <f>SUM(K404:K406)</f>
        <v>2155318</v>
      </c>
      <c r="L403" s="168">
        <f>SUM(L404:L406)</f>
        <v>531492.02</v>
      </c>
      <c r="M403" s="168">
        <f>SUM(M404:M406)</f>
        <v>2115318</v>
      </c>
      <c r="N403" s="65">
        <f aca="true" t="shared" si="144" ref="N403:S403">SUM(N404:N406)</f>
        <v>42000</v>
      </c>
      <c r="O403" s="65">
        <f t="shared" si="144"/>
        <v>270000</v>
      </c>
      <c r="P403" s="65">
        <f t="shared" si="144"/>
        <v>0</v>
      </c>
      <c r="Q403" s="65">
        <f t="shared" si="144"/>
        <v>26000</v>
      </c>
      <c r="R403" s="65">
        <f t="shared" si="144"/>
        <v>0</v>
      </c>
      <c r="S403" s="325">
        <f t="shared" si="144"/>
        <v>0</v>
      </c>
      <c r="T403" s="325">
        <f t="shared" si="139"/>
        <v>338000</v>
      </c>
      <c r="U403" s="1048">
        <f t="shared" si="140"/>
        <v>2453318</v>
      </c>
      <c r="V403" s="361">
        <f t="shared" si="141"/>
        <v>2453318</v>
      </c>
      <c r="W403" s="1048">
        <f t="shared" si="142"/>
        <v>2453318</v>
      </c>
      <c r="Z403" s="440"/>
      <c r="AA403" s="778"/>
      <c r="AB403" s="440"/>
    </row>
    <row r="404" spans="2:27" s="342" customFormat="1" ht="12.75">
      <c r="B404" s="336"/>
      <c r="C404" s="343"/>
      <c r="D404" s="338"/>
      <c r="E404" s="343"/>
      <c r="F404" s="354">
        <v>269</v>
      </c>
      <c r="G404" s="428">
        <v>423</v>
      </c>
      <c r="H404" s="1257" t="s">
        <v>35</v>
      </c>
      <c r="I404" s="1258"/>
      <c r="J404" s="1259"/>
      <c r="K404" s="723">
        <v>1044318</v>
      </c>
      <c r="L404" s="723">
        <v>144848</v>
      </c>
      <c r="M404" s="723">
        <v>1004318</v>
      </c>
      <c r="N404" s="395">
        <v>20000</v>
      </c>
      <c r="O404" s="395">
        <v>100000</v>
      </c>
      <c r="P404" s="395">
        <v>0</v>
      </c>
      <c r="Q404" s="392">
        <v>21000</v>
      </c>
      <c r="R404" s="395">
        <v>0</v>
      </c>
      <c r="S404" s="398">
        <v>0</v>
      </c>
      <c r="T404" s="401">
        <f t="shared" si="139"/>
        <v>141000</v>
      </c>
      <c r="U404" s="818">
        <f t="shared" si="140"/>
        <v>1145318</v>
      </c>
      <c r="V404" s="591">
        <f t="shared" si="141"/>
        <v>1145318</v>
      </c>
      <c r="W404" s="818">
        <f t="shared" si="142"/>
        <v>1145318</v>
      </c>
      <c r="Z404" s="440"/>
      <c r="AA404" s="778"/>
    </row>
    <row r="405" spans="2:28" s="342" customFormat="1" ht="12.75">
      <c r="B405" s="336"/>
      <c r="C405" s="343"/>
      <c r="D405" s="338"/>
      <c r="E405" s="343"/>
      <c r="F405" s="354">
        <v>270</v>
      </c>
      <c r="G405" s="428">
        <v>424</v>
      </c>
      <c r="H405" s="334" t="s">
        <v>36</v>
      </c>
      <c r="I405" s="426"/>
      <c r="J405" s="427"/>
      <c r="K405" s="723">
        <v>880000</v>
      </c>
      <c r="L405" s="723">
        <v>358775</v>
      </c>
      <c r="M405" s="723">
        <v>880000</v>
      </c>
      <c r="N405" s="395">
        <v>10000</v>
      </c>
      <c r="O405" s="395">
        <v>135000</v>
      </c>
      <c r="P405" s="395">
        <v>0</v>
      </c>
      <c r="Q405" s="395">
        <v>0</v>
      </c>
      <c r="R405" s="395">
        <v>0</v>
      </c>
      <c r="S405" s="398">
        <v>0</v>
      </c>
      <c r="T405" s="401">
        <f t="shared" si="139"/>
        <v>145000</v>
      </c>
      <c r="U405" s="818">
        <f t="shared" si="140"/>
        <v>1025000</v>
      </c>
      <c r="V405" s="591">
        <f t="shared" si="141"/>
        <v>1025000</v>
      </c>
      <c r="W405" s="818">
        <f t="shared" si="142"/>
        <v>1025000</v>
      </c>
      <c r="Z405" s="440"/>
      <c r="AA405" s="777"/>
      <c r="AB405" s="440"/>
    </row>
    <row r="406" spans="2:28" s="342" customFormat="1" ht="15.75">
      <c r="B406" s="336"/>
      <c r="C406" s="343"/>
      <c r="D406" s="338"/>
      <c r="E406" s="343"/>
      <c r="F406" s="354">
        <v>271</v>
      </c>
      <c r="G406" s="428">
        <v>426</v>
      </c>
      <c r="H406" s="334" t="s">
        <v>38</v>
      </c>
      <c r="I406" s="426"/>
      <c r="J406" s="427"/>
      <c r="K406" s="723">
        <v>231000</v>
      </c>
      <c r="L406" s="723">
        <v>27869.02</v>
      </c>
      <c r="M406" s="871">
        <v>231000</v>
      </c>
      <c r="N406" s="395">
        <v>12000</v>
      </c>
      <c r="O406" s="395">
        <v>35000</v>
      </c>
      <c r="P406" s="395">
        <v>0</v>
      </c>
      <c r="Q406" s="395">
        <v>5000</v>
      </c>
      <c r="R406" s="395">
        <v>0</v>
      </c>
      <c r="S406" s="398">
        <v>0</v>
      </c>
      <c r="T406" s="401">
        <f t="shared" si="139"/>
        <v>52000</v>
      </c>
      <c r="U406" s="818">
        <f t="shared" si="140"/>
        <v>283000</v>
      </c>
      <c r="V406" s="591">
        <f t="shared" si="141"/>
        <v>283000</v>
      </c>
      <c r="W406" s="818">
        <f t="shared" si="142"/>
        <v>283000</v>
      </c>
      <c r="Z406" s="440"/>
      <c r="AA406" s="779"/>
      <c r="AB406" s="440"/>
    </row>
    <row r="407" spans="2:27" s="342" customFormat="1" ht="12.75">
      <c r="B407" s="51"/>
      <c r="C407" s="52" t="s">
        <v>1271</v>
      </c>
      <c r="D407" s="53"/>
      <c r="E407" s="268"/>
      <c r="F407" s="510"/>
      <c r="G407" s="511"/>
      <c r="H407" s="1405" t="s">
        <v>115</v>
      </c>
      <c r="I407" s="1406"/>
      <c r="J407" s="1407"/>
      <c r="K407" s="884">
        <f aca="true" t="shared" si="145" ref="K407:S407">K408+K420+K436+K447+K460+K473+K486</f>
        <v>15377000</v>
      </c>
      <c r="L407" s="1006">
        <f t="shared" si="145"/>
        <v>3479861.7699999996</v>
      </c>
      <c r="M407" s="1007">
        <f t="shared" si="145"/>
        <v>15740536</v>
      </c>
      <c r="N407" s="67">
        <f t="shared" si="145"/>
        <v>0</v>
      </c>
      <c r="O407" s="67">
        <f t="shared" si="145"/>
        <v>0</v>
      </c>
      <c r="P407" s="67">
        <f t="shared" si="145"/>
        <v>2217132</v>
      </c>
      <c r="Q407" s="67">
        <f t="shared" si="145"/>
        <v>3580837</v>
      </c>
      <c r="R407" s="67">
        <f t="shared" si="145"/>
        <v>0</v>
      </c>
      <c r="S407" s="323">
        <f t="shared" si="145"/>
        <v>0</v>
      </c>
      <c r="T407" s="323">
        <f t="shared" si="139"/>
        <v>5797969</v>
      </c>
      <c r="U407" s="1061">
        <f t="shared" si="140"/>
        <v>21538505</v>
      </c>
      <c r="V407" s="820">
        <f t="shared" si="141"/>
        <v>21538505</v>
      </c>
      <c r="W407" s="1029">
        <f t="shared" si="142"/>
        <v>21538505</v>
      </c>
      <c r="Z407" s="440"/>
      <c r="AA407" s="777"/>
    </row>
    <row r="408" spans="2:27" s="342" customFormat="1" ht="12.75">
      <c r="B408" s="442"/>
      <c r="C408" s="449" t="s">
        <v>1272</v>
      </c>
      <c r="D408" s="450"/>
      <c r="E408" s="451"/>
      <c r="F408" s="450"/>
      <c r="G408" s="452"/>
      <c r="H408" s="1290" t="s">
        <v>116</v>
      </c>
      <c r="I408" s="1291"/>
      <c r="J408" s="1292"/>
      <c r="K408" s="885">
        <f aca="true" t="shared" si="146" ref="K408:S410">K409</f>
        <v>2580000</v>
      </c>
      <c r="L408" s="885">
        <f t="shared" si="146"/>
        <v>281898.52</v>
      </c>
      <c r="M408" s="1004">
        <f t="shared" si="146"/>
        <v>2580000</v>
      </c>
      <c r="N408" s="1003">
        <f t="shared" si="146"/>
        <v>0</v>
      </c>
      <c r="O408" s="394">
        <f t="shared" si="146"/>
        <v>0</v>
      </c>
      <c r="P408" s="394">
        <f t="shared" si="146"/>
        <v>739044</v>
      </c>
      <c r="Q408" s="394">
        <f t="shared" si="146"/>
        <v>155000</v>
      </c>
      <c r="R408" s="394">
        <f t="shared" si="146"/>
        <v>0</v>
      </c>
      <c r="S408" s="453">
        <f t="shared" si="146"/>
        <v>0</v>
      </c>
      <c r="T408" s="454">
        <f t="shared" si="139"/>
        <v>894044</v>
      </c>
      <c r="U408" s="1051">
        <f t="shared" si="140"/>
        <v>3474044</v>
      </c>
      <c r="V408" s="821">
        <f t="shared" si="141"/>
        <v>3474044</v>
      </c>
      <c r="W408" s="1049">
        <f t="shared" si="142"/>
        <v>3474044</v>
      </c>
      <c r="Z408" s="440"/>
      <c r="AA408" s="780"/>
    </row>
    <row r="409" spans="2:27" s="621" customFormat="1" ht="12.75">
      <c r="B409" s="617"/>
      <c r="C409" s="618"/>
      <c r="D409" s="594"/>
      <c r="E409" s="593" t="s">
        <v>279</v>
      </c>
      <c r="F409" s="594"/>
      <c r="G409" s="595"/>
      <c r="H409" s="1302" t="s">
        <v>1308</v>
      </c>
      <c r="I409" s="1303"/>
      <c r="J409" s="1304"/>
      <c r="K409" s="868">
        <f t="shared" si="146"/>
        <v>2580000</v>
      </c>
      <c r="L409" s="996">
        <f t="shared" si="146"/>
        <v>281898.52</v>
      </c>
      <c r="M409" s="994">
        <f t="shared" si="146"/>
        <v>2580000</v>
      </c>
      <c r="N409" s="619">
        <f t="shared" si="146"/>
        <v>0</v>
      </c>
      <c r="O409" s="619">
        <f t="shared" si="146"/>
        <v>0</v>
      </c>
      <c r="P409" s="619">
        <f t="shared" si="146"/>
        <v>739044</v>
      </c>
      <c r="Q409" s="619">
        <f t="shared" si="146"/>
        <v>155000</v>
      </c>
      <c r="R409" s="619">
        <f t="shared" si="146"/>
        <v>0</v>
      </c>
      <c r="S409" s="620">
        <f t="shared" si="146"/>
        <v>0</v>
      </c>
      <c r="T409" s="620">
        <f t="shared" si="139"/>
        <v>894044</v>
      </c>
      <c r="U409" s="1027">
        <f t="shared" si="140"/>
        <v>3474044</v>
      </c>
      <c r="V409" s="822">
        <f t="shared" si="141"/>
        <v>3474044</v>
      </c>
      <c r="W409" s="822">
        <f t="shared" si="142"/>
        <v>3474044</v>
      </c>
      <c r="Z409" s="781"/>
      <c r="AA409" s="1200"/>
    </row>
    <row r="410" spans="2:27" s="342" customFormat="1" ht="12.75">
      <c r="B410" s="270"/>
      <c r="C410" s="271"/>
      <c r="D410" s="412"/>
      <c r="E410" s="332" t="s">
        <v>292</v>
      </c>
      <c r="F410" s="412"/>
      <c r="G410" s="413"/>
      <c r="H410" s="1310" t="s">
        <v>1307</v>
      </c>
      <c r="I410" s="1311"/>
      <c r="J410" s="1312"/>
      <c r="K410" s="872">
        <f t="shared" si="146"/>
        <v>2580000</v>
      </c>
      <c r="L410" s="1002">
        <f t="shared" si="146"/>
        <v>281898.52</v>
      </c>
      <c r="M410" s="1005">
        <f t="shared" si="146"/>
        <v>2580000</v>
      </c>
      <c r="N410" s="276">
        <f aca="true" t="shared" si="147" ref="N410:S410">N411</f>
        <v>0</v>
      </c>
      <c r="O410" s="276">
        <f t="shared" si="147"/>
        <v>0</v>
      </c>
      <c r="P410" s="276">
        <f t="shared" si="147"/>
        <v>739044</v>
      </c>
      <c r="Q410" s="276">
        <f t="shared" si="147"/>
        <v>155000</v>
      </c>
      <c r="R410" s="276">
        <f t="shared" si="147"/>
        <v>0</v>
      </c>
      <c r="S410" s="321">
        <f t="shared" si="147"/>
        <v>0</v>
      </c>
      <c r="T410" s="321">
        <f t="shared" si="139"/>
        <v>894044</v>
      </c>
      <c r="U410" s="819">
        <f t="shared" si="140"/>
        <v>3474044</v>
      </c>
      <c r="V410" s="635">
        <f t="shared" si="141"/>
        <v>3474044</v>
      </c>
      <c r="W410" s="635">
        <f t="shared" si="142"/>
        <v>3474044</v>
      </c>
      <c r="Z410" s="440"/>
      <c r="AA410" s="780"/>
    </row>
    <row r="411" spans="2:27" s="42" customFormat="1" ht="12.75">
      <c r="B411" s="529"/>
      <c r="C411" s="530"/>
      <c r="D411" s="167" t="s">
        <v>273</v>
      </c>
      <c r="E411" s="58"/>
      <c r="F411" s="531"/>
      <c r="G411" s="532"/>
      <c r="H411" s="1296" t="s">
        <v>117</v>
      </c>
      <c r="I411" s="1297"/>
      <c r="J411" s="708"/>
      <c r="K411" s="522">
        <f>SUM(K412:K419)</f>
        <v>2580000</v>
      </c>
      <c r="L411" s="800">
        <f>SUM(L414:L418)</f>
        <v>281898.52</v>
      </c>
      <c r="M411" s="713">
        <f>SUM(M412:M419)</f>
        <v>2580000</v>
      </c>
      <c r="N411" s="713">
        <f aca="true" t="shared" si="148" ref="N411:S411">N412+N413+N414+N415+N416+N417+N418</f>
        <v>0</v>
      </c>
      <c r="O411" s="713">
        <f t="shared" si="148"/>
        <v>0</v>
      </c>
      <c r="P411" s="713">
        <f t="shared" si="148"/>
        <v>739044</v>
      </c>
      <c r="Q411" s="713">
        <f t="shared" si="148"/>
        <v>155000</v>
      </c>
      <c r="R411" s="713">
        <f t="shared" si="148"/>
        <v>0</v>
      </c>
      <c r="S411" s="713">
        <f t="shared" si="148"/>
        <v>0</v>
      </c>
      <c r="T411" s="1068">
        <f t="shared" si="139"/>
        <v>894044</v>
      </c>
      <c r="U411" s="1105">
        <f>M411+N411+O411+P411+Q411+R411+S411</f>
        <v>3474044</v>
      </c>
      <c r="V411" s="811">
        <f t="shared" si="141"/>
        <v>3474044</v>
      </c>
      <c r="W411" s="1048">
        <f t="shared" si="142"/>
        <v>3474044</v>
      </c>
      <c r="Z411" s="1072"/>
      <c r="AA411" s="780"/>
    </row>
    <row r="412" spans="2:27" s="42" customFormat="1" ht="12.75">
      <c r="B412" s="529"/>
      <c r="C412" s="530"/>
      <c r="D412" s="167"/>
      <c r="E412" s="58"/>
      <c r="F412" s="354">
        <v>272</v>
      </c>
      <c r="G412" s="417">
        <v>411</v>
      </c>
      <c r="H412" s="1257" t="s">
        <v>27</v>
      </c>
      <c r="I412" s="1258"/>
      <c r="J412" s="1259"/>
      <c r="K412" s="862">
        <v>300000</v>
      </c>
      <c r="L412" s="886">
        <v>0</v>
      </c>
      <c r="M412" s="706">
        <v>430000</v>
      </c>
      <c r="N412" s="706">
        <v>0</v>
      </c>
      <c r="O412" s="706">
        <v>0</v>
      </c>
      <c r="P412" s="706">
        <v>0</v>
      </c>
      <c r="Q412" s="706">
        <v>0</v>
      </c>
      <c r="R412" s="706">
        <v>0</v>
      </c>
      <c r="S412" s="706">
        <v>0</v>
      </c>
      <c r="T412" s="817">
        <f t="shared" si="139"/>
        <v>0</v>
      </c>
      <c r="U412" s="818">
        <f>S412+R412+Q412+P412+O412+N412+M412</f>
        <v>430000</v>
      </c>
      <c r="V412" s="742">
        <f t="shared" si="141"/>
        <v>430000</v>
      </c>
      <c r="W412" s="818">
        <f t="shared" si="142"/>
        <v>430000</v>
      </c>
      <c r="Z412" s="1072"/>
      <c r="AA412" s="780"/>
    </row>
    <row r="413" spans="2:27" s="42" customFormat="1" ht="12.75">
      <c r="B413" s="529"/>
      <c r="C413" s="530"/>
      <c r="D413" s="167"/>
      <c r="E413" s="58"/>
      <c r="F413" s="354">
        <v>273</v>
      </c>
      <c r="G413" s="417">
        <v>412</v>
      </c>
      <c r="H413" s="1257" t="s">
        <v>78</v>
      </c>
      <c r="I413" s="1258"/>
      <c r="J413" s="1259"/>
      <c r="K413" s="862">
        <v>50000</v>
      </c>
      <c r="L413" s="886">
        <v>0</v>
      </c>
      <c r="M413" s="706">
        <v>69500</v>
      </c>
      <c r="N413" s="706">
        <v>0</v>
      </c>
      <c r="O413" s="706">
        <v>0</v>
      </c>
      <c r="P413" s="706">
        <v>0</v>
      </c>
      <c r="Q413" s="706">
        <v>0</v>
      </c>
      <c r="R413" s="706">
        <v>0</v>
      </c>
      <c r="S413" s="706">
        <v>0</v>
      </c>
      <c r="T413" s="817">
        <f t="shared" si="139"/>
        <v>0</v>
      </c>
      <c r="U413" s="818">
        <f>S413+R413+Q413+P413+O413+N413+M413</f>
        <v>69500</v>
      </c>
      <c r="V413" s="742">
        <f t="shared" si="141"/>
        <v>69500</v>
      </c>
      <c r="W413" s="818">
        <f t="shared" si="142"/>
        <v>69500</v>
      </c>
      <c r="Z413" s="1072"/>
      <c r="AA413" s="780"/>
    </row>
    <row r="414" spans="2:27" s="342" customFormat="1" ht="12.75">
      <c r="B414" s="336"/>
      <c r="C414" s="343"/>
      <c r="D414" s="338"/>
      <c r="E414" s="343"/>
      <c r="F414" s="354">
        <v>274</v>
      </c>
      <c r="G414" s="428">
        <v>421</v>
      </c>
      <c r="H414" s="1299" t="s">
        <v>33</v>
      </c>
      <c r="I414" s="1300"/>
      <c r="J414" s="1301"/>
      <c r="K414" s="849">
        <v>229000</v>
      </c>
      <c r="L414" s="852">
        <v>57006.53999999999</v>
      </c>
      <c r="M414" s="887">
        <v>229000</v>
      </c>
      <c r="N414" s="389">
        <v>0</v>
      </c>
      <c r="O414" s="425">
        <v>0</v>
      </c>
      <c r="P414" s="399">
        <v>0</v>
      </c>
      <c r="Q414" s="1106">
        <v>0</v>
      </c>
      <c r="R414" s="404">
        <v>0</v>
      </c>
      <c r="S414" s="399">
        <v>0</v>
      </c>
      <c r="T414" s="406">
        <f t="shared" si="139"/>
        <v>0</v>
      </c>
      <c r="U414" s="1066">
        <f t="shared" si="140"/>
        <v>229000</v>
      </c>
      <c r="V414" s="591">
        <f t="shared" si="141"/>
        <v>229000</v>
      </c>
      <c r="W414" s="818">
        <f t="shared" si="142"/>
        <v>229000</v>
      </c>
      <c r="AA414" s="783"/>
    </row>
    <row r="415" spans="2:23" ht="12.75" customHeight="1">
      <c r="B415" s="336"/>
      <c r="C415" s="343"/>
      <c r="D415" s="338"/>
      <c r="E415" s="343"/>
      <c r="F415" s="354">
        <v>275</v>
      </c>
      <c r="G415" s="428">
        <v>423</v>
      </c>
      <c r="H415" s="1299" t="s">
        <v>35</v>
      </c>
      <c r="I415" s="1300"/>
      <c r="J415" s="1301"/>
      <c r="K415" s="849">
        <v>1025000</v>
      </c>
      <c r="L415" s="852">
        <v>195662.7</v>
      </c>
      <c r="M415" s="887">
        <v>875500</v>
      </c>
      <c r="N415" s="388">
        <v>0</v>
      </c>
      <c r="O415" s="395">
        <v>0</v>
      </c>
      <c r="P415" s="398">
        <v>729044</v>
      </c>
      <c r="Q415" s="441">
        <v>55000</v>
      </c>
      <c r="R415" s="393">
        <v>0</v>
      </c>
      <c r="S415" s="398">
        <v>0</v>
      </c>
      <c r="T415" s="401">
        <f t="shared" si="139"/>
        <v>784044</v>
      </c>
      <c r="U415" s="818">
        <f t="shared" si="140"/>
        <v>1659544</v>
      </c>
      <c r="V415" s="591">
        <f t="shared" si="141"/>
        <v>1659544</v>
      </c>
      <c r="W415" s="818">
        <f t="shared" si="142"/>
        <v>1659544</v>
      </c>
    </row>
    <row r="416" spans="2:23" s="342" customFormat="1" ht="12.75">
      <c r="B416" s="336"/>
      <c r="C416" s="343"/>
      <c r="D416" s="338"/>
      <c r="E416" s="343"/>
      <c r="F416" s="354">
        <v>276</v>
      </c>
      <c r="G416" s="428">
        <v>425</v>
      </c>
      <c r="H416" s="1263" t="s">
        <v>90</v>
      </c>
      <c r="I416" s="1264"/>
      <c r="J416" s="1265"/>
      <c r="K416" s="849">
        <v>555000</v>
      </c>
      <c r="L416" s="852">
        <v>2154.56</v>
      </c>
      <c r="M416" s="887">
        <v>525000</v>
      </c>
      <c r="N416" s="388">
        <v>0</v>
      </c>
      <c r="O416" s="395">
        <v>0</v>
      </c>
      <c r="P416" s="398">
        <v>0</v>
      </c>
      <c r="Q416" s="441">
        <v>0</v>
      </c>
      <c r="R416" s="393">
        <v>0</v>
      </c>
      <c r="S416" s="398">
        <v>0</v>
      </c>
      <c r="T416" s="401">
        <f t="shared" si="139"/>
        <v>0</v>
      </c>
      <c r="U416" s="818">
        <f t="shared" si="140"/>
        <v>525000</v>
      </c>
      <c r="V416" s="591">
        <f t="shared" si="141"/>
        <v>525000</v>
      </c>
      <c r="W416" s="818">
        <f t="shared" si="142"/>
        <v>525000</v>
      </c>
    </row>
    <row r="417" spans="2:23" s="342" customFormat="1" ht="12.75">
      <c r="B417" s="336"/>
      <c r="C417" s="343"/>
      <c r="D417" s="338"/>
      <c r="E417" s="343"/>
      <c r="F417" s="354">
        <v>277</v>
      </c>
      <c r="G417" s="428">
        <v>426</v>
      </c>
      <c r="H417" s="1299" t="s">
        <v>38</v>
      </c>
      <c r="I417" s="1300"/>
      <c r="J417" s="1301"/>
      <c r="K417" s="849">
        <v>280000</v>
      </c>
      <c r="L417" s="852">
        <v>6960</v>
      </c>
      <c r="M417" s="887">
        <v>310000</v>
      </c>
      <c r="N417" s="388">
        <v>0</v>
      </c>
      <c r="O417" s="395">
        <v>0</v>
      </c>
      <c r="P417" s="435">
        <v>10000</v>
      </c>
      <c r="Q417" s="441">
        <v>100000</v>
      </c>
      <c r="R417" s="393">
        <v>0</v>
      </c>
      <c r="S417" s="398">
        <v>0</v>
      </c>
      <c r="T417" s="401">
        <f t="shared" si="139"/>
        <v>110000</v>
      </c>
      <c r="U417" s="818">
        <f t="shared" si="140"/>
        <v>420000</v>
      </c>
      <c r="V417" s="591">
        <f t="shared" si="141"/>
        <v>420000</v>
      </c>
      <c r="W417" s="818">
        <f t="shared" si="142"/>
        <v>420000</v>
      </c>
    </row>
    <row r="418" spans="2:23" s="342" customFormat="1" ht="12.75">
      <c r="B418" s="336"/>
      <c r="C418" s="343"/>
      <c r="D418" s="338"/>
      <c r="E418" s="343"/>
      <c r="F418" s="354">
        <v>278</v>
      </c>
      <c r="G418" s="428">
        <v>482</v>
      </c>
      <c r="H418" s="686" t="s">
        <v>81</v>
      </c>
      <c r="I418" s="461"/>
      <c r="J418" s="687"/>
      <c r="K418" s="850">
        <v>41000</v>
      </c>
      <c r="L418" s="853">
        <v>20114.72</v>
      </c>
      <c r="M418" s="887">
        <v>41000</v>
      </c>
      <c r="N418" s="388">
        <v>0</v>
      </c>
      <c r="O418" s="398">
        <v>0</v>
      </c>
      <c r="P418" s="441">
        <v>0</v>
      </c>
      <c r="Q418" s="628">
        <v>0</v>
      </c>
      <c r="R418" s="1197">
        <v>0</v>
      </c>
      <c r="S418" s="435">
        <v>0</v>
      </c>
      <c r="T418" s="639">
        <f t="shared" si="139"/>
        <v>0</v>
      </c>
      <c r="U418" s="1059">
        <f t="shared" si="140"/>
        <v>41000</v>
      </c>
      <c r="V418" s="591">
        <f t="shared" si="141"/>
        <v>41000</v>
      </c>
      <c r="W418" s="818">
        <f t="shared" si="142"/>
        <v>41000</v>
      </c>
    </row>
    <row r="419" spans="2:23" s="342" customFormat="1" ht="12.75">
      <c r="B419" s="336"/>
      <c r="C419" s="343"/>
      <c r="D419" s="338"/>
      <c r="E419" s="343"/>
      <c r="F419" s="354">
        <v>279</v>
      </c>
      <c r="G419" s="428">
        <v>512</v>
      </c>
      <c r="H419" s="686" t="s">
        <v>1531</v>
      </c>
      <c r="I419" s="461"/>
      <c r="J419" s="461"/>
      <c r="K419" s="853">
        <v>100000</v>
      </c>
      <c r="L419" s="853">
        <v>0</v>
      </c>
      <c r="M419" s="887">
        <v>100000</v>
      </c>
      <c r="N419" s="388">
        <v>0</v>
      </c>
      <c r="O419" s="398">
        <v>0</v>
      </c>
      <c r="P419" s="627">
        <v>0</v>
      </c>
      <c r="Q419" s="441">
        <v>0</v>
      </c>
      <c r="R419" s="597">
        <v>0</v>
      </c>
      <c r="S419" s="441">
        <v>0</v>
      </c>
      <c r="T419" s="441">
        <f t="shared" si="139"/>
        <v>0</v>
      </c>
      <c r="U419" s="818">
        <f t="shared" si="140"/>
        <v>100000</v>
      </c>
      <c r="V419" s="591">
        <f t="shared" si="141"/>
        <v>100000</v>
      </c>
      <c r="W419" s="818">
        <f t="shared" si="142"/>
        <v>100000</v>
      </c>
    </row>
    <row r="420" spans="2:23" s="342" customFormat="1" ht="12.75">
      <c r="B420" s="442"/>
      <c r="C420" s="449" t="s">
        <v>1273</v>
      </c>
      <c r="D420" s="450"/>
      <c r="E420" s="451"/>
      <c r="F420" s="450"/>
      <c r="G420" s="452"/>
      <c r="H420" s="1290" t="s">
        <v>118</v>
      </c>
      <c r="I420" s="1291"/>
      <c r="J420" s="1291"/>
      <c r="K420" s="885">
        <f>K423</f>
        <v>2360000</v>
      </c>
      <c r="L420" s="885">
        <f>L423</f>
        <v>550526.02</v>
      </c>
      <c r="M420" s="1004">
        <f>M423</f>
        <v>2360000</v>
      </c>
      <c r="N420" s="1003">
        <f aca="true" t="shared" si="149" ref="N420:S420">N423</f>
        <v>0</v>
      </c>
      <c r="O420" s="407">
        <f>O423</f>
        <v>0</v>
      </c>
      <c r="P420" s="576">
        <f t="shared" si="149"/>
        <v>739044</v>
      </c>
      <c r="Q420" s="576">
        <f t="shared" si="149"/>
        <v>2225837</v>
      </c>
      <c r="R420" s="576">
        <f>R423</f>
        <v>0</v>
      </c>
      <c r="S420" s="689">
        <f t="shared" si="149"/>
        <v>0</v>
      </c>
      <c r="T420" s="690">
        <f t="shared" si="139"/>
        <v>2964881</v>
      </c>
      <c r="U420" s="1198">
        <f>M420+P420+Q420</f>
        <v>5324881</v>
      </c>
      <c r="V420" s="821">
        <f t="shared" si="141"/>
        <v>5324881</v>
      </c>
      <c r="W420" s="1049">
        <f t="shared" si="142"/>
        <v>5324881</v>
      </c>
    </row>
    <row r="421" spans="2:23" s="621" customFormat="1" ht="12.75">
      <c r="B421" s="617"/>
      <c r="C421" s="618"/>
      <c r="D421" s="594"/>
      <c r="E421" s="593" t="s">
        <v>279</v>
      </c>
      <c r="F421" s="594"/>
      <c r="G421" s="595"/>
      <c r="H421" s="1302" t="s">
        <v>280</v>
      </c>
      <c r="I421" s="1303"/>
      <c r="J421" s="1304"/>
      <c r="K421" s="868">
        <f aca="true" t="shared" si="150" ref="K421:S422">K422</f>
        <v>2360000</v>
      </c>
      <c r="L421" s="996">
        <f t="shared" si="150"/>
        <v>550526.02</v>
      </c>
      <c r="M421" s="994">
        <f t="shared" si="150"/>
        <v>2360000</v>
      </c>
      <c r="N421" s="619">
        <f t="shared" si="150"/>
        <v>0</v>
      </c>
      <c r="O421" s="619">
        <f t="shared" si="150"/>
        <v>0</v>
      </c>
      <c r="P421" s="619">
        <f t="shared" si="150"/>
        <v>739044</v>
      </c>
      <c r="Q421" s="619">
        <f t="shared" si="150"/>
        <v>2225837</v>
      </c>
      <c r="R421" s="619">
        <f t="shared" si="150"/>
        <v>0</v>
      </c>
      <c r="S421" s="620">
        <f t="shared" si="150"/>
        <v>0</v>
      </c>
      <c r="T421" s="620">
        <f t="shared" si="139"/>
        <v>2964881</v>
      </c>
      <c r="U421" s="1027">
        <f>M421+P421+Q421</f>
        <v>5324881</v>
      </c>
      <c r="V421" s="822">
        <f>U421</f>
        <v>5324881</v>
      </c>
      <c r="W421" s="822">
        <f>U421</f>
        <v>5324881</v>
      </c>
    </row>
    <row r="422" spans="2:23" ht="12.75" customHeight="1">
      <c r="B422" s="270"/>
      <c r="C422" s="271"/>
      <c r="D422" s="412"/>
      <c r="E422" s="332" t="s">
        <v>292</v>
      </c>
      <c r="F422" s="412"/>
      <c r="G422" s="413"/>
      <c r="H422" s="1310" t="s">
        <v>1307</v>
      </c>
      <c r="I422" s="1311"/>
      <c r="J422" s="1312"/>
      <c r="K422" s="872">
        <f t="shared" si="150"/>
        <v>2360000</v>
      </c>
      <c r="L422" s="1002">
        <f t="shared" si="150"/>
        <v>550526.02</v>
      </c>
      <c r="M422" s="1005">
        <f t="shared" si="150"/>
        <v>2360000</v>
      </c>
      <c r="N422" s="276">
        <f t="shared" si="150"/>
        <v>0</v>
      </c>
      <c r="O422" s="276">
        <f t="shared" si="150"/>
        <v>0</v>
      </c>
      <c r="P422" s="276">
        <f t="shared" si="150"/>
        <v>739044</v>
      </c>
      <c r="Q422" s="276">
        <f t="shared" si="150"/>
        <v>2225837</v>
      </c>
      <c r="R422" s="276">
        <f t="shared" si="150"/>
        <v>0</v>
      </c>
      <c r="S422" s="321">
        <f t="shared" si="150"/>
        <v>0</v>
      </c>
      <c r="T422" s="321">
        <f t="shared" si="139"/>
        <v>2964881</v>
      </c>
      <c r="U422" s="819">
        <f>M422+P422+Q422</f>
        <v>5324881</v>
      </c>
      <c r="V422" s="635">
        <f t="shared" si="141"/>
        <v>5324881</v>
      </c>
      <c r="W422" s="635">
        <f t="shared" si="142"/>
        <v>5324881</v>
      </c>
    </row>
    <row r="423" spans="2:23" ht="12.75" customHeight="1">
      <c r="B423" s="414"/>
      <c r="C423" s="415"/>
      <c r="D423" s="167" t="s">
        <v>273</v>
      </c>
      <c r="E423" s="58"/>
      <c r="F423" s="416"/>
      <c r="G423" s="417"/>
      <c r="H423" s="1296" t="s">
        <v>117</v>
      </c>
      <c r="I423" s="1297"/>
      <c r="J423" s="429"/>
      <c r="K423" s="862">
        <f aca="true" t="shared" si="151" ref="K423:S423">SUM(K424:K435)</f>
        <v>2360000</v>
      </c>
      <c r="L423" s="886">
        <f t="shared" si="151"/>
        <v>550526.02</v>
      </c>
      <c r="M423" s="706">
        <f t="shared" si="151"/>
        <v>2360000</v>
      </c>
      <c r="N423" s="68">
        <f t="shared" si="151"/>
        <v>0</v>
      </c>
      <c r="O423" s="68">
        <f t="shared" si="151"/>
        <v>0</v>
      </c>
      <c r="P423" s="68">
        <f t="shared" si="151"/>
        <v>739044</v>
      </c>
      <c r="Q423" s="68">
        <f t="shared" si="151"/>
        <v>2225837</v>
      </c>
      <c r="R423" s="68">
        <f t="shared" si="151"/>
        <v>0</v>
      </c>
      <c r="S423" s="68">
        <f t="shared" si="151"/>
        <v>0</v>
      </c>
      <c r="T423" s="324">
        <f t="shared" si="139"/>
        <v>2964881</v>
      </c>
      <c r="U423" s="1048">
        <f>M423+P423+Q423</f>
        <v>5324881</v>
      </c>
      <c r="V423" s="811">
        <f t="shared" si="141"/>
        <v>5324881</v>
      </c>
      <c r="W423" s="1048">
        <f t="shared" si="142"/>
        <v>5324881</v>
      </c>
    </row>
    <row r="424" spans="2:23" ht="12.75">
      <c r="B424" s="336"/>
      <c r="C424" s="343"/>
      <c r="D424" s="338"/>
      <c r="E424" s="343"/>
      <c r="F424" s="354">
        <v>280</v>
      </c>
      <c r="G424" s="428">
        <v>411</v>
      </c>
      <c r="H424" s="1263" t="s">
        <v>27</v>
      </c>
      <c r="I424" s="1264"/>
      <c r="J424" s="1265"/>
      <c r="K424" s="849">
        <v>600000</v>
      </c>
      <c r="L424" s="849">
        <v>199864.00999999998</v>
      </c>
      <c r="M424" s="857">
        <v>600000</v>
      </c>
      <c r="N424" s="395">
        <v>0</v>
      </c>
      <c r="O424" s="395">
        <v>0</v>
      </c>
      <c r="P424" s="395">
        <v>0</v>
      </c>
      <c r="Q424" s="398">
        <v>0</v>
      </c>
      <c r="R424" s="392">
        <v>0</v>
      </c>
      <c r="S424" s="398">
        <v>0</v>
      </c>
      <c r="T424" s="401">
        <f t="shared" si="139"/>
        <v>0</v>
      </c>
      <c r="U424" s="818">
        <f t="shared" si="140"/>
        <v>600000</v>
      </c>
      <c r="V424" s="591">
        <f t="shared" si="141"/>
        <v>600000</v>
      </c>
      <c r="W424" s="818">
        <f t="shared" si="142"/>
        <v>600000</v>
      </c>
    </row>
    <row r="425" spans="2:24" ht="12.75">
      <c r="B425" s="336"/>
      <c r="C425" s="343"/>
      <c r="D425" s="338"/>
      <c r="E425" s="343"/>
      <c r="F425" s="354">
        <v>281</v>
      </c>
      <c r="G425" s="428">
        <v>412</v>
      </c>
      <c r="H425" s="1263" t="s">
        <v>78</v>
      </c>
      <c r="I425" s="1264"/>
      <c r="J425" s="1265"/>
      <c r="K425" s="849">
        <v>101000</v>
      </c>
      <c r="L425" s="849">
        <v>32278.059999999998</v>
      </c>
      <c r="M425" s="849">
        <v>101000</v>
      </c>
      <c r="N425" s="395">
        <v>0</v>
      </c>
      <c r="O425" s="395">
        <v>0</v>
      </c>
      <c r="P425" s="395">
        <v>0</v>
      </c>
      <c r="Q425" s="398">
        <v>0</v>
      </c>
      <c r="R425" s="392">
        <v>0</v>
      </c>
      <c r="S425" s="398">
        <v>0</v>
      </c>
      <c r="T425" s="401">
        <f t="shared" si="139"/>
        <v>0</v>
      </c>
      <c r="U425" s="818">
        <f aca="true" t="shared" si="152" ref="U425:U452">M425+N425+O425+P425+Q425+R425+S425</f>
        <v>101000</v>
      </c>
      <c r="V425" s="591">
        <f t="shared" si="141"/>
        <v>101000</v>
      </c>
      <c r="W425" s="818">
        <f t="shared" si="142"/>
        <v>101000</v>
      </c>
      <c r="X425" s="363"/>
    </row>
    <row r="426" spans="2:23" ht="12.75">
      <c r="B426" s="336"/>
      <c r="C426" s="343"/>
      <c r="D426" s="338"/>
      <c r="E426" s="343"/>
      <c r="F426" s="354">
        <v>282</v>
      </c>
      <c r="G426" s="428">
        <v>414</v>
      </c>
      <c r="H426" s="334" t="s">
        <v>30</v>
      </c>
      <c r="I426" s="426"/>
      <c r="J426" s="427"/>
      <c r="K426" s="723">
        <v>30000</v>
      </c>
      <c r="L426" s="723">
        <v>0</v>
      </c>
      <c r="M426" s="723">
        <v>30000</v>
      </c>
      <c r="N426" s="723">
        <v>0</v>
      </c>
      <c r="O426" s="723">
        <v>0</v>
      </c>
      <c r="P426" s="723">
        <v>0</v>
      </c>
      <c r="Q426" s="723">
        <v>0</v>
      </c>
      <c r="R426" s="723">
        <v>0</v>
      </c>
      <c r="S426" s="723">
        <v>0</v>
      </c>
      <c r="T426" s="401">
        <f t="shared" si="139"/>
        <v>0</v>
      </c>
      <c r="U426" s="818">
        <f t="shared" si="152"/>
        <v>30000</v>
      </c>
      <c r="V426" s="591">
        <f t="shared" si="141"/>
        <v>30000</v>
      </c>
      <c r="W426" s="818">
        <f t="shared" si="142"/>
        <v>30000</v>
      </c>
    </row>
    <row r="427" spans="2:23" s="342" customFormat="1" ht="12.75">
      <c r="B427" s="336"/>
      <c r="C427" s="343"/>
      <c r="D427" s="338"/>
      <c r="E427" s="343"/>
      <c r="F427" s="382">
        <v>283</v>
      </c>
      <c r="G427" s="428">
        <v>421</v>
      </c>
      <c r="H427" s="1299" t="s">
        <v>33</v>
      </c>
      <c r="I427" s="1300"/>
      <c r="J427" s="1301"/>
      <c r="K427" s="849">
        <v>311000</v>
      </c>
      <c r="L427" s="849">
        <v>90543.88999999998</v>
      </c>
      <c r="M427" s="849">
        <v>311000</v>
      </c>
      <c r="N427" s="395">
        <v>0</v>
      </c>
      <c r="O427" s="395">
        <v>0</v>
      </c>
      <c r="P427" s="395">
        <v>0</v>
      </c>
      <c r="Q427" s="398">
        <v>0</v>
      </c>
      <c r="R427" s="392">
        <v>0</v>
      </c>
      <c r="S427" s="398">
        <v>0</v>
      </c>
      <c r="T427" s="401">
        <f t="shared" si="139"/>
        <v>0</v>
      </c>
      <c r="U427" s="818">
        <f t="shared" si="152"/>
        <v>311000</v>
      </c>
      <c r="V427" s="591">
        <f t="shared" si="141"/>
        <v>311000</v>
      </c>
      <c r="W427" s="818">
        <f t="shared" si="142"/>
        <v>311000</v>
      </c>
    </row>
    <row r="428" spans="2:23" s="342" customFormat="1" ht="12.75">
      <c r="B428" s="336"/>
      <c r="C428" s="343"/>
      <c r="D428" s="338"/>
      <c r="E428" s="343"/>
      <c r="F428" s="382">
        <v>284</v>
      </c>
      <c r="G428" s="428">
        <v>422</v>
      </c>
      <c r="H428" s="1299" t="s">
        <v>34</v>
      </c>
      <c r="I428" s="1300"/>
      <c r="J428" s="1301"/>
      <c r="K428" s="849">
        <v>30000</v>
      </c>
      <c r="L428" s="849">
        <v>0</v>
      </c>
      <c r="M428" s="850">
        <v>30000</v>
      </c>
      <c r="N428" s="514">
        <v>0</v>
      </c>
      <c r="O428" s="395">
        <v>0</v>
      </c>
      <c r="P428" s="395">
        <v>0</v>
      </c>
      <c r="Q428" s="398">
        <v>0</v>
      </c>
      <c r="R428" s="398">
        <v>0</v>
      </c>
      <c r="S428" s="398">
        <v>0</v>
      </c>
      <c r="T428" s="401">
        <f t="shared" si="139"/>
        <v>0</v>
      </c>
      <c r="U428" s="818">
        <f t="shared" si="152"/>
        <v>30000</v>
      </c>
      <c r="V428" s="591">
        <f t="shared" si="141"/>
        <v>30000</v>
      </c>
      <c r="W428" s="818">
        <f t="shared" si="142"/>
        <v>30000</v>
      </c>
    </row>
    <row r="429" spans="2:23" s="342" customFormat="1" ht="12.75">
      <c r="B429" s="336"/>
      <c r="C429" s="343"/>
      <c r="D429" s="338"/>
      <c r="E429" s="343"/>
      <c r="F429" s="382">
        <v>285</v>
      </c>
      <c r="G429" s="428">
        <v>423</v>
      </c>
      <c r="H429" s="1299" t="s">
        <v>35</v>
      </c>
      <c r="I429" s="1300"/>
      <c r="J429" s="1301"/>
      <c r="K429" s="849">
        <v>605000</v>
      </c>
      <c r="L429" s="852">
        <v>80000</v>
      </c>
      <c r="M429" s="887">
        <v>505000</v>
      </c>
      <c r="N429" s="441">
        <v>0</v>
      </c>
      <c r="O429" s="388">
        <v>0</v>
      </c>
      <c r="P429" s="514">
        <v>729044</v>
      </c>
      <c r="Q429" s="514">
        <v>975837</v>
      </c>
      <c r="R429" s="514">
        <v>0</v>
      </c>
      <c r="S429" s="514">
        <v>0</v>
      </c>
      <c r="T429" s="401">
        <f t="shared" si="139"/>
        <v>1704881</v>
      </c>
      <c r="U429" s="818">
        <f t="shared" si="152"/>
        <v>2209881</v>
      </c>
      <c r="V429" s="591">
        <f t="shared" si="141"/>
        <v>2209881</v>
      </c>
      <c r="W429" s="818">
        <f t="shared" si="142"/>
        <v>2209881</v>
      </c>
    </row>
    <row r="430" spans="2:23" s="342" customFormat="1" ht="12.75">
      <c r="B430" s="336"/>
      <c r="C430" s="343"/>
      <c r="D430" s="338"/>
      <c r="E430" s="343"/>
      <c r="F430" s="382">
        <v>286</v>
      </c>
      <c r="G430" s="428">
        <v>424</v>
      </c>
      <c r="H430" s="1263" t="s">
        <v>36</v>
      </c>
      <c r="I430" s="1264"/>
      <c r="J430" s="1265"/>
      <c r="K430" s="849">
        <v>50000</v>
      </c>
      <c r="L430" s="852">
        <v>0</v>
      </c>
      <c r="M430" s="887">
        <v>50000</v>
      </c>
      <c r="N430" s="441">
        <v>0</v>
      </c>
      <c r="O430" s="388">
        <v>0</v>
      </c>
      <c r="P430" s="425">
        <v>0</v>
      </c>
      <c r="Q430" s="425">
        <v>0</v>
      </c>
      <c r="R430" s="425">
        <v>0</v>
      </c>
      <c r="S430" s="425">
        <v>0</v>
      </c>
      <c r="T430" s="401">
        <f t="shared" si="139"/>
        <v>0</v>
      </c>
      <c r="U430" s="818">
        <f t="shared" si="152"/>
        <v>50000</v>
      </c>
      <c r="V430" s="591">
        <f t="shared" si="141"/>
        <v>50000</v>
      </c>
      <c r="W430" s="818">
        <f t="shared" si="142"/>
        <v>50000</v>
      </c>
    </row>
    <row r="431" spans="2:23" s="342" customFormat="1" ht="12.75">
      <c r="B431" s="336"/>
      <c r="C431" s="343"/>
      <c r="D431" s="338"/>
      <c r="E431" s="343"/>
      <c r="F431" s="382">
        <v>287</v>
      </c>
      <c r="G431" s="428">
        <v>425</v>
      </c>
      <c r="H431" s="1263" t="s">
        <v>119</v>
      </c>
      <c r="I431" s="1264"/>
      <c r="J431" s="1265"/>
      <c r="K431" s="849">
        <v>240000</v>
      </c>
      <c r="L431" s="852">
        <v>108000</v>
      </c>
      <c r="M431" s="1073">
        <v>337000</v>
      </c>
      <c r="N431" s="389">
        <v>0</v>
      </c>
      <c r="O431" s="395">
        <v>0</v>
      </c>
      <c r="P431" s="395">
        <v>0</v>
      </c>
      <c r="Q431" s="395">
        <v>1050000</v>
      </c>
      <c r="R431" s="395">
        <v>0</v>
      </c>
      <c r="S431" s="395">
        <v>0</v>
      </c>
      <c r="T431" s="401">
        <f t="shared" si="139"/>
        <v>1050000</v>
      </c>
      <c r="U431" s="818">
        <f t="shared" si="152"/>
        <v>1387000</v>
      </c>
      <c r="V431" s="591">
        <f t="shared" si="141"/>
        <v>1387000</v>
      </c>
      <c r="W431" s="818">
        <f t="shared" si="142"/>
        <v>1387000</v>
      </c>
    </row>
    <row r="432" spans="2:23" s="342" customFormat="1" ht="12.75">
      <c r="B432" s="336"/>
      <c r="C432" s="343"/>
      <c r="D432" s="338"/>
      <c r="E432" s="343"/>
      <c r="F432" s="382">
        <v>288</v>
      </c>
      <c r="G432" s="428">
        <v>426</v>
      </c>
      <c r="H432" s="1263" t="s">
        <v>38</v>
      </c>
      <c r="I432" s="1264"/>
      <c r="J432" s="1265"/>
      <c r="K432" s="849">
        <v>340000</v>
      </c>
      <c r="L432" s="852">
        <v>39840.06</v>
      </c>
      <c r="M432" s="887">
        <v>340000</v>
      </c>
      <c r="N432" s="388">
        <v>0</v>
      </c>
      <c r="O432" s="395">
        <v>0</v>
      </c>
      <c r="P432" s="395">
        <v>10000</v>
      </c>
      <c r="Q432" s="395">
        <v>200000</v>
      </c>
      <c r="R432" s="395">
        <v>0</v>
      </c>
      <c r="S432" s="395">
        <v>0</v>
      </c>
      <c r="T432" s="401">
        <f t="shared" si="139"/>
        <v>210000</v>
      </c>
      <c r="U432" s="818">
        <f t="shared" si="152"/>
        <v>550000</v>
      </c>
      <c r="V432" s="591">
        <f t="shared" si="141"/>
        <v>550000</v>
      </c>
      <c r="W432" s="818">
        <f t="shared" si="142"/>
        <v>550000</v>
      </c>
    </row>
    <row r="433" spans="2:23" s="342" customFormat="1" ht="12.75">
      <c r="B433" s="336"/>
      <c r="C433" s="343"/>
      <c r="D433" s="338"/>
      <c r="E433" s="343"/>
      <c r="F433" s="382">
        <v>289</v>
      </c>
      <c r="G433" s="428">
        <v>441</v>
      </c>
      <c r="H433" s="1299" t="s">
        <v>1389</v>
      </c>
      <c r="I433" s="1300"/>
      <c r="J433" s="1301"/>
      <c r="K433" s="849">
        <v>3000</v>
      </c>
      <c r="L433" s="852">
        <v>0</v>
      </c>
      <c r="M433" s="887">
        <v>1000</v>
      </c>
      <c r="N433" s="388">
        <v>0</v>
      </c>
      <c r="O433" s="395">
        <v>0</v>
      </c>
      <c r="P433" s="395">
        <v>0</v>
      </c>
      <c r="Q433" s="398">
        <v>0</v>
      </c>
      <c r="R433" s="398">
        <v>0</v>
      </c>
      <c r="S433" s="398">
        <v>0</v>
      </c>
      <c r="T433" s="401">
        <f t="shared" si="139"/>
        <v>0</v>
      </c>
      <c r="U433" s="818">
        <f t="shared" si="152"/>
        <v>1000</v>
      </c>
      <c r="V433" s="591">
        <f t="shared" si="141"/>
        <v>1000</v>
      </c>
      <c r="W433" s="818">
        <f t="shared" si="142"/>
        <v>1000</v>
      </c>
    </row>
    <row r="434" spans="2:23" s="342" customFormat="1" ht="12.75">
      <c r="B434" s="336"/>
      <c r="C434" s="343"/>
      <c r="D434" s="338"/>
      <c r="E434" s="343"/>
      <c r="F434" s="382" t="s">
        <v>1580</v>
      </c>
      <c r="G434" s="428">
        <v>482</v>
      </c>
      <c r="H434" s="353" t="s">
        <v>1581</v>
      </c>
      <c r="I434" s="421"/>
      <c r="J434" s="422"/>
      <c r="K434" s="849"/>
      <c r="L434" s="852"/>
      <c r="M434" s="887">
        <v>5000</v>
      </c>
      <c r="N434" s="887">
        <v>0</v>
      </c>
      <c r="O434" s="887">
        <v>0</v>
      </c>
      <c r="P434" s="887">
        <v>0</v>
      </c>
      <c r="Q434" s="887">
        <v>0</v>
      </c>
      <c r="R434" s="887"/>
      <c r="S434" s="887">
        <v>0</v>
      </c>
      <c r="T434" s="401">
        <f t="shared" si="139"/>
        <v>0</v>
      </c>
      <c r="U434" s="818">
        <f>M434</f>
        <v>5000</v>
      </c>
      <c r="V434" s="591">
        <f t="shared" si="141"/>
        <v>5000</v>
      </c>
      <c r="W434" s="818">
        <f t="shared" si="142"/>
        <v>5000</v>
      </c>
    </row>
    <row r="435" spans="2:23" ht="12.75">
      <c r="B435" s="336"/>
      <c r="C435" s="343"/>
      <c r="D435" s="338"/>
      <c r="E435" s="343"/>
      <c r="F435" s="382">
        <v>290</v>
      </c>
      <c r="G435" s="428">
        <v>512</v>
      </c>
      <c r="H435" s="353" t="s">
        <v>82</v>
      </c>
      <c r="I435" s="421"/>
      <c r="J435" s="422"/>
      <c r="K435" s="849">
        <v>50000</v>
      </c>
      <c r="L435" s="852">
        <v>0</v>
      </c>
      <c r="M435" s="887">
        <v>50000</v>
      </c>
      <c r="N435" s="388">
        <v>0</v>
      </c>
      <c r="O435" s="395">
        <v>0</v>
      </c>
      <c r="P435" s="395">
        <v>0</v>
      </c>
      <c r="Q435" s="395">
        <v>0</v>
      </c>
      <c r="R435" s="392">
        <v>0</v>
      </c>
      <c r="S435" s="395">
        <v>0</v>
      </c>
      <c r="T435" s="401">
        <f t="shared" si="139"/>
        <v>0</v>
      </c>
      <c r="U435" s="818">
        <f t="shared" si="152"/>
        <v>50000</v>
      </c>
      <c r="V435" s="591">
        <f t="shared" si="141"/>
        <v>50000</v>
      </c>
      <c r="W435" s="818">
        <f t="shared" si="142"/>
        <v>50000</v>
      </c>
    </row>
    <row r="436" spans="2:23" s="342" customFormat="1" ht="12.75">
      <c r="B436" s="442"/>
      <c r="C436" s="449" t="s">
        <v>1274</v>
      </c>
      <c r="D436" s="662"/>
      <c r="E436" s="451"/>
      <c r="F436" s="450"/>
      <c r="G436" s="452"/>
      <c r="H436" s="1290" t="s">
        <v>120</v>
      </c>
      <c r="I436" s="1291"/>
      <c r="J436" s="1291"/>
      <c r="K436" s="885">
        <f>K439</f>
        <v>2360000</v>
      </c>
      <c r="L436" s="885">
        <f>L439</f>
        <v>784549.25</v>
      </c>
      <c r="M436" s="1004">
        <f>M439</f>
        <v>2660000</v>
      </c>
      <c r="N436" s="1003">
        <f aca="true" t="shared" si="153" ref="N436:S436">N439</f>
        <v>0</v>
      </c>
      <c r="O436" s="407">
        <f>O439</f>
        <v>0</v>
      </c>
      <c r="P436" s="407">
        <f t="shared" si="153"/>
        <v>0</v>
      </c>
      <c r="Q436" s="407">
        <f t="shared" si="153"/>
        <v>0</v>
      </c>
      <c r="R436" s="407">
        <f>R439</f>
        <v>0</v>
      </c>
      <c r="S436" s="455">
        <f t="shared" si="153"/>
        <v>0</v>
      </c>
      <c r="T436" s="454">
        <f t="shared" si="139"/>
        <v>0</v>
      </c>
      <c r="U436" s="1049">
        <f t="shared" si="152"/>
        <v>2660000</v>
      </c>
      <c r="V436" s="821">
        <f t="shared" si="141"/>
        <v>2660000</v>
      </c>
      <c r="W436" s="1049">
        <f t="shared" si="142"/>
        <v>2660000</v>
      </c>
    </row>
    <row r="437" spans="2:23" s="621" customFormat="1" ht="12.75">
      <c r="B437" s="617"/>
      <c r="C437" s="618"/>
      <c r="D437" s="594"/>
      <c r="E437" s="593" t="s">
        <v>279</v>
      </c>
      <c r="F437" s="594"/>
      <c r="G437" s="595"/>
      <c r="H437" s="1287" t="s">
        <v>280</v>
      </c>
      <c r="I437" s="1288"/>
      <c r="J437" s="1289"/>
      <c r="K437" s="847">
        <f aca="true" t="shared" si="154" ref="K437:S438">K438</f>
        <v>2360000</v>
      </c>
      <c r="L437" s="1001">
        <f t="shared" si="154"/>
        <v>784549.25</v>
      </c>
      <c r="M437" s="889">
        <f t="shared" si="154"/>
        <v>2660000</v>
      </c>
      <c r="N437" s="619">
        <f t="shared" si="154"/>
        <v>0</v>
      </c>
      <c r="O437" s="619">
        <f t="shared" si="154"/>
        <v>0</v>
      </c>
      <c r="P437" s="619">
        <f t="shared" si="154"/>
        <v>0</v>
      </c>
      <c r="Q437" s="619">
        <f t="shared" si="154"/>
        <v>0</v>
      </c>
      <c r="R437" s="619">
        <f t="shared" si="154"/>
        <v>0</v>
      </c>
      <c r="S437" s="620">
        <f t="shared" si="154"/>
        <v>0</v>
      </c>
      <c r="T437" s="620">
        <f t="shared" si="139"/>
        <v>0</v>
      </c>
      <c r="U437" s="1027">
        <f t="shared" si="152"/>
        <v>2660000</v>
      </c>
      <c r="V437" s="822">
        <f t="shared" si="141"/>
        <v>2660000</v>
      </c>
      <c r="W437" s="822">
        <f t="shared" si="142"/>
        <v>2660000</v>
      </c>
    </row>
    <row r="438" spans="2:23" s="342" customFormat="1" ht="12.75" customHeight="1">
      <c r="B438" s="270"/>
      <c r="C438" s="271"/>
      <c r="D438" s="412"/>
      <c r="E438" s="332" t="s">
        <v>292</v>
      </c>
      <c r="F438" s="412"/>
      <c r="G438" s="413"/>
      <c r="H438" s="1310" t="s">
        <v>1307</v>
      </c>
      <c r="I438" s="1311"/>
      <c r="J438" s="1312"/>
      <c r="K438" s="872">
        <f t="shared" si="154"/>
        <v>2360000</v>
      </c>
      <c r="L438" s="1002">
        <f t="shared" si="154"/>
        <v>784549.25</v>
      </c>
      <c r="M438" s="1005">
        <f t="shared" si="154"/>
        <v>2660000</v>
      </c>
      <c r="N438" s="276">
        <f t="shared" si="154"/>
        <v>0</v>
      </c>
      <c r="O438" s="276">
        <f t="shared" si="154"/>
        <v>0</v>
      </c>
      <c r="P438" s="276">
        <f t="shared" si="154"/>
        <v>0</v>
      </c>
      <c r="Q438" s="276">
        <f t="shared" si="154"/>
        <v>0</v>
      </c>
      <c r="R438" s="276">
        <f t="shared" si="154"/>
        <v>0</v>
      </c>
      <c r="S438" s="321">
        <f t="shared" si="154"/>
        <v>0</v>
      </c>
      <c r="T438" s="321">
        <f t="shared" si="139"/>
        <v>0</v>
      </c>
      <c r="U438" s="819">
        <f t="shared" si="152"/>
        <v>2660000</v>
      </c>
      <c r="V438" s="635">
        <f t="shared" si="141"/>
        <v>2660000</v>
      </c>
      <c r="W438" s="635">
        <f t="shared" si="142"/>
        <v>2660000</v>
      </c>
    </row>
    <row r="439" spans="2:23" s="42" customFormat="1" ht="12.75">
      <c r="B439" s="529"/>
      <c r="C439" s="530"/>
      <c r="D439" s="167" t="s">
        <v>273</v>
      </c>
      <c r="E439" s="58"/>
      <c r="F439" s="531"/>
      <c r="G439" s="532"/>
      <c r="H439" s="1296" t="s">
        <v>117</v>
      </c>
      <c r="I439" s="1297"/>
      <c r="J439" s="708"/>
      <c r="K439" s="522">
        <f aca="true" t="shared" si="155" ref="K439:S439">SUM(K440:K446)</f>
        <v>2360000</v>
      </c>
      <c r="L439" s="522">
        <f t="shared" si="155"/>
        <v>784549.25</v>
      </c>
      <c r="M439" s="365">
        <f t="shared" si="155"/>
        <v>2660000</v>
      </c>
      <c r="N439" s="68">
        <f t="shared" si="155"/>
        <v>0</v>
      </c>
      <c r="O439" s="68">
        <f t="shared" si="155"/>
        <v>0</v>
      </c>
      <c r="P439" s="68">
        <f t="shared" si="155"/>
        <v>0</v>
      </c>
      <c r="Q439" s="68">
        <f t="shared" si="155"/>
        <v>0</v>
      </c>
      <c r="R439" s="68">
        <f t="shared" si="155"/>
        <v>0</v>
      </c>
      <c r="S439" s="68">
        <f t="shared" si="155"/>
        <v>0</v>
      </c>
      <c r="T439" s="68">
        <f t="shared" si="139"/>
        <v>0</v>
      </c>
      <c r="U439" s="1048">
        <f t="shared" si="152"/>
        <v>2660000</v>
      </c>
      <c r="V439" s="811">
        <f t="shared" si="141"/>
        <v>2660000</v>
      </c>
      <c r="W439" s="1048">
        <f t="shared" si="142"/>
        <v>2660000</v>
      </c>
    </row>
    <row r="440" spans="2:23" s="342" customFormat="1" ht="12.75">
      <c r="B440" s="456"/>
      <c r="C440" s="457"/>
      <c r="D440" s="458"/>
      <c r="E440" s="457"/>
      <c r="F440" s="416">
        <v>291</v>
      </c>
      <c r="G440" s="459">
        <v>411</v>
      </c>
      <c r="H440" s="1263" t="s">
        <v>27</v>
      </c>
      <c r="I440" s="1264"/>
      <c r="J440" s="1265"/>
      <c r="K440" s="849">
        <v>540000</v>
      </c>
      <c r="L440" s="849">
        <v>190136.4</v>
      </c>
      <c r="M440" s="849">
        <v>540000</v>
      </c>
      <c r="N440" s="395">
        <v>0</v>
      </c>
      <c r="O440" s="395">
        <v>0</v>
      </c>
      <c r="P440" s="395">
        <v>0</v>
      </c>
      <c r="Q440" s="398">
        <v>0</v>
      </c>
      <c r="R440" s="392">
        <v>0</v>
      </c>
      <c r="S440" s="398">
        <v>0</v>
      </c>
      <c r="T440" s="401">
        <f t="shared" si="139"/>
        <v>0</v>
      </c>
      <c r="U440" s="818">
        <f t="shared" si="152"/>
        <v>540000</v>
      </c>
      <c r="V440" s="591">
        <f t="shared" si="141"/>
        <v>540000</v>
      </c>
      <c r="W440" s="818">
        <f t="shared" si="142"/>
        <v>540000</v>
      </c>
    </row>
    <row r="441" spans="2:23" s="342" customFormat="1" ht="12.75">
      <c r="B441" s="336"/>
      <c r="C441" s="343"/>
      <c r="D441" s="338"/>
      <c r="E441" s="348"/>
      <c r="F441" s="416">
        <v>292</v>
      </c>
      <c r="G441" s="428">
        <v>412</v>
      </c>
      <c r="H441" s="1263" t="s">
        <v>78</v>
      </c>
      <c r="I441" s="1264"/>
      <c r="J441" s="1265"/>
      <c r="K441" s="849">
        <v>100000</v>
      </c>
      <c r="L441" s="849">
        <v>30707.02</v>
      </c>
      <c r="M441" s="849">
        <v>100000</v>
      </c>
      <c r="N441" s="395">
        <v>0</v>
      </c>
      <c r="O441" s="395">
        <v>0</v>
      </c>
      <c r="P441" s="395">
        <v>0</v>
      </c>
      <c r="Q441" s="398">
        <v>0</v>
      </c>
      <c r="R441" s="392">
        <v>0</v>
      </c>
      <c r="S441" s="398">
        <v>0</v>
      </c>
      <c r="T441" s="401">
        <f t="shared" si="139"/>
        <v>0</v>
      </c>
      <c r="U441" s="818">
        <f t="shared" si="152"/>
        <v>100000</v>
      </c>
      <c r="V441" s="591">
        <f t="shared" si="141"/>
        <v>100000</v>
      </c>
      <c r="W441" s="818">
        <f t="shared" si="142"/>
        <v>100000</v>
      </c>
    </row>
    <row r="442" spans="2:23" s="342" customFormat="1" ht="12.75">
      <c r="B442" s="336"/>
      <c r="C442" s="343"/>
      <c r="D442" s="338"/>
      <c r="E442" s="348"/>
      <c r="F442" s="416">
        <v>293</v>
      </c>
      <c r="G442" s="428">
        <v>421</v>
      </c>
      <c r="H442" s="1263" t="s">
        <v>33</v>
      </c>
      <c r="I442" s="1264"/>
      <c r="J442" s="437"/>
      <c r="K442" s="870">
        <v>385000</v>
      </c>
      <c r="L442" s="870">
        <v>139456.83000000002</v>
      </c>
      <c r="M442" s="870">
        <v>385000</v>
      </c>
      <c r="N442" s="395">
        <v>0</v>
      </c>
      <c r="O442" s="395">
        <v>0</v>
      </c>
      <c r="P442" s="395">
        <v>0</v>
      </c>
      <c r="Q442" s="398">
        <v>0</v>
      </c>
      <c r="R442" s="392">
        <v>0</v>
      </c>
      <c r="S442" s="398">
        <v>0</v>
      </c>
      <c r="T442" s="401">
        <f t="shared" si="139"/>
        <v>0</v>
      </c>
      <c r="U442" s="818">
        <f t="shared" si="152"/>
        <v>385000</v>
      </c>
      <c r="V442" s="591">
        <f t="shared" si="141"/>
        <v>385000</v>
      </c>
      <c r="W442" s="818">
        <f t="shared" si="142"/>
        <v>385000</v>
      </c>
    </row>
    <row r="443" spans="2:23" s="342" customFormat="1" ht="12.75">
      <c r="B443" s="336"/>
      <c r="C443" s="343"/>
      <c r="D443" s="338"/>
      <c r="E443" s="348"/>
      <c r="F443" s="416">
        <v>294</v>
      </c>
      <c r="G443" s="428">
        <v>423</v>
      </c>
      <c r="H443" s="1299" t="s">
        <v>35</v>
      </c>
      <c r="I443" s="1300"/>
      <c r="J443" s="1301"/>
      <c r="K443" s="849">
        <v>350000</v>
      </c>
      <c r="L443" s="849">
        <v>46347</v>
      </c>
      <c r="M443" s="849">
        <v>500000</v>
      </c>
      <c r="N443" s="395">
        <v>0</v>
      </c>
      <c r="O443" s="395">
        <v>0</v>
      </c>
      <c r="P443" s="395">
        <v>0</v>
      </c>
      <c r="Q443" s="398">
        <v>0</v>
      </c>
      <c r="R443" s="392">
        <v>0</v>
      </c>
      <c r="S443" s="398">
        <v>0</v>
      </c>
      <c r="T443" s="401">
        <f t="shared" si="139"/>
        <v>0</v>
      </c>
      <c r="U443" s="818">
        <f t="shared" si="152"/>
        <v>500000</v>
      </c>
      <c r="V443" s="591">
        <f t="shared" si="141"/>
        <v>500000</v>
      </c>
      <c r="W443" s="818">
        <f t="shared" si="142"/>
        <v>500000</v>
      </c>
    </row>
    <row r="444" spans="2:23" ht="12.75" customHeight="1">
      <c r="B444" s="336"/>
      <c r="C444" s="343"/>
      <c r="D444" s="338"/>
      <c r="E444" s="348"/>
      <c r="F444" s="416">
        <v>295</v>
      </c>
      <c r="G444" s="428">
        <v>425</v>
      </c>
      <c r="H444" s="1263" t="s">
        <v>90</v>
      </c>
      <c r="I444" s="1264"/>
      <c r="J444" s="1265"/>
      <c r="K444" s="849">
        <v>210000</v>
      </c>
      <c r="L444" s="849">
        <v>198000</v>
      </c>
      <c r="M444" s="849">
        <v>410000</v>
      </c>
      <c r="N444" s="395">
        <v>0</v>
      </c>
      <c r="O444" s="395">
        <v>0</v>
      </c>
      <c r="P444" s="395">
        <v>0</v>
      </c>
      <c r="Q444" s="398">
        <v>0</v>
      </c>
      <c r="R444" s="392">
        <v>0</v>
      </c>
      <c r="S444" s="398">
        <v>0</v>
      </c>
      <c r="T444" s="401">
        <f t="shared" si="139"/>
        <v>0</v>
      </c>
      <c r="U444" s="818">
        <f t="shared" si="152"/>
        <v>410000</v>
      </c>
      <c r="V444" s="591">
        <f t="shared" si="141"/>
        <v>410000</v>
      </c>
      <c r="W444" s="818">
        <f t="shared" si="142"/>
        <v>410000</v>
      </c>
    </row>
    <row r="445" spans="2:23" ht="12.75">
      <c r="B445" s="336"/>
      <c r="C445" s="343"/>
      <c r="D445" s="338"/>
      <c r="E445" s="348"/>
      <c r="F445" s="416">
        <v>296</v>
      </c>
      <c r="G445" s="428">
        <v>426</v>
      </c>
      <c r="H445" s="366" t="s">
        <v>38</v>
      </c>
      <c r="I445" s="460"/>
      <c r="J445" s="437"/>
      <c r="K445" s="870">
        <v>525000</v>
      </c>
      <c r="L445" s="870">
        <v>179902</v>
      </c>
      <c r="M445" s="870">
        <v>475000</v>
      </c>
      <c r="N445" s="395">
        <v>0</v>
      </c>
      <c r="O445" s="395">
        <v>0</v>
      </c>
      <c r="P445" s="395">
        <v>0</v>
      </c>
      <c r="Q445" s="398">
        <v>0</v>
      </c>
      <c r="R445" s="392">
        <v>0</v>
      </c>
      <c r="S445" s="398">
        <v>0</v>
      </c>
      <c r="T445" s="401">
        <f t="shared" si="139"/>
        <v>0</v>
      </c>
      <c r="U445" s="818">
        <f t="shared" si="152"/>
        <v>475000</v>
      </c>
      <c r="V445" s="591">
        <f t="shared" si="141"/>
        <v>475000</v>
      </c>
      <c r="W445" s="818">
        <f t="shared" si="142"/>
        <v>475000</v>
      </c>
    </row>
    <row r="446" spans="2:23" s="342" customFormat="1" ht="12.75">
      <c r="B446" s="336"/>
      <c r="C446" s="343"/>
      <c r="D446" s="338"/>
      <c r="E446" s="348"/>
      <c r="F446" s="416">
        <v>297</v>
      </c>
      <c r="G446" s="428">
        <v>482</v>
      </c>
      <c r="H446" s="1263" t="s">
        <v>81</v>
      </c>
      <c r="I446" s="1264"/>
      <c r="J446" s="1264"/>
      <c r="K446" s="887">
        <v>250000</v>
      </c>
      <c r="L446" s="887">
        <v>0</v>
      </c>
      <c r="M446" s="887">
        <v>250000</v>
      </c>
      <c r="N446" s="388">
        <v>0</v>
      </c>
      <c r="O446" s="395">
        <v>0</v>
      </c>
      <c r="P446" s="395">
        <v>0</v>
      </c>
      <c r="Q446" s="398">
        <v>0</v>
      </c>
      <c r="R446" s="392">
        <v>0</v>
      </c>
      <c r="S446" s="398">
        <v>0</v>
      </c>
      <c r="T446" s="401">
        <f t="shared" si="139"/>
        <v>0</v>
      </c>
      <c r="U446" s="818">
        <f t="shared" si="152"/>
        <v>250000</v>
      </c>
      <c r="V446" s="591">
        <f t="shared" si="141"/>
        <v>250000</v>
      </c>
      <c r="W446" s="818">
        <f t="shared" si="142"/>
        <v>250000</v>
      </c>
    </row>
    <row r="447" spans="2:23" s="342" customFormat="1" ht="12.75">
      <c r="B447" s="442"/>
      <c r="C447" s="449" t="s">
        <v>1275</v>
      </c>
      <c r="D447" s="450"/>
      <c r="E447" s="451"/>
      <c r="F447" s="450"/>
      <c r="G447" s="452"/>
      <c r="H447" s="1290" t="s">
        <v>121</v>
      </c>
      <c r="I447" s="1291"/>
      <c r="J447" s="1291"/>
      <c r="K447" s="1019">
        <f>K450</f>
        <v>2397000</v>
      </c>
      <c r="L447" s="1019">
        <f>L450</f>
        <v>401502.33</v>
      </c>
      <c r="M447" s="1019">
        <f>M450</f>
        <v>2397000</v>
      </c>
      <c r="N447" s="407">
        <f aca="true" t="shared" si="156" ref="N447:S447">N450</f>
        <v>0</v>
      </c>
      <c r="O447" s="407">
        <f>O450</f>
        <v>0</v>
      </c>
      <c r="P447" s="407">
        <f t="shared" si="156"/>
        <v>0</v>
      </c>
      <c r="Q447" s="407">
        <f t="shared" si="156"/>
        <v>0</v>
      </c>
      <c r="R447" s="407">
        <f>R450</f>
        <v>0</v>
      </c>
      <c r="S447" s="455">
        <f t="shared" si="156"/>
        <v>0</v>
      </c>
      <c r="T447" s="454">
        <f t="shared" si="139"/>
        <v>0</v>
      </c>
      <c r="U447" s="1049">
        <f t="shared" si="152"/>
        <v>2397000</v>
      </c>
      <c r="V447" s="821">
        <f t="shared" si="141"/>
        <v>2397000</v>
      </c>
      <c r="W447" s="1049">
        <f t="shared" si="142"/>
        <v>2397000</v>
      </c>
    </row>
    <row r="448" spans="2:23" s="621" customFormat="1" ht="12.75">
      <c r="B448" s="617"/>
      <c r="C448" s="618"/>
      <c r="D448" s="594"/>
      <c r="E448" s="593" t="s">
        <v>279</v>
      </c>
      <c r="F448" s="594"/>
      <c r="G448" s="595"/>
      <c r="H448" s="1287" t="s">
        <v>280</v>
      </c>
      <c r="I448" s="1288"/>
      <c r="J448" s="1289"/>
      <c r="K448" s="847">
        <f aca="true" t="shared" si="157" ref="K448:S449">K449</f>
        <v>2397000</v>
      </c>
      <c r="L448" s="847">
        <f t="shared" si="157"/>
        <v>401502.33</v>
      </c>
      <c r="M448" s="847">
        <f t="shared" si="157"/>
        <v>2397000</v>
      </c>
      <c r="N448" s="619">
        <f t="shared" si="157"/>
        <v>0</v>
      </c>
      <c r="O448" s="619">
        <f t="shared" si="157"/>
        <v>0</v>
      </c>
      <c r="P448" s="619">
        <f t="shared" si="157"/>
        <v>0</v>
      </c>
      <c r="Q448" s="619">
        <f t="shared" si="157"/>
        <v>0</v>
      </c>
      <c r="R448" s="619">
        <f t="shared" si="157"/>
        <v>0</v>
      </c>
      <c r="S448" s="620">
        <f t="shared" si="157"/>
        <v>0</v>
      </c>
      <c r="T448" s="620">
        <f t="shared" si="139"/>
        <v>0</v>
      </c>
      <c r="U448" s="1027">
        <f t="shared" si="152"/>
        <v>2397000</v>
      </c>
      <c r="V448" s="822">
        <f t="shared" si="141"/>
        <v>2397000</v>
      </c>
      <c r="W448" s="822">
        <f t="shared" si="142"/>
        <v>2397000</v>
      </c>
    </row>
    <row r="449" spans="2:23" ht="12.75" customHeight="1">
      <c r="B449" s="270"/>
      <c r="C449" s="271"/>
      <c r="D449" s="412"/>
      <c r="E449" s="332" t="s">
        <v>292</v>
      </c>
      <c r="F449" s="412"/>
      <c r="G449" s="413"/>
      <c r="H449" s="1310" t="s">
        <v>1307</v>
      </c>
      <c r="I449" s="1311"/>
      <c r="J449" s="1312"/>
      <c r="K449" s="872">
        <f t="shared" si="157"/>
        <v>2397000</v>
      </c>
      <c r="L449" s="872">
        <f t="shared" si="157"/>
        <v>401502.33</v>
      </c>
      <c r="M449" s="872">
        <f t="shared" si="157"/>
        <v>2397000</v>
      </c>
      <c r="N449" s="276">
        <f t="shared" si="157"/>
        <v>0</v>
      </c>
      <c r="O449" s="276">
        <f t="shared" si="157"/>
        <v>0</v>
      </c>
      <c r="P449" s="276">
        <f t="shared" si="157"/>
        <v>0</v>
      </c>
      <c r="Q449" s="276">
        <f t="shared" si="157"/>
        <v>0</v>
      </c>
      <c r="R449" s="276">
        <f t="shared" si="157"/>
        <v>0</v>
      </c>
      <c r="S449" s="321">
        <f t="shared" si="157"/>
        <v>0</v>
      </c>
      <c r="T449" s="321">
        <f t="shared" si="139"/>
        <v>0</v>
      </c>
      <c r="U449" s="819">
        <f t="shared" si="152"/>
        <v>2397000</v>
      </c>
      <c r="V449" s="635">
        <f t="shared" si="141"/>
        <v>2397000</v>
      </c>
      <c r="W449" s="635">
        <f t="shared" si="142"/>
        <v>2397000</v>
      </c>
    </row>
    <row r="450" spans="2:23" ht="12" customHeight="1">
      <c r="B450" s="414"/>
      <c r="C450" s="415"/>
      <c r="D450" s="167" t="s">
        <v>273</v>
      </c>
      <c r="E450" s="58"/>
      <c r="F450" s="416"/>
      <c r="G450" s="417"/>
      <c r="H450" s="1385" t="s">
        <v>117</v>
      </c>
      <c r="I450" s="1386"/>
      <c r="J450" s="433"/>
      <c r="K450" s="890">
        <f aca="true" t="shared" si="158" ref="K450:S450">SUM(K451:K459)</f>
        <v>2397000</v>
      </c>
      <c r="L450" s="890">
        <f t="shared" si="158"/>
        <v>401502.33</v>
      </c>
      <c r="M450" s="890">
        <f t="shared" si="158"/>
        <v>2397000</v>
      </c>
      <c r="N450" s="684">
        <f t="shared" si="158"/>
        <v>0</v>
      </c>
      <c r="O450" s="684">
        <f t="shared" si="158"/>
        <v>0</v>
      </c>
      <c r="P450" s="684">
        <f t="shared" si="158"/>
        <v>0</v>
      </c>
      <c r="Q450" s="684">
        <f t="shared" si="158"/>
        <v>0</v>
      </c>
      <c r="R450" s="684">
        <f t="shared" si="158"/>
        <v>0</v>
      </c>
      <c r="S450" s="684">
        <f t="shared" si="158"/>
        <v>0</v>
      </c>
      <c r="T450" s="324">
        <f t="shared" si="139"/>
        <v>0</v>
      </c>
      <c r="U450" s="1048">
        <f t="shared" si="152"/>
        <v>2397000</v>
      </c>
      <c r="V450" s="811">
        <f t="shared" si="141"/>
        <v>2397000</v>
      </c>
      <c r="W450" s="1048">
        <f t="shared" si="142"/>
        <v>2397000</v>
      </c>
    </row>
    <row r="451" spans="2:23" ht="12.75">
      <c r="B451" s="414"/>
      <c r="C451" s="415"/>
      <c r="D451" s="58"/>
      <c r="E451" s="58"/>
      <c r="F451" s="1054">
        <v>298</v>
      </c>
      <c r="G451" s="339">
        <v>411</v>
      </c>
      <c r="H451" s="1398" t="s">
        <v>27</v>
      </c>
      <c r="I451" s="1399"/>
      <c r="J451" s="461"/>
      <c r="K451" s="887">
        <v>600000</v>
      </c>
      <c r="L451" s="887">
        <v>194207.63</v>
      </c>
      <c r="M451" s="887">
        <v>600000</v>
      </c>
      <c r="N451" s="388">
        <v>0</v>
      </c>
      <c r="O451" s="388">
        <v>0</v>
      </c>
      <c r="P451" s="388">
        <v>0</v>
      </c>
      <c r="Q451" s="388">
        <v>0</v>
      </c>
      <c r="R451" s="392">
        <v>0</v>
      </c>
      <c r="S451" s="401">
        <v>0</v>
      </c>
      <c r="T451" s="401">
        <f t="shared" si="139"/>
        <v>0</v>
      </c>
      <c r="U451" s="818">
        <f t="shared" si="152"/>
        <v>600000</v>
      </c>
      <c r="V451" s="763">
        <f t="shared" si="141"/>
        <v>600000</v>
      </c>
      <c r="W451" s="818">
        <f t="shared" si="142"/>
        <v>600000</v>
      </c>
    </row>
    <row r="452" spans="2:23" s="342" customFormat="1" ht="12.75">
      <c r="B452" s="414"/>
      <c r="C452" s="415"/>
      <c r="D452" s="58"/>
      <c r="E452" s="58"/>
      <c r="F452" s="465">
        <v>299</v>
      </c>
      <c r="G452" s="339">
        <v>412</v>
      </c>
      <c r="H452" s="1390" t="s">
        <v>78</v>
      </c>
      <c r="I452" s="1391"/>
      <c r="J452" s="1391"/>
      <c r="K452" s="1034">
        <v>100000</v>
      </c>
      <c r="L452" s="1034">
        <v>31364.52</v>
      </c>
      <c r="M452" s="1034">
        <v>100000</v>
      </c>
      <c r="N452" s="590">
        <v>0</v>
      </c>
      <c r="O452" s="388">
        <v>0</v>
      </c>
      <c r="P452" s="388">
        <v>0</v>
      </c>
      <c r="Q452" s="388">
        <v>0</v>
      </c>
      <c r="R452" s="392">
        <v>0</v>
      </c>
      <c r="S452" s="401">
        <v>0</v>
      </c>
      <c r="T452" s="401">
        <f t="shared" si="139"/>
        <v>0</v>
      </c>
      <c r="U452" s="818">
        <f t="shared" si="152"/>
        <v>100000</v>
      </c>
      <c r="V452" s="763">
        <f t="shared" si="141"/>
        <v>100000</v>
      </c>
      <c r="W452" s="818">
        <f t="shared" si="142"/>
        <v>100000</v>
      </c>
    </row>
    <row r="453" spans="2:23" s="342" customFormat="1" ht="12.75">
      <c r="B453" s="414"/>
      <c r="C453" s="415"/>
      <c r="D453" s="58"/>
      <c r="E453" s="58"/>
      <c r="F453" s="465" t="s">
        <v>1572</v>
      </c>
      <c r="G453" s="339">
        <v>416</v>
      </c>
      <c r="H453" s="1253" t="s">
        <v>1573</v>
      </c>
      <c r="I453" s="1253"/>
      <c r="J453" s="1253"/>
      <c r="K453" s="887">
        <v>77000</v>
      </c>
      <c r="L453" s="887">
        <v>77000</v>
      </c>
      <c r="M453" s="887">
        <v>80500</v>
      </c>
      <c r="N453" s="441">
        <v>0</v>
      </c>
      <c r="O453" s="441">
        <v>0</v>
      </c>
      <c r="P453" s="441">
        <v>0</v>
      </c>
      <c r="Q453" s="441">
        <v>0</v>
      </c>
      <c r="R453" s="441">
        <v>0</v>
      </c>
      <c r="S453" s="441">
        <v>0</v>
      </c>
      <c r="T453" s="401">
        <f t="shared" si="139"/>
        <v>0</v>
      </c>
      <c r="U453" s="818">
        <f>M453</f>
        <v>80500</v>
      </c>
      <c r="V453" s="763">
        <f>U453</f>
        <v>80500</v>
      </c>
      <c r="W453" s="818">
        <f>U453</f>
        <v>80500</v>
      </c>
    </row>
    <row r="454" spans="2:23" s="342" customFormat="1" ht="12.75">
      <c r="B454" s="336"/>
      <c r="C454" s="343"/>
      <c r="D454" s="338"/>
      <c r="E454" s="343"/>
      <c r="F454" s="465">
        <v>300</v>
      </c>
      <c r="G454" s="428">
        <v>421</v>
      </c>
      <c r="H454" s="1383" t="s">
        <v>33</v>
      </c>
      <c r="I454" s="1384"/>
      <c r="J454" s="462"/>
      <c r="K454" s="1196">
        <v>285000</v>
      </c>
      <c r="L454" s="1196">
        <v>47536.95</v>
      </c>
      <c r="M454" s="1196">
        <v>285000</v>
      </c>
      <c r="N454" s="389">
        <v>0</v>
      </c>
      <c r="O454" s="388">
        <v>0</v>
      </c>
      <c r="P454" s="395">
        <v>0</v>
      </c>
      <c r="Q454" s="398">
        <v>0</v>
      </c>
      <c r="R454" s="392">
        <v>0</v>
      </c>
      <c r="S454" s="398">
        <v>0</v>
      </c>
      <c r="T454" s="401">
        <f t="shared" si="139"/>
        <v>0</v>
      </c>
      <c r="U454" s="818">
        <f aca="true" t="shared" si="159" ref="U454:U463">M454+N454+O454+P454+Q454+R454+S454</f>
        <v>285000</v>
      </c>
      <c r="V454" s="591">
        <f t="shared" si="141"/>
        <v>285000</v>
      </c>
      <c r="W454" s="818">
        <f t="shared" si="142"/>
        <v>285000</v>
      </c>
    </row>
    <row r="455" spans="2:23" s="342" customFormat="1" ht="12.75">
      <c r="B455" s="336"/>
      <c r="C455" s="343"/>
      <c r="D455" s="338"/>
      <c r="E455" s="343"/>
      <c r="F455" s="465">
        <v>301</v>
      </c>
      <c r="G455" s="428">
        <v>423</v>
      </c>
      <c r="H455" s="366" t="s">
        <v>35</v>
      </c>
      <c r="I455" s="419"/>
      <c r="J455" s="437"/>
      <c r="K455" s="865">
        <v>460000</v>
      </c>
      <c r="L455" s="865">
        <v>35700</v>
      </c>
      <c r="M455" s="865">
        <v>462000</v>
      </c>
      <c r="N455" s="388">
        <v>0</v>
      </c>
      <c r="O455" s="388">
        <v>0</v>
      </c>
      <c r="P455" s="395">
        <v>0</v>
      </c>
      <c r="Q455" s="398">
        <v>0</v>
      </c>
      <c r="R455" s="392">
        <v>0</v>
      </c>
      <c r="S455" s="398">
        <v>0</v>
      </c>
      <c r="T455" s="401">
        <f t="shared" si="139"/>
        <v>0</v>
      </c>
      <c r="U455" s="818">
        <f t="shared" si="159"/>
        <v>462000</v>
      </c>
      <c r="V455" s="591">
        <f t="shared" si="141"/>
        <v>462000</v>
      </c>
      <c r="W455" s="818">
        <f t="shared" si="142"/>
        <v>462000</v>
      </c>
    </row>
    <row r="456" spans="2:23" s="342" customFormat="1" ht="12.75">
      <c r="B456" s="546"/>
      <c r="C456" s="467"/>
      <c r="D456" s="547"/>
      <c r="E456" s="467"/>
      <c r="F456" s="465">
        <v>302</v>
      </c>
      <c r="G456" s="516">
        <v>425</v>
      </c>
      <c r="H456" s="1395" t="s">
        <v>90</v>
      </c>
      <c r="I456" s="1396"/>
      <c r="J456" s="1397"/>
      <c r="K456" s="850">
        <v>520000</v>
      </c>
      <c r="L456" s="850">
        <v>0</v>
      </c>
      <c r="M456" s="850">
        <v>520000</v>
      </c>
      <c r="N456" s="514">
        <v>0</v>
      </c>
      <c r="O456" s="514">
        <v>0</v>
      </c>
      <c r="P456" s="514">
        <v>0</v>
      </c>
      <c r="Q456" s="435">
        <v>0</v>
      </c>
      <c r="R456" s="719">
        <v>0</v>
      </c>
      <c r="S456" s="398">
        <v>0</v>
      </c>
      <c r="T456" s="401">
        <f aca="true" t="shared" si="160" ref="T456:T497">SUM(N456:S456)</f>
        <v>0</v>
      </c>
      <c r="U456" s="818">
        <f t="shared" si="159"/>
        <v>520000</v>
      </c>
      <c r="V456" s="591">
        <f t="shared" si="141"/>
        <v>520000</v>
      </c>
      <c r="W456" s="818">
        <f t="shared" si="142"/>
        <v>520000</v>
      </c>
    </row>
    <row r="457" spans="2:23" s="342" customFormat="1" ht="12.75">
      <c r="B457" s="469"/>
      <c r="C457" s="469"/>
      <c r="D457" s="515"/>
      <c r="E457" s="469"/>
      <c r="F457" s="465">
        <v>303</v>
      </c>
      <c r="G457" s="466">
        <v>426</v>
      </c>
      <c r="H457" s="1253" t="s">
        <v>38</v>
      </c>
      <c r="I457" s="1253"/>
      <c r="J457" s="1253"/>
      <c r="K457" s="993">
        <v>130000</v>
      </c>
      <c r="L457" s="993">
        <v>1360</v>
      </c>
      <c r="M457" s="993">
        <v>130000</v>
      </c>
      <c r="N457" s="441">
        <v>0</v>
      </c>
      <c r="O457" s="441">
        <v>0</v>
      </c>
      <c r="P457" s="441">
        <v>0</v>
      </c>
      <c r="Q457" s="441">
        <v>0</v>
      </c>
      <c r="R457" s="597">
        <v>0</v>
      </c>
      <c r="S457" s="639">
        <v>0</v>
      </c>
      <c r="T457" s="639">
        <f t="shared" si="160"/>
        <v>0</v>
      </c>
      <c r="U457" s="818">
        <f t="shared" si="159"/>
        <v>130000</v>
      </c>
      <c r="V457" s="591">
        <f t="shared" si="141"/>
        <v>130000</v>
      </c>
      <c r="W457" s="818">
        <f t="shared" si="142"/>
        <v>130000</v>
      </c>
    </row>
    <row r="458" spans="2:23" s="342" customFormat="1" ht="12.75">
      <c r="B458" s="469"/>
      <c r="C458" s="469"/>
      <c r="D458" s="515"/>
      <c r="E458" s="469"/>
      <c r="F458" s="465">
        <v>304</v>
      </c>
      <c r="G458" s="466">
        <v>482</v>
      </c>
      <c r="H458" s="1392" t="s">
        <v>81</v>
      </c>
      <c r="I458" s="1392"/>
      <c r="J458" s="1392"/>
      <c r="K458" s="887">
        <v>25000</v>
      </c>
      <c r="L458" s="887">
        <v>14333.23</v>
      </c>
      <c r="M458" s="887">
        <v>19500</v>
      </c>
      <c r="N458" s="441">
        <v>0</v>
      </c>
      <c r="O458" s="441">
        <v>0</v>
      </c>
      <c r="P458" s="441">
        <v>0</v>
      </c>
      <c r="Q458" s="441">
        <v>0</v>
      </c>
      <c r="R458" s="597">
        <v>0</v>
      </c>
      <c r="S458" s="715">
        <v>0</v>
      </c>
      <c r="T458" s="712">
        <f t="shared" si="160"/>
        <v>0</v>
      </c>
      <c r="U458" s="818">
        <f t="shared" si="159"/>
        <v>19500</v>
      </c>
      <c r="V458" s="591">
        <f t="shared" si="141"/>
        <v>19500</v>
      </c>
      <c r="W458" s="818">
        <f t="shared" si="142"/>
        <v>19500</v>
      </c>
    </row>
    <row r="459" spans="2:23" s="342" customFormat="1" ht="12.75">
      <c r="B459" s="469"/>
      <c r="C459" s="469"/>
      <c r="D459" s="515"/>
      <c r="E459" s="469"/>
      <c r="F459" s="465">
        <v>305</v>
      </c>
      <c r="G459" s="466">
        <v>513</v>
      </c>
      <c r="H459" s="1253" t="s">
        <v>1459</v>
      </c>
      <c r="I459" s="1253"/>
      <c r="J459" s="1253"/>
      <c r="K459" s="887">
        <v>200000</v>
      </c>
      <c r="L459" s="887">
        <v>0</v>
      </c>
      <c r="M459" s="887">
        <v>200000</v>
      </c>
      <c r="N459" s="441">
        <v>0</v>
      </c>
      <c r="O459" s="441">
        <v>0</v>
      </c>
      <c r="P459" s="441">
        <v>0</v>
      </c>
      <c r="Q459" s="441">
        <v>0</v>
      </c>
      <c r="R459" s="441">
        <v>0</v>
      </c>
      <c r="S459" s="715">
        <v>0</v>
      </c>
      <c r="T459" s="712">
        <f t="shared" si="160"/>
        <v>0</v>
      </c>
      <c r="U459" s="818">
        <f t="shared" si="159"/>
        <v>200000</v>
      </c>
      <c r="V459" s="591">
        <f t="shared" si="141"/>
        <v>200000</v>
      </c>
      <c r="W459" s="818">
        <f t="shared" si="142"/>
        <v>200000</v>
      </c>
    </row>
    <row r="460" spans="2:23" s="342" customFormat="1" ht="12.75">
      <c r="B460" s="676"/>
      <c r="C460" s="677" t="s">
        <v>1276</v>
      </c>
      <c r="D460" s="678"/>
      <c r="E460" s="676"/>
      <c r="F460" s="678"/>
      <c r="G460" s="678"/>
      <c r="H460" s="1387" t="s">
        <v>122</v>
      </c>
      <c r="I460" s="1388"/>
      <c r="J460" s="1389"/>
      <c r="K460" s="888">
        <f>K463</f>
        <v>2050000</v>
      </c>
      <c r="L460" s="888">
        <f>L463</f>
        <v>477277.97</v>
      </c>
      <c r="M460" s="888">
        <f>M463</f>
        <v>2050000</v>
      </c>
      <c r="N460" s="679">
        <f aca="true" t="shared" si="161" ref="N460:S460">N463</f>
        <v>0</v>
      </c>
      <c r="O460" s="680">
        <f>O463</f>
        <v>0</v>
      </c>
      <c r="P460" s="681">
        <f t="shared" si="161"/>
        <v>0</v>
      </c>
      <c r="Q460" s="681">
        <f t="shared" si="161"/>
        <v>100000</v>
      </c>
      <c r="R460" s="681">
        <f>R463</f>
        <v>0</v>
      </c>
      <c r="S460" s="682">
        <f t="shared" si="161"/>
        <v>0</v>
      </c>
      <c r="T460" s="683">
        <f t="shared" si="160"/>
        <v>100000</v>
      </c>
      <c r="U460" s="1049">
        <f t="shared" si="159"/>
        <v>2150000</v>
      </c>
      <c r="V460" s="821">
        <f t="shared" si="141"/>
        <v>2150000</v>
      </c>
      <c r="W460" s="1049">
        <f t="shared" si="142"/>
        <v>2150000</v>
      </c>
    </row>
    <row r="461" spans="2:23" s="621" customFormat="1" ht="12.75">
      <c r="B461" s="663"/>
      <c r="C461" s="664"/>
      <c r="D461" s="665"/>
      <c r="E461" s="666" t="s">
        <v>279</v>
      </c>
      <c r="F461" s="665"/>
      <c r="G461" s="665"/>
      <c r="H461" s="1393" t="s">
        <v>280</v>
      </c>
      <c r="I461" s="1394"/>
      <c r="J461" s="1394"/>
      <c r="K461" s="889">
        <f aca="true" t="shared" si="162" ref="K461:S462">K462</f>
        <v>2050000</v>
      </c>
      <c r="L461" s="889">
        <f t="shared" si="162"/>
        <v>477277.97</v>
      </c>
      <c r="M461" s="889">
        <f t="shared" si="162"/>
        <v>2050000</v>
      </c>
      <c r="N461" s="667">
        <f t="shared" si="162"/>
        <v>0</v>
      </c>
      <c r="O461" s="619">
        <f t="shared" si="162"/>
        <v>0</v>
      </c>
      <c r="P461" s="619">
        <f t="shared" si="162"/>
        <v>0</v>
      </c>
      <c r="Q461" s="619">
        <f t="shared" si="162"/>
        <v>100000</v>
      </c>
      <c r="R461" s="619">
        <f t="shared" si="162"/>
        <v>0</v>
      </c>
      <c r="S461" s="620">
        <f t="shared" si="162"/>
        <v>0</v>
      </c>
      <c r="T461" s="620">
        <f t="shared" si="160"/>
        <v>100000</v>
      </c>
      <c r="U461" s="819">
        <f t="shared" si="159"/>
        <v>2150000</v>
      </c>
      <c r="V461" s="822">
        <f t="shared" si="141"/>
        <v>2150000</v>
      </c>
      <c r="W461" s="822">
        <f t="shared" si="142"/>
        <v>2150000</v>
      </c>
    </row>
    <row r="462" spans="2:23" s="342" customFormat="1" ht="12.75" customHeight="1">
      <c r="B462" s="270"/>
      <c r="C462" s="271"/>
      <c r="D462" s="412"/>
      <c r="E462" s="332" t="s">
        <v>292</v>
      </c>
      <c r="F462" s="412"/>
      <c r="G462" s="413"/>
      <c r="H462" s="1310" t="s">
        <v>1307</v>
      </c>
      <c r="I462" s="1311"/>
      <c r="J462" s="1312"/>
      <c r="K462" s="1016">
        <f t="shared" si="162"/>
        <v>2050000</v>
      </c>
      <c r="L462" s="1016">
        <f t="shared" si="162"/>
        <v>477277.97</v>
      </c>
      <c r="M462" s="1016">
        <f t="shared" si="162"/>
        <v>2050000</v>
      </c>
      <c r="N462" s="276">
        <f t="shared" si="162"/>
        <v>0</v>
      </c>
      <c r="O462" s="276">
        <f t="shared" si="162"/>
        <v>0</v>
      </c>
      <c r="P462" s="276">
        <f t="shared" si="162"/>
        <v>0</v>
      </c>
      <c r="Q462" s="276">
        <f t="shared" si="162"/>
        <v>100000</v>
      </c>
      <c r="R462" s="276">
        <f t="shared" si="162"/>
        <v>0</v>
      </c>
      <c r="S462" s="321">
        <f t="shared" si="162"/>
        <v>0</v>
      </c>
      <c r="T462" s="321">
        <f t="shared" si="160"/>
        <v>100000</v>
      </c>
      <c r="U462" s="819">
        <f t="shared" si="159"/>
        <v>2150000</v>
      </c>
      <c r="V462" s="635">
        <f t="shared" si="141"/>
        <v>2150000</v>
      </c>
      <c r="W462" s="635">
        <f t="shared" si="142"/>
        <v>2150000</v>
      </c>
    </row>
    <row r="463" spans="2:23" s="342" customFormat="1" ht="12.75">
      <c r="B463" s="463"/>
      <c r="C463" s="464"/>
      <c r="D463" s="167" t="s">
        <v>273</v>
      </c>
      <c r="E463" s="273"/>
      <c r="F463" s="1054"/>
      <c r="G463" s="1083"/>
      <c r="H463" s="1313" t="s">
        <v>117</v>
      </c>
      <c r="I463" s="1314"/>
      <c r="J463" s="1314"/>
      <c r="K463" s="812">
        <f>SUM(K464:K472)</f>
        <v>2050000</v>
      </c>
      <c r="L463" s="812">
        <f>SUM(L464:L472)</f>
        <v>477277.97</v>
      </c>
      <c r="M463" s="812">
        <f aca="true" t="shared" si="163" ref="M463:S463">SUM(M464:M472)</f>
        <v>2050000</v>
      </c>
      <c r="N463" s="812">
        <f t="shared" si="163"/>
        <v>0</v>
      </c>
      <c r="O463" s="812">
        <f t="shared" si="163"/>
        <v>0</v>
      </c>
      <c r="P463" s="812">
        <f t="shared" si="163"/>
        <v>0</v>
      </c>
      <c r="Q463" s="812">
        <f t="shared" si="163"/>
        <v>100000</v>
      </c>
      <c r="R463" s="812">
        <f t="shared" si="163"/>
        <v>0</v>
      </c>
      <c r="S463" s="812">
        <f t="shared" si="163"/>
        <v>0</v>
      </c>
      <c r="T463" s="360">
        <f t="shared" si="160"/>
        <v>100000</v>
      </c>
      <c r="U463" s="1048">
        <f t="shared" si="159"/>
        <v>2150000</v>
      </c>
      <c r="V463" s="811">
        <f t="shared" si="141"/>
        <v>2150000</v>
      </c>
      <c r="W463" s="1048">
        <f t="shared" si="142"/>
        <v>2150000</v>
      </c>
    </row>
    <row r="464" spans="2:23" s="342" customFormat="1" ht="12.75">
      <c r="B464" s="464"/>
      <c r="C464" s="464"/>
      <c r="D464" s="1063"/>
      <c r="E464" s="273"/>
      <c r="F464" s="416">
        <v>306</v>
      </c>
      <c r="G464" s="465">
        <v>411</v>
      </c>
      <c r="H464" s="1082" t="s">
        <v>27</v>
      </c>
      <c r="I464" s="1082"/>
      <c r="J464" s="1084"/>
      <c r="K464" s="523">
        <v>600000</v>
      </c>
      <c r="L464" s="523">
        <v>188771.93</v>
      </c>
      <c r="M464" s="523">
        <v>575000</v>
      </c>
      <c r="N464" s="1069">
        <v>0</v>
      </c>
      <c r="O464" s="1069">
        <v>0</v>
      </c>
      <c r="P464" s="1069">
        <v>0</v>
      </c>
      <c r="Q464" s="1069">
        <v>0</v>
      </c>
      <c r="R464" s="1069">
        <v>0</v>
      </c>
      <c r="S464" s="1069">
        <v>0</v>
      </c>
      <c r="T464" s="817">
        <f t="shared" si="160"/>
        <v>0</v>
      </c>
      <c r="U464" s="1066">
        <f aca="true" t="shared" si="164" ref="U464:U476">M464+N464+O464+P464+Q464+R464+S464</f>
        <v>575000</v>
      </c>
      <c r="V464" s="742">
        <f aca="true" t="shared" si="165" ref="V464:V498">U464</f>
        <v>575000</v>
      </c>
      <c r="W464" s="818">
        <f aca="true" t="shared" si="166" ref="W464:W498">U464</f>
        <v>575000</v>
      </c>
    </row>
    <row r="465" spans="2:23" s="342" customFormat="1" ht="12.75">
      <c r="B465" s="464"/>
      <c r="C465" s="464"/>
      <c r="D465" s="1063"/>
      <c r="E465" s="273"/>
      <c r="F465" s="416">
        <v>307</v>
      </c>
      <c r="G465" s="465">
        <v>412</v>
      </c>
      <c r="H465" s="1082" t="s">
        <v>78</v>
      </c>
      <c r="I465" s="1082"/>
      <c r="J465" s="1082"/>
      <c r="K465" s="523">
        <v>90000</v>
      </c>
      <c r="L465" s="523">
        <v>30486.679999999997</v>
      </c>
      <c r="M465" s="523">
        <v>93500</v>
      </c>
      <c r="N465" s="1069">
        <v>0</v>
      </c>
      <c r="O465" s="1069">
        <v>0</v>
      </c>
      <c r="P465" s="1069">
        <v>0</v>
      </c>
      <c r="Q465" s="1069">
        <v>0</v>
      </c>
      <c r="R465" s="1069">
        <v>0</v>
      </c>
      <c r="S465" s="1069">
        <v>0</v>
      </c>
      <c r="T465" s="817">
        <f t="shared" si="160"/>
        <v>0</v>
      </c>
      <c r="U465" s="1066">
        <f t="shared" si="164"/>
        <v>93500</v>
      </c>
      <c r="V465" s="742">
        <f t="shared" si="165"/>
        <v>93500</v>
      </c>
      <c r="W465" s="818">
        <f t="shared" si="166"/>
        <v>93500</v>
      </c>
    </row>
    <row r="466" spans="2:23" s="342" customFormat="1" ht="12.75">
      <c r="B466" s="469"/>
      <c r="C466" s="469"/>
      <c r="D466" s="1064"/>
      <c r="E466" s="274"/>
      <c r="F466" s="416">
        <v>308</v>
      </c>
      <c r="G466" s="466">
        <v>421</v>
      </c>
      <c r="H466" s="1253" t="s">
        <v>33</v>
      </c>
      <c r="I466" s="1253"/>
      <c r="J466" s="1253"/>
      <c r="K466" s="887">
        <v>300000</v>
      </c>
      <c r="L466" s="887">
        <v>121451.26000000001</v>
      </c>
      <c r="M466" s="887">
        <v>370000</v>
      </c>
      <c r="N466" s="389">
        <v>0</v>
      </c>
      <c r="O466" s="425">
        <v>0</v>
      </c>
      <c r="P466" s="425">
        <v>0</v>
      </c>
      <c r="Q466" s="399">
        <v>50000</v>
      </c>
      <c r="R466" s="1065">
        <v>0</v>
      </c>
      <c r="S466" s="399">
        <v>0</v>
      </c>
      <c r="T466" s="406">
        <f t="shared" si="160"/>
        <v>50000</v>
      </c>
      <c r="U466" s="1066">
        <f t="shared" si="164"/>
        <v>420000</v>
      </c>
      <c r="V466" s="1067">
        <f t="shared" si="165"/>
        <v>420000</v>
      </c>
      <c r="W466" s="1066">
        <f t="shared" si="166"/>
        <v>420000</v>
      </c>
    </row>
    <row r="467" spans="2:23" ht="12.75">
      <c r="B467" s="336"/>
      <c r="C467" s="343"/>
      <c r="D467" s="56"/>
      <c r="E467" s="274"/>
      <c r="F467" s="465">
        <v>309</v>
      </c>
      <c r="G467" s="428">
        <v>423</v>
      </c>
      <c r="H467" s="1263" t="s">
        <v>35</v>
      </c>
      <c r="I467" s="1264"/>
      <c r="J467" s="1265"/>
      <c r="K467" s="849">
        <v>295000</v>
      </c>
      <c r="L467" s="849">
        <v>34000</v>
      </c>
      <c r="M467" s="849">
        <v>300000</v>
      </c>
      <c r="N467" s="395">
        <v>0</v>
      </c>
      <c r="O467" s="395">
        <v>0</v>
      </c>
      <c r="P467" s="395">
        <v>0</v>
      </c>
      <c r="Q467" s="395">
        <v>0</v>
      </c>
      <c r="R467" s="392">
        <v>0</v>
      </c>
      <c r="S467" s="398">
        <v>0</v>
      </c>
      <c r="T467" s="401">
        <f t="shared" si="160"/>
        <v>0</v>
      </c>
      <c r="U467" s="818">
        <f t="shared" si="164"/>
        <v>300000</v>
      </c>
      <c r="V467" s="591">
        <f t="shared" si="165"/>
        <v>300000</v>
      </c>
      <c r="W467" s="818">
        <f t="shared" si="166"/>
        <v>300000</v>
      </c>
    </row>
    <row r="468" spans="2:23" ht="12.75">
      <c r="B468" s="336"/>
      <c r="C468" s="343"/>
      <c r="D468" s="56"/>
      <c r="E468" s="274"/>
      <c r="F468" s="465">
        <v>310</v>
      </c>
      <c r="G468" s="428">
        <v>424</v>
      </c>
      <c r="H468" s="1263" t="s">
        <v>36</v>
      </c>
      <c r="I468" s="1264"/>
      <c r="J468" s="1265"/>
      <c r="K468" s="849">
        <v>300000</v>
      </c>
      <c r="L468" s="849">
        <v>0</v>
      </c>
      <c r="M468" s="849">
        <v>190000</v>
      </c>
      <c r="N468" s="395">
        <v>0</v>
      </c>
      <c r="O468" s="395">
        <v>0</v>
      </c>
      <c r="P468" s="395">
        <v>0</v>
      </c>
      <c r="Q468" s="395">
        <v>0</v>
      </c>
      <c r="R468" s="392">
        <v>0</v>
      </c>
      <c r="S468" s="398">
        <v>0</v>
      </c>
      <c r="T468" s="401">
        <f t="shared" si="160"/>
        <v>0</v>
      </c>
      <c r="U468" s="818">
        <f t="shared" si="164"/>
        <v>190000</v>
      </c>
      <c r="V468" s="591">
        <f t="shared" si="165"/>
        <v>190000</v>
      </c>
      <c r="W468" s="818">
        <f t="shared" si="166"/>
        <v>190000</v>
      </c>
    </row>
    <row r="469" spans="2:23" ht="12.75">
      <c r="B469" s="336"/>
      <c r="C469" s="343"/>
      <c r="D469" s="56"/>
      <c r="E469" s="274"/>
      <c r="F469" s="465">
        <v>311</v>
      </c>
      <c r="G469" s="428">
        <v>425</v>
      </c>
      <c r="H469" s="1263" t="s">
        <v>90</v>
      </c>
      <c r="I469" s="1264"/>
      <c r="J469" s="1265"/>
      <c r="K469" s="849">
        <v>100000</v>
      </c>
      <c r="L469" s="849">
        <v>0</v>
      </c>
      <c r="M469" s="849">
        <v>100000</v>
      </c>
      <c r="N469" s="395">
        <v>0</v>
      </c>
      <c r="O469" s="395">
        <v>0</v>
      </c>
      <c r="P469" s="395">
        <v>0</v>
      </c>
      <c r="Q469" s="395">
        <v>0</v>
      </c>
      <c r="R469" s="392">
        <v>0</v>
      </c>
      <c r="S469" s="398">
        <v>0</v>
      </c>
      <c r="T469" s="401">
        <f t="shared" si="160"/>
        <v>0</v>
      </c>
      <c r="U469" s="818">
        <f t="shared" si="164"/>
        <v>100000</v>
      </c>
      <c r="V469" s="591">
        <f t="shared" si="165"/>
        <v>100000</v>
      </c>
      <c r="W469" s="818">
        <f t="shared" si="166"/>
        <v>100000</v>
      </c>
    </row>
    <row r="470" spans="2:23" ht="12.75">
      <c r="B470" s="336"/>
      <c r="C470" s="343"/>
      <c r="D470" s="56"/>
      <c r="E470" s="274"/>
      <c r="F470" s="465">
        <v>312</v>
      </c>
      <c r="G470" s="428">
        <v>426</v>
      </c>
      <c r="H470" s="1299" t="s">
        <v>38</v>
      </c>
      <c r="I470" s="1300"/>
      <c r="J470" s="1301"/>
      <c r="K470" s="849">
        <v>140000</v>
      </c>
      <c r="L470" s="849">
        <v>9680.1</v>
      </c>
      <c r="M470" s="849">
        <v>145000</v>
      </c>
      <c r="N470" s="395">
        <v>0</v>
      </c>
      <c r="O470" s="395">
        <v>0</v>
      </c>
      <c r="P470" s="395">
        <v>0</v>
      </c>
      <c r="Q470" s="395">
        <v>50000</v>
      </c>
      <c r="R470" s="392">
        <v>0</v>
      </c>
      <c r="S470" s="398">
        <v>0</v>
      </c>
      <c r="T470" s="401">
        <f t="shared" si="160"/>
        <v>50000</v>
      </c>
      <c r="U470" s="818">
        <f t="shared" si="164"/>
        <v>195000</v>
      </c>
      <c r="V470" s="591">
        <f t="shared" si="165"/>
        <v>195000</v>
      </c>
      <c r="W470" s="818">
        <f t="shared" si="166"/>
        <v>195000</v>
      </c>
    </row>
    <row r="471" spans="2:23" ht="12.75">
      <c r="B471" s="336"/>
      <c r="C471" s="343"/>
      <c r="D471" s="56"/>
      <c r="E471" s="274"/>
      <c r="F471" s="465">
        <v>313</v>
      </c>
      <c r="G471" s="428">
        <v>482</v>
      </c>
      <c r="H471" s="1263" t="s">
        <v>81</v>
      </c>
      <c r="I471" s="1264"/>
      <c r="J471" s="1265"/>
      <c r="K471" s="849">
        <v>210000</v>
      </c>
      <c r="L471" s="849">
        <v>92888</v>
      </c>
      <c r="M471" s="850">
        <v>211500</v>
      </c>
      <c r="N471" s="395">
        <v>0</v>
      </c>
      <c r="O471" s="395">
        <v>0</v>
      </c>
      <c r="P471" s="395">
        <v>0</v>
      </c>
      <c r="Q471" s="398">
        <v>0</v>
      </c>
      <c r="R471" s="392">
        <v>0</v>
      </c>
      <c r="S471" s="398">
        <v>0</v>
      </c>
      <c r="T471" s="401">
        <f t="shared" si="160"/>
        <v>0</v>
      </c>
      <c r="U471" s="818">
        <f t="shared" si="164"/>
        <v>211500</v>
      </c>
      <c r="V471" s="591">
        <f t="shared" si="165"/>
        <v>211500</v>
      </c>
      <c r="W471" s="818">
        <f t="shared" si="166"/>
        <v>211500</v>
      </c>
    </row>
    <row r="472" spans="2:23" ht="12.75">
      <c r="B472" s="336"/>
      <c r="C472" s="343"/>
      <c r="D472" s="56"/>
      <c r="E472" s="274"/>
      <c r="F472" s="465">
        <v>314</v>
      </c>
      <c r="G472" s="418">
        <v>512</v>
      </c>
      <c r="H472" s="1299" t="s">
        <v>82</v>
      </c>
      <c r="I472" s="1300"/>
      <c r="J472" s="1301"/>
      <c r="K472" s="849">
        <v>15000</v>
      </c>
      <c r="L472" s="852">
        <v>0</v>
      </c>
      <c r="M472" s="887">
        <v>65000</v>
      </c>
      <c r="N472" s="388">
        <v>0</v>
      </c>
      <c r="O472" s="395">
        <v>0</v>
      </c>
      <c r="P472" s="395">
        <v>0</v>
      </c>
      <c r="Q472" s="398">
        <v>0</v>
      </c>
      <c r="R472" s="392">
        <v>0</v>
      </c>
      <c r="S472" s="398">
        <v>0</v>
      </c>
      <c r="T472" s="401">
        <f t="shared" si="160"/>
        <v>0</v>
      </c>
      <c r="U472" s="818">
        <f t="shared" si="164"/>
        <v>65000</v>
      </c>
      <c r="V472" s="591">
        <f t="shared" si="165"/>
        <v>65000</v>
      </c>
      <c r="W472" s="818">
        <f t="shared" si="166"/>
        <v>65000</v>
      </c>
    </row>
    <row r="473" spans="2:23" ht="12.75">
      <c r="B473" s="442"/>
      <c r="C473" s="449" t="s">
        <v>1277</v>
      </c>
      <c r="D473" s="450"/>
      <c r="E473" s="451"/>
      <c r="F473" s="450"/>
      <c r="G473" s="452"/>
      <c r="H473" s="1290" t="s">
        <v>123</v>
      </c>
      <c r="I473" s="1291"/>
      <c r="J473" s="1291"/>
      <c r="K473" s="885">
        <f>K476</f>
        <v>1380000</v>
      </c>
      <c r="L473" s="885">
        <f>L476</f>
        <v>423838.00999999995</v>
      </c>
      <c r="M473" s="1004">
        <f>M476</f>
        <v>1387000</v>
      </c>
      <c r="N473" s="1003">
        <f aca="true" t="shared" si="167" ref="N473:S473">N476</f>
        <v>0</v>
      </c>
      <c r="O473" s="407">
        <f>O476</f>
        <v>0</v>
      </c>
      <c r="P473" s="407">
        <f t="shared" si="167"/>
        <v>0</v>
      </c>
      <c r="Q473" s="407">
        <f t="shared" si="167"/>
        <v>900000</v>
      </c>
      <c r="R473" s="407">
        <f>R476</f>
        <v>0</v>
      </c>
      <c r="S473" s="455">
        <f t="shared" si="167"/>
        <v>0</v>
      </c>
      <c r="T473" s="454">
        <f t="shared" si="160"/>
        <v>900000</v>
      </c>
      <c r="U473" s="1049">
        <f t="shared" si="164"/>
        <v>2287000</v>
      </c>
      <c r="V473" s="821">
        <f t="shared" si="165"/>
        <v>2287000</v>
      </c>
      <c r="W473" s="1049">
        <f t="shared" si="166"/>
        <v>2287000</v>
      </c>
    </row>
    <row r="474" spans="2:23" s="668" customFormat="1" ht="12.75">
      <c r="B474" s="617"/>
      <c r="C474" s="618"/>
      <c r="D474" s="594"/>
      <c r="E474" s="593" t="s">
        <v>279</v>
      </c>
      <c r="F474" s="594"/>
      <c r="G474" s="595"/>
      <c r="H474" s="1287" t="s">
        <v>280</v>
      </c>
      <c r="I474" s="1288"/>
      <c r="J474" s="1289"/>
      <c r="K474" s="847">
        <f aca="true" t="shared" si="168" ref="K474:S475">K475</f>
        <v>1380000</v>
      </c>
      <c r="L474" s="1001">
        <f t="shared" si="168"/>
        <v>423838.00999999995</v>
      </c>
      <c r="M474" s="889">
        <f t="shared" si="168"/>
        <v>1387000</v>
      </c>
      <c r="N474" s="619">
        <f t="shared" si="168"/>
        <v>0</v>
      </c>
      <c r="O474" s="619">
        <f t="shared" si="168"/>
        <v>0</v>
      </c>
      <c r="P474" s="619">
        <f t="shared" si="168"/>
        <v>0</v>
      </c>
      <c r="Q474" s="619">
        <f t="shared" si="168"/>
        <v>900000</v>
      </c>
      <c r="R474" s="619">
        <f t="shared" si="168"/>
        <v>0</v>
      </c>
      <c r="S474" s="620">
        <f t="shared" si="168"/>
        <v>0</v>
      </c>
      <c r="T474" s="620">
        <f t="shared" si="160"/>
        <v>900000</v>
      </c>
      <c r="U474" s="819">
        <f t="shared" si="164"/>
        <v>2287000</v>
      </c>
      <c r="V474" s="822">
        <f t="shared" si="165"/>
        <v>2287000</v>
      </c>
      <c r="W474" s="822">
        <f t="shared" si="166"/>
        <v>2287000</v>
      </c>
    </row>
    <row r="475" spans="2:23" ht="12.75" customHeight="1">
      <c r="B475" s="270"/>
      <c r="C475" s="271"/>
      <c r="D475" s="412"/>
      <c r="E475" s="332" t="s">
        <v>292</v>
      </c>
      <c r="F475" s="412"/>
      <c r="G475" s="413"/>
      <c r="H475" s="1310" t="s">
        <v>1307</v>
      </c>
      <c r="I475" s="1311"/>
      <c r="J475" s="1312"/>
      <c r="K475" s="872">
        <f t="shared" si="168"/>
        <v>1380000</v>
      </c>
      <c r="L475" s="1002">
        <f t="shared" si="168"/>
        <v>423838.00999999995</v>
      </c>
      <c r="M475" s="1005">
        <f t="shared" si="168"/>
        <v>1387000</v>
      </c>
      <c r="N475" s="276">
        <f t="shared" si="168"/>
        <v>0</v>
      </c>
      <c r="O475" s="276">
        <f t="shared" si="168"/>
        <v>0</v>
      </c>
      <c r="P475" s="276">
        <f t="shared" si="168"/>
        <v>0</v>
      </c>
      <c r="Q475" s="276">
        <f t="shared" si="168"/>
        <v>900000</v>
      </c>
      <c r="R475" s="276">
        <f t="shared" si="168"/>
        <v>0</v>
      </c>
      <c r="S475" s="321">
        <f t="shared" si="168"/>
        <v>0</v>
      </c>
      <c r="T475" s="321">
        <f t="shared" si="160"/>
        <v>900000</v>
      </c>
      <c r="U475" s="819">
        <f t="shared" si="164"/>
        <v>2287000</v>
      </c>
      <c r="V475" s="635">
        <f t="shared" si="165"/>
        <v>2287000</v>
      </c>
      <c r="W475" s="635">
        <f t="shared" si="166"/>
        <v>2287000</v>
      </c>
    </row>
    <row r="476" spans="2:23" s="23" customFormat="1" ht="12.75">
      <c r="B476" s="529"/>
      <c r="C476" s="530"/>
      <c r="D476" s="167" t="s">
        <v>273</v>
      </c>
      <c r="E476" s="58"/>
      <c r="F476" s="531"/>
      <c r="G476" s="532"/>
      <c r="H476" s="1296" t="s">
        <v>117</v>
      </c>
      <c r="I476" s="1297"/>
      <c r="J476" s="708"/>
      <c r="K476" s="522">
        <f>SUM(K477:K485)</f>
        <v>1380000</v>
      </c>
      <c r="L476" s="522">
        <f>SUM(L477:L485)</f>
        <v>423838.00999999995</v>
      </c>
      <c r="M476" s="713">
        <f>SUM(M477:M485)</f>
        <v>1387000</v>
      </c>
      <c r="N476" s="65">
        <f aca="true" t="shared" si="169" ref="N476:S476">SUM(N480:N485)</f>
        <v>0</v>
      </c>
      <c r="O476" s="65">
        <f t="shared" si="169"/>
        <v>0</v>
      </c>
      <c r="P476" s="65">
        <f t="shared" si="169"/>
        <v>0</v>
      </c>
      <c r="Q476" s="556">
        <f t="shared" si="169"/>
        <v>900000</v>
      </c>
      <c r="R476" s="556">
        <f t="shared" si="169"/>
        <v>0</v>
      </c>
      <c r="S476" s="556">
        <f t="shared" si="169"/>
        <v>0</v>
      </c>
      <c r="T476" s="324">
        <f t="shared" si="160"/>
        <v>900000</v>
      </c>
      <c r="U476" s="1048">
        <f t="shared" si="164"/>
        <v>2287000</v>
      </c>
      <c r="V476" s="811">
        <f t="shared" si="165"/>
        <v>2287000</v>
      </c>
      <c r="W476" s="1048">
        <f t="shared" si="166"/>
        <v>2287000</v>
      </c>
    </row>
    <row r="477" spans="2:23" ht="12.75">
      <c r="B477" s="414"/>
      <c r="C477" s="415"/>
      <c r="D477" s="167"/>
      <c r="E477" s="58"/>
      <c r="F477" s="416">
        <v>315</v>
      </c>
      <c r="G477" s="417">
        <v>411</v>
      </c>
      <c r="H477" s="334" t="s">
        <v>27</v>
      </c>
      <c r="I477" s="426"/>
      <c r="J477" s="429"/>
      <c r="K477" s="862">
        <v>580000</v>
      </c>
      <c r="L477" s="886">
        <v>188771.93</v>
      </c>
      <c r="M477" s="706">
        <v>574000</v>
      </c>
      <c r="N477" s="685">
        <v>0</v>
      </c>
      <c r="O477" s="685">
        <v>0</v>
      </c>
      <c r="P477" s="685">
        <v>0</v>
      </c>
      <c r="Q477" s="608">
        <v>0</v>
      </c>
      <c r="R477" s="608">
        <v>0</v>
      </c>
      <c r="S477" s="608">
        <v>0</v>
      </c>
      <c r="T477" s="1068">
        <f t="shared" si="160"/>
        <v>0</v>
      </c>
      <c r="U477" s="818">
        <f aca="true" t="shared" si="170" ref="U477:U497">M477+N477+O477+P477+Q477+R477+S477</f>
        <v>574000</v>
      </c>
      <c r="V477" s="742">
        <f t="shared" si="165"/>
        <v>574000</v>
      </c>
      <c r="W477" s="818">
        <f t="shared" si="166"/>
        <v>574000</v>
      </c>
    </row>
    <row r="478" spans="2:23" ht="12.75">
      <c r="B478" s="414"/>
      <c r="C478" s="415"/>
      <c r="D478" s="167"/>
      <c r="E478" s="58"/>
      <c r="F478" s="416">
        <v>316</v>
      </c>
      <c r="G478" s="417">
        <v>412</v>
      </c>
      <c r="H478" s="334" t="s">
        <v>78</v>
      </c>
      <c r="I478" s="426"/>
      <c r="J478" s="429"/>
      <c r="K478" s="862">
        <v>80000</v>
      </c>
      <c r="L478" s="886">
        <v>30486.679999999997</v>
      </c>
      <c r="M478" s="706">
        <v>93000</v>
      </c>
      <c r="N478" s="685">
        <v>0</v>
      </c>
      <c r="O478" s="685">
        <v>0</v>
      </c>
      <c r="P478" s="685">
        <v>0</v>
      </c>
      <c r="Q478" s="608">
        <v>0</v>
      </c>
      <c r="R478" s="608">
        <v>0</v>
      </c>
      <c r="S478" s="608">
        <v>0</v>
      </c>
      <c r="T478" s="1068">
        <f t="shared" si="160"/>
        <v>0</v>
      </c>
      <c r="U478" s="818">
        <f t="shared" si="170"/>
        <v>93000</v>
      </c>
      <c r="V478" s="742">
        <f t="shared" si="165"/>
        <v>93000</v>
      </c>
      <c r="W478" s="818">
        <f t="shared" si="166"/>
        <v>93000</v>
      </c>
    </row>
    <row r="479" spans="2:23" ht="12.75">
      <c r="B479" s="414"/>
      <c r="C479" s="415"/>
      <c r="D479" s="167"/>
      <c r="E479" s="58"/>
      <c r="F479" s="416">
        <v>317</v>
      </c>
      <c r="G479" s="417">
        <v>415</v>
      </c>
      <c r="H479" s="334" t="s">
        <v>31</v>
      </c>
      <c r="I479" s="426"/>
      <c r="J479" s="429"/>
      <c r="K479" s="862">
        <v>180000</v>
      </c>
      <c r="L479" s="886">
        <v>46800</v>
      </c>
      <c r="M479" s="706">
        <v>180000</v>
      </c>
      <c r="N479" s="706">
        <v>0</v>
      </c>
      <c r="O479" s="706">
        <v>0</v>
      </c>
      <c r="P479" s="706">
        <v>0</v>
      </c>
      <c r="Q479" s="706">
        <v>0</v>
      </c>
      <c r="R479" s="706">
        <v>0</v>
      </c>
      <c r="S479" s="706">
        <v>0</v>
      </c>
      <c r="T479" s="706">
        <f t="shared" si="160"/>
        <v>0</v>
      </c>
      <c r="U479" s="706">
        <v>180000</v>
      </c>
      <c r="V479" s="742">
        <f t="shared" si="165"/>
        <v>180000</v>
      </c>
      <c r="W479" s="818">
        <f t="shared" si="166"/>
        <v>180000</v>
      </c>
    </row>
    <row r="480" spans="2:23" ht="12.75">
      <c r="B480" s="336"/>
      <c r="C480" s="343"/>
      <c r="D480" s="56"/>
      <c r="E480" s="167"/>
      <c r="F480" s="416">
        <v>318</v>
      </c>
      <c r="G480" s="428">
        <v>421</v>
      </c>
      <c r="H480" s="1263" t="s">
        <v>33</v>
      </c>
      <c r="I480" s="1264"/>
      <c r="J480" s="437"/>
      <c r="K480" s="870">
        <v>43000</v>
      </c>
      <c r="L480" s="438">
        <v>15562.61</v>
      </c>
      <c r="M480" s="993">
        <v>66000</v>
      </c>
      <c r="N480" s="388">
        <v>0</v>
      </c>
      <c r="O480" s="514">
        <v>0</v>
      </c>
      <c r="P480" s="514">
        <v>0</v>
      </c>
      <c r="Q480" s="1035">
        <v>50000</v>
      </c>
      <c r="R480" s="1070">
        <v>0</v>
      </c>
      <c r="S480" s="1071">
        <v>0</v>
      </c>
      <c r="T480" s="639">
        <f t="shared" si="160"/>
        <v>50000</v>
      </c>
      <c r="U480" s="818">
        <f t="shared" si="170"/>
        <v>116000</v>
      </c>
      <c r="V480" s="591">
        <f t="shared" si="165"/>
        <v>116000</v>
      </c>
      <c r="W480" s="818">
        <f t="shared" si="166"/>
        <v>116000</v>
      </c>
    </row>
    <row r="481" spans="2:23" ht="12.75">
      <c r="B481" s="336"/>
      <c r="C481" s="343"/>
      <c r="D481" s="56"/>
      <c r="E481" s="167"/>
      <c r="F481" s="416">
        <v>319</v>
      </c>
      <c r="G481" s="428">
        <v>422</v>
      </c>
      <c r="H481" s="1263" t="s">
        <v>34</v>
      </c>
      <c r="I481" s="1264"/>
      <c r="J481" s="437"/>
      <c r="K481" s="870">
        <v>20000</v>
      </c>
      <c r="L481" s="438">
        <v>4693</v>
      </c>
      <c r="M481" s="993">
        <v>4700</v>
      </c>
      <c r="N481" s="401">
        <v>0</v>
      </c>
      <c r="O481" s="441">
        <v>0</v>
      </c>
      <c r="P481" s="441">
        <v>0</v>
      </c>
      <c r="Q481" s="441">
        <v>192000</v>
      </c>
      <c r="R481" s="597">
        <v>0</v>
      </c>
      <c r="S481" s="441">
        <v>0</v>
      </c>
      <c r="T481" s="712">
        <f t="shared" si="160"/>
        <v>192000</v>
      </c>
      <c r="U481" s="818">
        <f t="shared" si="170"/>
        <v>196700</v>
      </c>
      <c r="V481" s="591">
        <f t="shared" si="165"/>
        <v>196700</v>
      </c>
      <c r="W481" s="818">
        <f t="shared" si="166"/>
        <v>196700</v>
      </c>
    </row>
    <row r="482" spans="2:23" ht="12.75">
      <c r="B482" s="336"/>
      <c r="C482" s="343"/>
      <c r="D482" s="56"/>
      <c r="E482" s="167"/>
      <c r="F482" s="416">
        <v>320</v>
      </c>
      <c r="G482" s="428">
        <v>423</v>
      </c>
      <c r="H482" s="1263" t="s">
        <v>35</v>
      </c>
      <c r="I482" s="1264"/>
      <c r="J482" s="437"/>
      <c r="K482" s="870">
        <v>220000</v>
      </c>
      <c r="L482" s="438">
        <v>34190.2</v>
      </c>
      <c r="M482" s="993">
        <v>168000</v>
      </c>
      <c r="N482" s="401">
        <v>0</v>
      </c>
      <c r="O482" s="441">
        <v>0</v>
      </c>
      <c r="P482" s="441">
        <v>0</v>
      </c>
      <c r="Q482" s="441">
        <v>0</v>
      </c>
      <c r="R482" s="597">
        <v>0</v>
      </c>
      <c r="S482" s="441">
        <v>0</v>
      </c>
      <c r="T482" s="712">
        <f t="shared" si="160"/>
        <v>0</v>
      </c>
      <c r="U482" s="818">
        <f t="shared" si="170"/>
        <v>168000</v>
      </c>
      <c r="V482" s="591">
        <f t="shared" si="165"/>
        <v>168000</v>
      </c>
      <c r="W482" s="818">
        <f t="shared" si="166"/>
        <v>168000</v>
      </c>
    </row>
    <row r="483" spans="1:23" ht="12.75">
      <c r="A483" s="335" t="s">
        <v>1475</v>
      </c>
      <c r="B483" s="336"/>
      <c r="C483" s="343"/>
      <c r="D483" s="56"/>
      <c r="E483" s="167"/>
      <c r="F483" s="416">
        <v>321</v>
      </c>
      <c r="G483" s="428">
        <v>425</v>
      </c>
      <c r="H483" s="1263" t="s">
        <v>90</v>
      </c>
      <c r="I483" s="1264"/>
      <c r="J483" s="1265"/>
      <c r="K483" s="849">
        <v>50000</v>
      </c>
      <c r="L483" s="852">
        <v>0</v>
      </c>
      <c r="M483" s="887">
        <v>10000</v>
      </c>
      <c r="N483" s="401">
        <v>0</v>
      </c>
      <c r="O483" s="441">
        <v>0</v>
      </c>
      <c r="P483" s="441">
        <v>0</v>
      </c>
      <c r="Q483" s="441">
        <v>400000</v>
      </c>
      <c r="R483" s="597">
        <v>0</v>
      </c>
      <c r="S483" s="441">
        <v>0</v>
      </c>
      <c r="T483" s="712">
        <f t="shared" si="160"/>
        <v>400000</v>
      </c>
      <c r="U483" s="818">
        <f t="shared" si="170"/>
        <v>410000</v>
      </c>
      <c r="V483" s="591">
        <f t="shared" si="165"/>
        <v>410000</v>
      </c>
      <c r="W483" s="818">
        <f t="shared" si="166"/>
        <v>410000</v>
      </c>
    </row>
    <row r="484" spans="2:23" ht="12.75">
      <c r="B484" s="336"/>
      <c r="C484" s="343"/>
      <c r="D484" s="56"/>
      <c r="E484" s="167"/>
      <c r="F484" s="416">
        <v>322</v>
      </c>
      <c r="G484" s="428">
        <v>426</v>
      </c>
      <c r="H484" s="366" t="s">
        <v>38</v>
      </c>
      <c r="I484" s="460"/>
      <c r="J484" s="437"/>
      <c r="K484" s="870">
        <v>106000</v>
      </c>
      <c r="L484" s="438">
        <v>36436.3</v>
      </c>
      <c r="M484" s="993">
        <v>218300</v>
      </c>
      <c r="N484" s="401">
        <v>0</v>
      </c>
      <c r="O484" s="441">
        <v>0</v>
      </c>
      <c r="P484" s="441">
        <v>0</v>
      </c>
      <c r="Q484" s="441">
        <v>158000</v>
      </c>
      <c r="R484" s="597">
        <v>0</v>
      </c>
      <c r="S484" s="441">
        <v>0</v>
      </c>
      <c r="T484" s="712">
        <f t="shared" si="160"/>
        <v>158000</v>
      </c>
      <c r="U484" s="818">
        <f t="shared" si="170"/>
        <v>376300</v>
      </c>
      <c r="V484" s="591">
        <f t="shared" si="165"/>
        <v>376300</v>
      </c>
      <c r="W484" s="818">
        <f t="shared" si="166"/>
        <v>376300</v>
      </c>
    </row>
    <row r="485" spans="2:23" ht="12.75">
      <c r="B485" s="336"/>
      <c r="C485" s="343"/>
      <c r="D485" s="56"/>
      <c r="E485" s="167"/>
      <c r="F485" s="416">
        <v>323</v>
      </c>
      <c r="G485" s="428">
        <v>482</v>
      </c>
      <c r="H485" s="1263" t="s">
        <v>81</v>
      </c>
      <c r="I485" s="1264"/>
      <c r="J485" s="1265"/>
      <c r="K485" s="849">
        <v>101000</v>
      </c>
      <c r="L485" s="852">
        <v>66897.29</v>
      </c>
      <c r="M485" s="887">
        <v>73000</v>
      </c>
      <c r="N485" s="401">
        <v>0</v>
      </c>
      <c r="O485" s="441">
        <v>0</v>
      </c>
      <c r="P485" s="441">
        <v>0</v>
      </c>
      <c r="Q485" s="441">
        <v>100000</v>
      </c>
      <c r="R485" s="597">
        <v>0</v>
      </c>
      <c r="S485" s="441">
        <v>0</v>
      </c>
      <c r="T485" s="712">
        <f t="shared" si="160"/>
        <v>100000</v>
      </c>
      <c r="U485" s="818">
        <f t="shared" si="170"/>
        <v>173000</v>
      </c>
      <c r="V485" s="591">
        <f t="shared" si="165"/>
        <v>173000</v>
      </c>
      <c r="W485" s="818">
        <f t="shared" si="166"/>
        <v>173000</v>
      </c>
    </row>
    <row r="486" spans="2:23" ht="12.75">
      <c r="B486" s="442"/>
      <c r="C486" s="449" t="s">
        <v>1278</v>
      </c>
      <c r="D486" s="450"/>
      <c r="E486" s="451"/>
      <c r="F486" s="450"/>
      <c r="G486" s="452"/>
      <c r="H486" s="1290" t="s">
        <v>124</v>
      </c>
      <c r="I486" s="1291"/>
      <c r="J486" s="1291"/>
      <c r="K486" s="885">
        <f>K489</f>
        <v>2250000</v>
      </c>
      <c r="L486" s="885">
        <f>L489</f>
        <v>560269.6699999999</v>
      </c>
      <c r="M486" s="1004">
        <f>M489</f>
        <v>2306536</v>
      </c>
      <c r="N486" s="1003">
        <f aca="true" t="shared" si="171" ref="N486:S486">N489</f>
        <v>0</v>
      </c>
      <c r="O486" s="576">
        <f>O489</f>
        <v>0</v>
      </c>
      <c r="P486" s="576">
        <f t="shared" si="171"/>
        <v>739044</v>
      </c>
      <c r="Q486" s="576">
        <f t="shared" si="171"/>
        <v>200000</v>
      </c>
      <c r="R486" s="576">
        <f>R489</f>
        <v>0</v>
      </c>
      <c r="S486" s="689">
        <f t="shared" si="171"/>
        <v>0</v>
      </c>
      <c r="T486" s="690">
        <f t="shared" si="160"/>
        <v>939044</v>
      </c>
      <c r="U486" s="1049">
        <f t="shared" si="170"/>
        <v>3245580</v>
      </c>
      <c r="V486" s="821">
        <f t="shared" si="165"/>
        <v>3245580</v>
      </c>
      <c r="W486" s="1049">
        <f t="shared" si="166"/>
        <v>3245580</v>
      </c>
    </row>
    <row r="487" spans="2:23" s="668" customFormat="1" ht="12.75">
      <c r="B487" s="617"/>
      <c r="C487" s="618"/>
      <c r="D487" s="594"/>
      <c r="E487" s="593" t="s">
        <v>279</v>
      </c>
      <c r="F487" s="594"/>
      <c r="G487" s="595"/>
      <c r="H487" s="1302" t="s">
        <v>280</v>
      </c>
      <c r="I487" s="1303"/>
      <c r="J487" s="1304"/>
      <c r="K487" s="868">
        <f aca="true" t="shared" si="172" ref="K487:S488">K488</f>
        <v>2250000</v>
      </c>
      <c r="L487" s="996">
        <f t="shared" si="172"/>
        <v>560269.6699999999</v>
      </c>
      <c r="M487" s="994">
        <f t="shared" si="172"/>
        <v>2306536</v>
      </c>
      <c r="N487" s="619">
        <f t="shared" si="172"/>
        <v>0</v>
      </c>
      <c r="O487" s="619">
        <f t="shared" si="172"/>
        <v>0</v>
      </c>
      <c r="P487" s="619">
        <f t="shared" si="172"/>
        <v>739044</v>
      </c>
      <c r="Q487" s="619">
        <f t="shared" si="172"/>
        <v>200000</v>
      </c>
      <c r="R487" s="619">
        <f t="shared" si="172"/>
        <v>0</v>
      </c>
      <c r="S487" s="620">
        <f t="shared" si="172"/>
        <v>0</v>
      </c>
      <c r="T487" s="620">
        <f t="shared" si="160"/>
        <v>939044</v>
      </c>
      <c r="U487" s="819">
        <f t="shared" si="170"/>
        <v>3245580</v>
      </c>
      <c r="V487" s="822">
        <f t="shared" si="165"/>
        <v>3245580</v>
      </c>
      <c r="W487" s="822">
        <f t="shared" si="166"/>
        <v>3245580</v>
      </c>
    </row>
    <row r="488" spans="2:23" ht="12.75" customHeight="1">
      <c r="B488" s="270"/>
      <c r="C488" s="271"/>
      <c r="D488" s="412"/>
      <c r="E488" s="332" t="s">
        <v>292</v>
      </c>
      <c r="F488" s="412"/>
      <c r="G488" s="413"/>
      <c r="H488" s="1310" t="s">
        <v>1307</v>
      </c>
      <c r="I488" s="1311"/>
      <c r="J488" s="1312"/>
      <c r="K488" s="872">
        <f t="shared" si="172"/>
        <v>2250000</v>
      </c>
      <c r="L488" s="1002">
        <f t="shared" si="172"/>
        <v>560269.6699999999</v>
      </c>
      <c r="M488" s="1005">
        <f t="shared" si="172"/>
        <v>2306536</v>
      </c>
      <c r="N488" s="275">
        <f t="shared" si="172"/>
        <v>0</v>
      </c>
      <c r="O488" s="275">
        <f t="shared" si="172"/>
        <v>0</v>
      </c>
      <c r="P488" s="275">
        <f t="shared" si="172"/>
        <v>739044</v>
      </c>
      <c r="Q488" s="275">
        <f t="shared" si="172"/>
        <v>200000</v>
      </c>
      <c r="R488" s="275">
        <f t="shared" si="172"/>
        <v>0</v>
      </c>
      <c r="S488" s="328">
        <f t="shared" si="172"/>
        <v>0</v>
      </c>
      <c r="T488" s="328">
        <f t="shared" si="160"/>
        <v>939044</v>
      </c>
      <c r="U488" s="819">
        <f t="shared" si="170"/>
        <v>3245580</v>
      </c>
      <c r="V488" s="635">
        <f t="shared" si="165"/>
        <v>3245580</v>
      </c>
      <c r="W488" s="635">
        <f t="shared" si="166"/>
        <v>3245580</v>
      </c>
    </row>
    <row r="489" spans="2:23" s="23" customFormat="1" ht="12.75">
      <c r="B489" s="529"/>
      <c r="C489" s="530"/>
      <c r="D489" s="167" t="s">
        <v>273</v>
      </c>
      <c r="E489" s="58"/>
      <c r="F489" s="531"/>
      <c r="G489" s="532"/>
      <c r="H489" s="1296" t="s">
        <v>117</v>
      </c>
      <c r="I489" s="1297"/>
      <c r="J489" s="708"/>
      <c r="K489" s="522">
        <f aca="true" t="shared" si="173" ref="K489:S489">SUM(K490:K497)</f>
        <v>2250000</v>
      </c>
      <c r="L489" s="800">
        <f t="shared" si="173"/>
        <v>560269.6699999999</v>
      </c>
      <c r="M489" s="713">
        <f t="shared" si="173"/>
        <v>2306536</v>
      </c>
      <c r="N489" s="68">
        <f t="shared" si="173"/>
        <v>0</v>
      </c>
      <c r="O489" s="55">
        <f t="shared" si="173"/>
        <v>0</v>
      </c>
      <c r="P489" s="55">
        <f t="shared" si="173"/>
        <v>739044</v>
      </c>
      <c r="Q489" s="55">
        <f t="shared" si="173"/>
        <v>200000</v>
      </c>
      <c r="R489" s="55">
        <f t="shared" si="173"/>
        <v>0</v>
      </c>
      <c r="S489" s="165">
        <f t="shared" si="173"/>
        <v>0</v>
      </c>
      <c r="T489" s="324">
        <f t="shared" si="160"/>
        <v>939044</v>
      </c>
      <c r="U489" s="1048">
        <f t="shared" si="170"/>
        <v>3245580</v>
      </c>
      <c r="V489" s="811">
        <f t="shared" si="165"/>
        <v>3245580</v>
      </c>
      <c r="W489" s="1048">
        <f t="shared" si="166"/>
        <v>3245580</v>
      </c>
    </row>
    <row r="490" spans="2:23" ht="12.75">
      <c r="B490" s="456"/>
      <c r="C490" s="457"/>
      <c r="D490" s="458"/>
      <c r="E490" s="457"/>
      <c r="F490" s="382">
        <v>324</v>
      </c>
      <c r="G490" s="459">
        <v>411</v>
      </c>
      <c r="H490" s="1257" t="s">
        <v>27</v>
      </c>
      <c r="I490" s="1258"/>
      <c r="J490" s="1259"/>
      <c r="K490" s="723">
        <v>529700</v>
      </c>
      <c r="L490" s="723">
        <v>189675.84</v>
      </c>
      <c r="M490" s="358">
        <v>580700</v>
      </c>
      <c r="N490" s="395">
        <v>0</v>
      </c>
      <c r="O490" s="395">
        <v>0</v>
      </c>
      <c r="P490" s="395">
        <v>0</v>
      </c>
      <c r="Q490" s="398">
        <v>0</v>
      </c>
      <c r="R490" s="392">
        <v>0</v>
      </c>
      <c r="S490" s="398">
        <v>0</v>
      </c>
      <c r="T490" s="401">
        <f t="shared" si="160"/>
        <v>0</v>
      </c>
      <c r="U490" s="818">
        <f t="shared" si="170"/>
        <v>580700</v>
      </c>
      <c r="V490" s="591">
        <f t="shared" si="165"/>
        <v>580700</v>
      </c>
      <c r="W490" s="818">
        <f t="shared" si="166"/>
        <v>580700</v>
      </c>
    </row>
    <row r="491" spans="2:23" ht="12.75">
      <c r="B491" s="336"/>
      <c r="C491" s="467"/>
      <c r="D491" s="338"/>
      <c r="E491" s="348"/>
      <c r="F491" s="382">
        <v>325</v>
      </c>
      <c r="G491" s="428">
        <v>412</v>
      </c>
      <c r="H491" s="1257" t="s">
        <v>78</v>
      </c>
      <c r="I491" s="1258"/>
      <c r="J491" s="1259"/>
      <c r="K491" s="871">
        <v>88464</v>
      </c>
      <c r="L491" s="871">
        <v>30632.65</v>
      </c>
      <c r="M491" s="871">
        <v>94000</v>
      </c>
      <c r="N491" s="395">
        <v>0</v>
      </c>
      <c r="O491" s="395">
        <v>0</v>
      </c>
      <c r="P491" s="395">
        <v>0</v>
      </c>
      <c r="Q491" s="398">
        <v>0</v>
      </c>
      <c r="R491" s="392">
        <v>0</v>
      </c>
      <c r="S491" s="398">
        <v>0</v>
      </c>
      <c r="T491" s="401">
        <f t="shared" si="160"/>
        <v>0</v>
      </c>
      <c r="U491" s="818">
        <f t="shared" si="170"/>
        <v>94000</v>
      </c>
      <c r="V491" s="591">
        <f t="shared" si="165"/>
        <v>94000</v>
      </c>
      <c r="W491" s="818">
        <f t="shared" si="166"/>
        <v>94000</v>
      </c>
    </row>
    <row r="492" spans="2:23" ht="12.75">
      <c r="B492" s="468"/>
      <c r="C492" s="469"/>
      <c r="D492" s="61"/>
      <c r="E492" s="269"/>
      <c r="F492" s="382">
        <v>326</v>
      </c>
      <c r="G492" s="428">
        <v>421</v>
      </c>
      <c r="H492" s="386" t="s">
        <v>125</v>
      </c>
      <c r="I492" s="423"/>
      <c r="J492" s="999"/>
      <c r="K492" s="706">
        <v>210000</v>
      </c>
      <c r="L492" s="706">
        <v>68480.97</v>
      </c>
      <c r="M492" s="706">
        <v>141000</v>
      </c>
      <c r="N492" s="388">
        <v>0</v>
      </c>
      <c r="O492" s="395">
        <v>0</v>
      </c>
      <c r="P492" s="395">
        <v>0</v>
      </c>
      <c r="Q492" s="398">
        <v>0</v>
      </c>
      <c r="R492" s="392">
        <v>0</v>
      </c>
      <c r="S492" s="398">
        <v>0</v>
      </c>
      <c r="T492" s="401">
        <f t="shared" si="160"/>
        <v>0</v>
      </c>
      <c r="U492" s="818">
        <f t="shared" si="170"/>
        <v>141000</v>
      </c>
      <c r="V492" s="591">
        <f t="shared" si="165"/>
        <v>141000</v>
      </c>
      <c r="W492" s="818">
        <f t="shared" si="166"/>
        <v>141000</v>
      </c>
    </row>
    <row r="493" spans="2:23" ht="12.75">
      <c r="B493" s="470"/>
      <c r="C493" s="471"/>
      <c r="D493" s="62"/>
      <c r="E493" s="269"/>
      <c r="F493" s="382">
        <v>327</v>
      </c>
      <c r="G493" s="428">
        <v>423</v>
      </c>
      <c r="H493" s="386" t="s">
        <v>35</v>
      </c>
      <c r="I493" s="423"/>
      <c r="J493" s="999"/>
      <c r="K493" s="706">
        <v>255000</v>
      </c>
      <c r="L493" s="706">
        <v>39000</v>
      </c>
      <c r="M493" s="706">
        <v>324000</v>
      </c>
      <c r="N493" s="388">
        <v>0</v>
      </c>
      <c r="O493" s="395">
        <v>0</v>
      </c>
      <c r="P493" s="395">
        <v>729044</v>
      </c>
      <c r="Q493" s="398">
        <v>0</v>
      </c>
      <c r="R493" s="392">
        <v>0</v>
      </c>
      <c r="S493" s="398">
        <v>0</v>
      </c>
      <c r="T493" s="401">
        <f t="shared" si="160"/>
        <v>729044</v>
      </c>
      <c r="U493" s="818">
        <f t="shared" si="170"/>
        <v>1053044</v>
      </c>
      <c r="V493" s="591">
        <f t="shared" si="165"/>
        <v>1053044</v>
      </c>
      <c r="W493" s="818">
        <f t="shared" si="166"/>
        <v>1053044</v>
      </c>
    </row>
    <row r="494" spans="2:23" ht="12.75">
      <c r="B494" s="470"/>
      <c r="C494" s="471"/>
      <c r="D494" s="62"/>
      <c r="E494" s="269"/>
      <c r="F494" s="382">
        <v>328</v>
      </c>
      <c r="G494" s="428">
        <v>424</v>
      </c>
      <c r="H494" s="1257" t="s">
        <v>36</v>
      </c>
      <c r="I494" s="1258"/>
      <c r="J494" s="1258"/>
      <c r="K494" s="523">
        <v>27000</v>
      </c>
      <c r="L494" s="523">
        <v>0</v>
      </c>
      <c r="M494" s="523">
        <v>27000</v>
      </c>
      <c r="N494" s="388">
        <v>0</v>
      </c>
      <c r="O494" s="395">
        <v>0</v>
      </c>
      <c r="P494" s="395">
        <v>0</v>
      </c>
      <c r="Q494" s="395">
        <v>0</v>
      </c>
      <c r="R494" s="395">
        <v>0</v>
      </c>
      <c r="S494" s="398">
        <v>0</v>
      </c>
      <c r="T494" s="401">
        <f t="shared" si="160"/>
        <v>0</v>
      </c>
      <c r="U494" s="818">
        <f t="shared" si="170"/>
        <v>27000</v>
      </c>
      <c r="V494" s="591">
        <f t="shared" si="165"/>
        <v>27000</v>
      </c>
      <c r="W494" s="818">
        <f t="shared" si="166"/>
        <v>27000</v>
      </c>
    </row>
    <row r="495" spans="2:23" ht="12.75">
      <c r="B495" s="470"/>
      <c r="C495" s="471"/>
      <c r="D495" s="62"/>
      <c r="E495" s="269"/>
      <c r="F495" s="382">
        <v>329</v>
      </c>
      <c r="G495" s="516">
        <v>425</v>
      </c>
      <c r="H495" s="1308" t="s">
        <v>90</v>
      </c>
      <c r="I495" s="1309"/>
      <c r="J495" s="1309"/>
      <c r="K495" s="523">
        <v>73000</v>
      </c>
      <c r="L495" s="523">
        <v>18030</v>
      </c>
      <c r="M495" s="523">
        <v>73000</v>
      </c>
      <c r="N495" s="388">
        <v>0</v>
      </c>
      <c r="O495" s="395">
        <v>0</v>
      </c>
      <c r="P495" s="395">
        <v>0</v>
      </c>
      <c r="Q495" s="395">
        <v>75000</v>
      </c>
      <c r="R495" s="395">
        <v>0</v>
      </c>
      <c r="S495" s="398">
        <v>0</v>
      </c>
      <c r="T495" s="401">
        <f t="shared" si="160"/>
        <v>75000</v>
      </c>
      <c r="U495" s="818">
        <f t="shared" si="170"/>
        <v>148000</v>
      </c>
      <c r="V495" s="591">
        <f t="shared" si="165"/>
        <v>148000</v>
      </c>
      <c r="W495" s="818">
        <f t="shared" si="166"/>
        <v>148000</v>
      </c>
    </row>
    <row r="496" spans="2:23" ht="12.75">
      <c r="B496" s="470"/>
      <c r="C496" s="471"/>
      <c r="D496" s="62"/>
      <c r="E496" s="269"/>
      <c r="F496" s="382">
        <v>330</v>
      </c>
      <c r="G496" s="1087">
        <v>426</v>
      </c>
      <c r="H496" s="1088" t="s">
        <v>38</v>
      </c>
      <c r="I496" s="1089"/>
      <c r="J496" s="1090"/>
      <c r="K496" s="706">
        <v>999836</v>
      </c>
      <c r="L496" s="706">
        <v>182079.85</v>
      </c>
      <c r="M496" s="706">
        <v>999836</v>
      </c>
      <c r="N496" s="388">
        <v>0</v>
      </c>
      <c r="O496" s="395">
        <v>0</v>
      </c>
      <c r="P496" s="395">
        <v>10000</v>
      </c>
      <c r="Q496" s="395">
        <v>125000</v>
      </c>
      <c r="R496" s="395">
        <v>0</v>
      </c>
      <c r="S496" s="398">
        <v>0</v>
      </c>
      <c r="T496" s="401">
        <f t="shared" si="160"/>
        <v>135000</v>
      </c>
      <c r="U496" s="818">
        <f t="shared" si="170"/>
        <v>1134836</v>
      </c>
      <c r="V496" s="591">
        <f t="shared" si="165"/>
        <v>1134836</v>
      </c>
      <c r="W496" s="818">
        <f t="shared" si="166"/>
        <v>1134836</v>
      </c>
    </row>
    <row r="497" spans="2:23" ht="12" customHeight="1" thickBot="1">
      <c r="B497" s="469"/>
      <c r="C497" s="469"/>
      <c r="D497" s="61"/>
      <c r="E497" s="521"/>
      <c r="F497" s="382">
        <v>331</v>
      </c>
      <c r="G497" s="466">
        <v>482</v>
      </c>
      <c r="H497" s="1445" t="s">
        <v>81</v>
      </c>
      <c r="I497" s="1446"/>
      <c r="J497" s="1447"/>
      <c r="K497" s="891">
        <v>67000</v>
      </c>
      <c r="L497" s="891">
        <v>32370.36</v>
      </c>
      <c r="M497" s="891">
        <v>67000</v>
      </c>
      <c r="N497" s="388">
        <v>0</v>
      </c>
      <c r="O497" s="395">
        <v>0</v>
      </c>
      <c r="P497" s="395">
        <v>0</v>
      </c>
      <c r="Q497" s="398">
        <v>0</v>
      </c>
      <c r="R497" s="392">
        <v>0</v>
      </c>
      <c r="S497" s="398">
        <v>0</v>
      </c>
      <c r="T497" s="401">
        <f t="shared" si="160"/>
        <v>0</v>
      </c>
      <c r="U497" s="1059">
        <f t="shared" si="170"/>
        <v>67000</v>
      </c>
      <c r="V497" s="591">
        <f t="shared" si="165"/>
        <v>67000</v>
      </c>
      <c r="W497" s="818">
        <f t="shared" si="166"/>
        <v>67000</v>
      </c>
    </row>
    <row r="498" spans="2:23" ht="13.5" thickBot="1">
      <c r="B498" s="1305" t="s">
        <v>126</v>
      </c>
      <c r="C498" s="1306"/>
      <c r="D498" s="1306"/>
      <c r="E498" s="1306"/>
      <c r="F498" s="1306"/>
      <c r="G498" s="1306"/>
      <c r="H498" s="1306"/>
      <c r="I498" s="1306"/>
      <c r="J498" s="1307"/>
      <c r="K498" s="7">
        <f>K72+K38+K7+K55+K29</f>
        <v>456198689</v>
      </c>
      <c r="L498" s="7">
        <f aca="true" t="shared" si="174" ref="L498:T498">L72+L38+L7+L55+L29</f>
        <v>116439134.39999999</v>
      </c>
      <c r="M498" s="7">
        <f t="shared" si="174"/>
        <v>483017969</v>
      </c>
      <c r="N498" s="277">
        <f t="shared" si="174"/>
        <v>182000</v>
      </c>
      <c r="O498" s="277">
        <f t="shared" si="174"/>
        <v>610000</v>
      </c>
      <c r="P498" s="277">
        <f t="shared" si="174"/>
        <v>74225242.25</v>
      </c>
      <c r="Q498" s="277">
        <f t="shared" si="174"/>
        <v>101708979</v>
      </c>
      <c r="R498" s="277">
        <f t="shared" si="174"/>
        <v>0</v>
      </c>
      <c r="S498" s="277">
        <f t="shared" si="174"/>
        <v>427000</v>
      </c>
      <c r="T498" s="330">
        <f t="shared" si="174"/>
        <v>177153221.25</v>
      </c>
      <c r="U498" s="1053">
        <f>M498+N498+O498+P498+Q498+R498+S498</f>
        <v>660171190.25</v>
      </c>
      <c r="V498" s="1052">
        <f t="shared" si="165"/>
        <v>660171190.25</v>
      </c>
      <c r="W498" s="72">
        <f t="shared" si="166"/>
        <v>660171190.25</v>
      </c>
    </row>
    <row r="499" spans="2:23" ht="12.75" hidden="1">
      <c r="B499" s="553"/>
      <c r="C499" s="553"/>
      <c r="D499" s="554"/>
      <c r="E499" s="553"/>
      <c r="F499" s="555"/>
      <c r="G499" s="554"/>
      <c r="H499" s="472"/>
      <c r="I499" s="472"/>
      <c r="J499" s="472"/>
      <c r="K499" s="858"/>
      <c r="L499" s="858"/>
      <c r="N499" s="342"/>
      <c r="O499" s="342"/>
      <c r="P499" s="342"/>
      <c r="Q499" s="396"/>
      <c r="R499" s="396"/>
      <c r="S499" s="473"/>
      <c r="T499" s="473"/>
      <c r="U499" s="474"/>
      <c r="V499" s="474"/>
      <c r="W499" s="474"/>
    </row>
    <row r="500" spans="2:23" ht="81.75" customHeight="1" hidden="1">
      <c r="B500" s="1427"/>
      <c r="C500" s="1424"/>
      <c r="D500" s="1424"/>
      <c r="E500" s="1424"/>
      <c r="F500" s="1424"/>
      <c r="G500" s="1424"/>
      <c r="H500" s="1424"/>
      <c r="I500" s="1424"/>
      <c r="J500" s="1424"/>
      <c r="N500" s="342"/>
      <c r="O500" s="342"/>
      <c r="P500" s="342"/>
      <c r="Q500" s="342"/>
      <c r="R500" s="342"/>
      <c r="S500" s="258"/>
      <c r="T500" s="258"/>
      <c r="U500" s="474"/>
      <c r="V500" s="474"/>
      <c r="W500" s="474"/>
    </row>
    <row r="501" spans="2:23" ht="12.75" hidden="1">
      <c r="B501" s="1427"/>
      <c r="C501" s="1424"/>
      <c r="D501" s="1424"/>
      <c r="E501" s="1424"/>
      <c r="F501" s="1424"/>
      <c r="G501" s="1424"/>
      <c r="H501" s="1424"/>
      <c r="I501" s="1424"/>
      <c r="J501" s="1424"/>
      <c r="N501" s="387"/>
      <c r="O501" s="342"/>
      <c r="P501" s="342"/>
      <c r="Q501" s="342"/>
      <c r="R501" s="342"/>
      <c r="S501" s="258"/>
      <c r="T501" s="258"/>
      <c r="U501" s="474"/>
      <c r="V501" s="474"/>
      <c r="W501" s="474"/>
    </row>
    <row r="502" spans="2:23" ht="12.75" hidden="1">
      <c r="B502" s="1427"/>
      <c r="C502" s="1424"/>
      <c r="D502" s="1424"/>
      <c r="E502" s="1424"/>
      <c r="F502" s="1424"/>
      <c r="G502" s="1424"/>
      <c r="H502" s="1424"/>
      <c r="I502" s="1424"/>
      <c r="J502" s="1424"/>
      <c r="N502" s="342"/>
      <c r="O502" s="342"/>
      <c r="P502" s="342"/>
      <c r="Q502" s="342"/>
      <c r="R502" s="342"/>
      <c r="S502" s="258"/>
      <c r="T502" s="258"/>
      <c r="U502" s="474"/>
      <c r="V502" s="474"/>
      <c r="W502" s="474"/>
    </row>
    <row r="503" spans="2:23" ht="12.75" hidden="1">
      <c r="B503" s="1424"/>
      <c r="C503" s="1424"/>
      <c r="D503" s="1424"/>
      <c r="E503" s="1424"/>
      <c r="F503" s="1424"/>
      <c r="G503" s="1424"/>
      <c r="H503" s="1424"/>
      <c r="I503" s="1424"/>
      <c r="J503" s="1424"/>
      <c r="M503" s="537"/>
      <c r="N503" s="538">
        <v>411</v>
      </c>
      <c r="O503" s="342"/>
      <c r="P503" s="342"/>
      <c r="Q503" s="342"/>
      <c r="R503" s="342"/>
      <c r="S503" s="475"/>
      <c r="T503" s="475"/>
      <c r="U503" s="474"/>
      <c r="V503" s="474"/>
      <c r="W503" s="474"/>
    </row>
    <row r="504" spans="2:23" ht="12.75" hidden="1">
      <c r="B504" s="1424"/>
      <c r="C504" s="1424"/>
      <c r="D504" s="1424"/>
      <c r="E504" s="1424"/>
      <c r="F504" s="1424"/>
      <c r="G504" s="1424"/>
      <c r="H504" s="1424"/>
      <c r="I504" s="1424"/>
      <c r="J504" s="1424"/>
      <c r="M504" s="397"/>
      <c r="N504" s="538">
        <v>412</v>
      </c>
      <c r="O504" s="342"/>
      <c r="P504" s="342"/>
      <c r="Q504" s="342"/>
      <c r="R504" s="342"/>
      <c r="S504" s="342"/>
      <c r="T504" s="342"/>
      <c r="U504" s="474"/>
      <c r="V504" s="474"/>
      <c r="W504" s="474"/>
    </row>
    <row r="505" spans="13:23" ht="12.75" hidden="1">
      <c r="M505" s="540"/>
      <c r="N505" s="539" t="s">
        <v>1168</v>
      </c>
      <c r="O505" s="342"/>
      <c r="P505" s="342"/>
      <c r="Q505" s="342"/>
      <c r="R505" s="342"/>
      <c r="S505" s="342"/>
      <c r="T505" s="342"/>
      <c r="U505" s="474"/>
      <c r="V505" s="474"/>
      <c r="W505" s="474"/>
    </row>
    <row r="506" spans="13:23" ht="12.75">
      <c r="M506" s="387"/>
      <c r="N506" s="342"/>
      <c r="O506" s="342"/>
      <c r="P506" s="342"/>
      <c r="Q506" s="342"/>
      <c r="R506" s="342"/>
      <c r="S506" s="258"/>
      <c r="T506" s="258"/>
      <c r="U506" s="476"/>
      <c r="V506" s="476"/>
      <c r="W506" s="476"/>
    </row>
    <row r="507" spans="13:23" ht="12.75">
      <c r="M507" s="63"/>
      <c r="N507" s="342"/>
      <c r="O507" s="342"/>
      <c r="P507" s="342"/>
      <c r="Q507" s="342"/>
      <c r="R507" s="342"/>
      <c r="S507" s="342"/>
      <c r="T507" s="342"/>
      <c r="U507" s="474"/>
      <c r="V507" s="474"/>
      <c r="W507" s="474"/>
    </row>
    <row r="508" ht="12.75">
      <c r="M508" s="387"/>
    </row>
    <row r="509" spans="13:15" ht="12.75">
      <c r="M509" s="387"/>
      <c r="O509" s="363"/>
    </row>
    <row r="510" ht="12.75">
      <c r="M510" s="387"/>
    </row>
    <row r="511" spans="2:23" ht="12.75">
      <c r="B511" s="335"/>
      <c r="C511" s="335"/>
      <c r="D511" s="335"/>
      <c r="E511" s="335"/>
      <c r="F511" s="335"/>
      <c r="G511" s="335"/>
      <c r="M511" s="387"/>
      <c r="U511" s="335"/>
      <c r="V511" s="335"/>
      <c r="W511" s="335"/>
    </row>
    <row r="512" spans="2:23" ht="12.75">
      <c r="B512" s="335"/>
      <c r="C512" s="335"/>
      <c r="D512" s="335"/>
      <c r="E512" s="335"/>
      <c r="F512" s="335"/>
      <c r="G512" s="335"/>
      <c r="M512" s="387"/>
      <c r="U512" s="335"/>
      <c r="V512" s="335"/>
      <c r="W512" s="335"/>
    </row>
    <row r="513" spans="2:23" ht="12.75">
      <c r="B513" s="335"/>
      <c r="C513" s="335"/>
      <c r="D513" s="335"/>
      <c r="E513" s="335"/>
      <c r="F513" s="335"/>
      <c r="G513" s="335"/>
      <c r="M513" s="387"/>
      <c r="P513" s="363"/>
      <c r="U513" s="335"/>
      <c r="V513" s="335"/>
      <c r="W513" s="335"/>
    </row>
    <row r="514" spans="2:23" ht="12.75">
      <c r="B514" s="335"/>
      <c r="C514" s="335"/>
      <c r="D514" s="335"/>
      <c r="E514" s="335"/>
      <c r="F514" s="335"/>
      <c r="G514" s="335"/>
      <c r="M514" s="387"/>
      <c r="U514" s="335"/>
      <c r="V514" s="335"/>
      <c r="W514" s="335"/>
    </row>
    <row r="541" spans="2:23" ht="12.75">
      <c r="B541" s="335"/>
      <c r="C541" s="335"/>
      <c r="D541" s="335"/>
      <c r="E541" s="335"/>
      <c r="F541" s="335"/>
      <c r="G541" s="335"/>
      <c r="M541" s="387"/>
      <c r="U541" s="335"/>
      <c r="V541" s="335"/>
      <c r="W541" s="335"/>
    </row>
    <row r="542" spans="2:23" ht="12.75">
      <c r="B542" s="335"/>
      <c r="C542" s="335"/>
      <c r="D542" s="335"/>
      <c r="E542" s="335"/>
      <c r="F542" s="335"/>
      <c r="G542" s="335"/>
      <c r="M542" s="387"/>
      <c r="U542" s="335"/>
      <c r="V542" s="335"/>
      <c r="W542" s="335"/>
    </row>
    <row r="544" spans="2:23" ht="12.75">
      <c r="B544" s="335"/>
      <c r="C544" s="335"/>
      <c r="D544" s="335"/>
      <c r="E544" s="335"/>
      <c r="F544" s="335"/>
      <c r="G544" s="335"/>
      <c r="M544" s="387"/>
      <c r="U544" s="335"/>
      <c r="V544" s="335"/>
      <c r="W544" s="335"/>
    </row>
    <row r="552" spans="2:23" ht="12.75">
      <c r="B552" s="335"/>
      <c r="C552" s="335"/>
      <c r="D552" s="335"/>
      <c r="E552" s="335"/>
      <c r="F552" s="335"/>
      <c r="G552" s="335"/>
      <c r="N552" s="363"/>
      <c r="U552" s="335"/>
      <c r="V552" s="335"/>
      <c r="W552" s="335"/>
    </row>
  </sheetData>
  <sheetProtection/>
  <mergeCells count="428">
    <mergeCell ref="H497:J497"/>
    <mergeCell ref="H384:J384"/>
    <mergeCell ref="H211:J211"/>
    <mergeCell ref="H197:J197"/>
    <mergeCell ref="H206:J206"/>
    <mergeCell ref="H326:J326"/>
    <mergeCell ref="H341:J341"/>
    <mergeCell ref="H325:J325"/>
    <mergeCell ref="H226:J226"/>
    <mergeCell ref="H258:J258"/>
    <mergeCell ref="H201:J201"/>
    <mergeCell ref="H134:J134"/>
    <mergeCell ref="H203:J203"/>
    <mergeCell ref="H160:J160"/>
    <mergeCell ref="H192:J192"/>
    <mergeCell ref="H189:J189"/>
    <mergeCell ref="H195:J195"/>
    <mergeCell ref="H187:J187"/>
    <mergeCell ref="H186:I186"/>
    <mergeCell ref="H185:J185"/>
    <mergeCell ref="H184:J184"/>
    <mergeCell ref="H179:J179"/>
    <mergeCell ref="H171:J171"/>
    <mergeCell ref="H165:J165"/>
    <mergeCell ref="H168:J168"/>
    <mergeCell ref="H178:J178"/>
    <mergeCell ref="H156:J156"/>
    <mergeCell ref="H167:J167"/>
    <mergeCell ref="H173:J173"/>
    <mergeCell ref="H126:J126"/>
    <mergeCell ref="H145:J145"/>
    <mergeCell ref="H130:J130"/>
    <mergeCell ref="H153:J153"/>
    <mergeCell ref="H159:J159"/>
    <mergeCell ref="H169:J169"/>
    <mergeCell ref="H138:J138"/>
    <mergeCell ref="H139:J139"/>
    <mergeCell ref="H147:J147"/>
    <mergeCell ref="H144:J144"/>
    <mergeCell ref="I2:P2"/>
    <mergeCell ref="H100:J100"/>
    <mergeCell ref="H113:J113"/>
    <mergeCell ref="H118:J118"/>
    <mergeCell ref="H157:J157"/>
    <mergeCell ref="H166:J166"/>
    <mergeCell ref="H21:J21"/>
    <mergeCell ref="H50:J50"/>
    <mergeCell ref="H80:J80"/>
    <mergeCell ref="H140:J140"/>
    <mergeCell ref="H191:J191"/>
    <mergeCell ref="H199:J199"/>
    <mergeCell ref="H193:J193"/>
    <mergeCell ref="H172:J172"/>
    <mergeCell ref="H15:J15"/>
    <mergeCell ref="H117:J117"/>
    <mergeCell ref="H148:J148"/>
    <mergeCell ref="H162:J162"/>
    <mergeCell ref="H151:J151"/>
    <mergeCell ref="H136:J136"/>
    <mergeCell ref="H411:I411"/>
    <mergeCell ref="H421:J421"/>
    <mergeCell ref="H194:J194"/>
    <mergeCell ref="H221:J221"/>
    <mergeCell ref="H224:J224"/>
    <mergeCell ref="H215:J215"/>
    <mergeCell ref="H202:J202"/>
    <mergeCell ref="H217:J217"/>
    <mergeCell ref="H246:J246"/>
    <mergeCell ref="H404:J404"/>
    <mergeCell ref="H220:J220"/>
    <mergeCell ref="H209:J209"/>
    <mergeCell ref="H218:J218"/>
    <mergeCell ref="H212:J212"/>
    <mergeCell ref="H205:J205"/>
    <mergeCell ref="H198:J198"/>
    <mergeCell ref="H216:J216"/>
    <mergeCell ref="H214:J214"/>
    <mergeCell ref="H213:J213"/>
    <mergeCell ref="H207:J207"/>
    <mergeCell ref="H223:J223"/>
    <mergeCell ref="H208:J208"/>
    <mergeCell ref="H393:J393"/>
    <mergeCell ref="H127:J127"/>
    <mergeCell ref="H141:J141"/>
    <mergeCell ref="H152:J152"/>
    <mergeCell ref="H154:J154"/>
    <mergeCell ref="H181:J181"/>
    <mergeCell ref="H175:J175"/>
    <mergeCell ref="H143:J143"/>
    <mergeCell ref="H112:J112"/>
    <mergeCell ref="H128:J128"/>
    <mergeCell ref="H135:J135"/>
    <mergeCell ref="H133:J133"/>
    <mergeCell ref="H131:J131"/>
    <mergeCell ref="H124:J124"/>
    <mergeCell ref="H132:J132"/>
    <mergeCell ref="H120:J120"/>
    <mergeCell ref="H119:J119"/>
    <mergeCell ref="H116:J116"/>
    <mergeCell ref="H109:J109"/>
    <mergeCell ref="H93:J93"/>
    <mergeCell ref="H110:J110"/>
    <mergeCell ref="H104:J104"/>
    <mergeCell ref="H111:J111"/>
    <mergeCell ref="H99:J99"/>
    <mergeCell ref="H108:J108"/>
    <mergeCell ref="H105:J105"/>
    <mergeCell ref="H102:J102"/>
    <mergeCell ref="H103:J103"/>
    <mergeCell ref="H20:J20"/>
    <mergeCell ref="H92:J92"/>
    <mergeCell ref="B500:J504"/>
    <mergeCell ref="H280:J280"/>
    <mergeCell ref="H333:J333"/>
    <mergeCell ref="H96:J96"/>
    <mergeCell ref="H125:J125"/>
    <mergeCell ref="H123:J123"/>
    <mergeCell ref="H31:J31"/>
    <mergeCell ref="H43:J43"/>
    <mergeCell ref="M4:U4"/>
    <mergeCell ref="H14:J14"/>
    <mergeCell ref="H6:J6"/>
    <mergeCell ref="H10:J10"/>
    <mergeCell ref="H8:J8"/>
    <mergeCell ref="H17:J17"/>
    <mergeCell ref="H16:J16"/>
    <mergeCell ref="H9:J9"/>
    <mergeCell ref="H13:J13"/>
    <mergeCell ref="H11:J11"/>
    <mergeCell ref="H7:J7"/>
    <mergeCell ref="H27:J27"/>
    <mergeCell ref="H28:J28"/>
    <mergeCell ref="H22:J22"/>
    <mergeCell ref="H24:J24"/>
    <mergeCell ref="H23:J23"/>
    <mergeCell ref="H25:J25"/>
    <mergeCell ref="H12:J12"/>
    <mergeCell ref="H18:J18"/>
    <mergeCell ref="H19:J19"/>
    <mergeCell ref="H48:J48"/>
    <mergeCell ref="H47:J47"/>
    <mergeCell ref="H39:J39"/>
    <mergeCell ref="H40:J40"/>
    <mergeCell ref="H41:J41"/>
    <mergeCell ref="H42:J42"/>
    <mergeCell ref="H29:J29"/>
    <mergeCell ref="H26:J26"/>
    <mergeCell ref="H38:J38"/>
    <mergeCell ref="H32:J32"/>
    <mergeCell ref="H33:J33"/>
    <mergeCell ref="H34:J34"/>
    <mergeCell ref="H35:J35"/>
    <mergeCell ref="H36:J36"/>
    <mergeCell ref="H30:J30"/>
    <mergeCell ref="H37:J37"/>
    <mergeCell ref="H64:J64"/>
    <mergeCell ref="H57:J57"/>
    <mergeCell ref="H53:J53"/>
    <mergeCell ref="H51:J51"/>
    <mergeCell ref="H44:J44"/>
    <mergeCell ref="H49:J49"/>
    <mergeCell ref="H45:J45"/>
    <mergeCell ref="H52:J52"/>
    <mergeCell ref="H62:J62"/>
    <mergeCell ref="H46:J46"/>
    <mergeCell ref="H433:J433"/>
    <mergeCell ref="H430:J430"/>
    <mergeCell ref="H436:J436"/>
    <mergeCell ref="H70:J70"/>
    <mergeCell ref="H54:J54"/>
    <mergeCell ref="H407:J407"/>
    <mergeCell ref="H334:J334"/>
    <mergeCell ref="H95:J95"/>
    <mergeCell ref="H107:J107"/>
    <mergeCell ref="H106:J106"/>
    <mergeCell ref="H399:J399"/>
    <mergeCell ref="H396:J396"/>
    <mergeCell ref="H402:J402"/>
    <mergeCell ref="H397:J397"/>
    <mergeCell ref="H395:J395"/>
    <mergeCell ref="H401:J401"/>
    <mergeCell ref="H400:J400"/>
    <mergeCell ref="H394:J394"/>
    <mergeCell ref="H227:J227"/>
    <mergeCell ref="H442:I442"/>
    <mergeCell ref="H439:I439"/>
    <mergeCell ref="H462:J462"/>
    <mergeCell ref="H449:J449"/>
    <mergeCell ref="H451:I451"/>
    <mergeCell ref="H461:J461"/>
    <mergeCell ref="H440:J440"/>
    <mergeCell ref="H443:J443"/>
    <mergeCell ref="H446:J446"/>
    <mergeCell ref="H448:J448"/>
    <mergeCell ref="H452:J452"/>
    <mergeCell ref="H458:J458"/>
    <mergeCell ref="H459:J459"/>
    <mergeCell ref="H457:J457"/>
    <mergeCell ref="H456:J456"/>
    <mergeCell ref="H480:I480"/>
    <mergeCell ref="H469:J469"/>
    <mergeCell ref="H470:J470"/>
    <mergeCell ref="H454:I454"/>
    <mergeCell ref="H450:I450"/>
    <mergeCell ref="H444:J444"/>
    <mergeCell ref="H447:J447"/>
    <mergeCell ref="H472:J472"/>
    <mergeCell ref="H473:J473"/>
    <mergeCell ref="H460:J460"/>
    <mergeCell ref="H491:J491"/>
    <mergeCell ref="H494:J494"/>
    <mergeCell ref="H490:J490"/>
    <mergeCell ref="H489:I489"/>
    <mergeCell ref="H488:J488"/>
    <mergeCell ref="H476:I476"/>
    <mergeCell ref="H487:J487"/>
    <mergeCell ref="H482:I482"/>
    <mergeCell ref="H481:I481"/>
    <mergeCell ref="H483:J483"/>
    <mergeCell ref="H86:J86"/>
    <mergeCell ref="H101:J101"/>
    <mergeCell ref="H87:J87"/>
    <mergeCell ref="H91:J91"/>
    <mergeCell ref="H85:J85"/>
    <mergeCell ref="H90:J90"/>
    <mergeCell ref="H89:J89"/>
    <mergeCell ref="H97:J97"/>
    <mergeCell ref="H98:J98"/>
    <mergeCell ref="H94:J94"/>
    <mergeCell ref="H76:J76"/>
    <mergeCell ref="H72:J72"/>
    <mergeCell ref="H77:J77"/>
    <mergeCell ref="H75:I75"/>
    <mergeCell ref="H73:J73"/>
    <mergeCell ref="H79:J79"/>
    <mergeCell ref="H78:J78"/>
    <mergeCell ref="H74:J74"/>
    <mergeCell ref="H83:J83"/>
    <mergeCell ref="H84:J84"/>
    <mergeCell ref="H66:J66"/>
    <mergeCell ref="H417:J417"/>
    <mergeCell ref="H415:J415"/>
    <mergeCell ref="H377:J377"/>
    <mergeCell ref="H82:J82"/>
    <mergeCell ref="H68:J68"/>
    <mergeCell ref="H416:J416"/>
    <mergeCell ref="H376:J376"/>
    <mergeCell ref="H235:J235"/>
    <mergeCell ref="H239:J239"/>
    <mergeCell ref="H249:J249"/>
    <mergeCell ref="H243:J243"/>
    <mergeCell ref="H247:J247"/>
    <mergeCell ref="H242:J242"/>
    <mergeCell ref="H231:J231"/>
    <mergeCell ref="H129:J129"/>
    <mergeCell ref="H304:J304"/>
    <mergeCell ref="H328:J328"/>
    <mergeCell ref="H219:J219"/>
    <mergeCell ref="H294:J294"/>
    <mergeCell ref="H230:J230"/>
    <mergeCell ref="H237:J237"/>
    <mergeCell ref="H261:J261"/>
    <mergeCell ref="H240:J240"/>
    <mergeCell ref="H232:J232"/>
    <mergeCell ref="H65:J65"/>
    <mergeCell ref="H58:J58"/>
    <mergeCell ref="H56:J56"/>
    <mergeCell ref="H60:J60"/>
    <mergeCell ref="H88:J88"/>
    <mergeCell ref="H59:J59"/>
    <mergeCell ref="H67:J67"/>
    <mergeCell ref="H81:J81"/>
    <mergeCell ref="H229:J229"/>
    <mergeCell ref="H61:J61"/>
    <mergeCell ref="H69:J69"/>
    <mergeCell ref="H264:J264"/>
    <mergeCell ref="H233:I233"/>
    <mergeCell ref="H236:J236"/>
    <mergeCell ref="H241:J241"/>
    <mergeCell ref="H238:J238"/>
    <mergeCell ref="H244:J244"/>
    <mergeCell ref="H245:J245"/>
    <mergeCell ref="H250:J250"/>
    <mergeCell ref="H284:J284"/>
    <mergeCell ref="H248:J248"/>
    <mergeCell ref="H266:J266"/>
    <mergeCell ref="H268:J268"/>
    <mergeCell ref="H262:J262"/>
    <mergeCell ref="H260:J260"/>
    <mergeCell ref="H252:J252"/>
    <mergeCell ref="H251:J251"/>
    <mergeCell ref="H267:J267"/>
    <mergeCell ref="H265:J265"/>
    <mergeCell ref="H272:J272"/>
    <mergeCell ref="H273:J273"/>
    <mergeCell ref="H269:J269"/>
    <mergeCell ref="H271:J271"/>
    <mergeCell ref="H270:J270"/>
    <mergeCell ref="H274:J274"/>
    <mergeCell ref="H275:J275"/>
    <mergeCell ref="H287:J287"/>
    <mergeCell ref="H288:J288"/>
    <mergeCell ref="H289:J289"/>
    <mergeCell ref="H281:J281"/>
    <mergeCell ref="H279:J279"/>
    <mergeCell ref="H283:J283"/>
    <mergeCell ref="H285:J285"/>
    <mergeCell ref="H276:I276"/>
    <mergeCell ref="H277:J277"/>
    <mergeCell ref="H290:J290"/>
    <mergeCell ref="H293:J293"/>
    <mergeCell ref="H291:J291"/>
    <mergeCell ref="H305:I305"/>
    <mergeCell ref="H309:J309"/>
    <mergeCell ref="H314:J314"/>
    <mergeCell ref="H302:J302"/>
    <mergeCell ref="H303:J303"/>
    <mergeCell ref="H292:J292"/>
    <mergeCell ref="H296:J296"/>
    <mergeCell ref="H278:J278"/>
    <mergeCell ref="H282:J282"/>
    <mergeCell ref="H311:J311"/>
    <mergeCell ref="H313:J313"/>
    <mergeCell ref="H318:J318"/>
    <mergeCell ref="H298:J298"/>
    <mergeCell ref="H308:J308"/>
    <mergeCell ref="H317:J317"/>
    <mergeCell ref="H295:J295"/>
    <mergeCell ref="H301:J301"/>
    <mergeCell ref="H323:J323"/>
    <mergeCell ref="H319:I319"/>
    <mergeCell ref="H320:J320"/>
    <mergeCell ref="H312:J312"/>
    <mergeCell ref="H300:J300"/>
    <mergeCell ref="H335:J335"/>
    <mergeCell ref="H329:J329"/>
    <mergeCell ref="H330:I330"/>
    <mergeCell ref="H331:J331"/>
    <mergeCell ref="H321:J321"/>
    <mergeCell ref="H336:J336"/>
    <mergeCell ref="H345:J345"/>
    <mergeCell ref="H337:J337"/>
    <mergeCell ref="H342:J342"/>
    <mergeCell ref="H338:J338"/>
    <mergeCell ref="H343:J343"/>
    <mergeCell ref="H344:J344"/>
    <mergeCell ref="H348:J348"/>
    <mergeCell ref="H365:J365"/>
    <mergeCell ref="H349:J349"/>
    <mergeCell ref="H340:J340"/>
    <mergeCell ref="H339:J339"/>
    <mergeCell ref="H347:J347"/>
    <mergeCell ref="H364:J364"/>
    <mergeCell ref="H355:J355"/>
    <mergeCell ref="H356:J356"/>
    <mergeCell ref="H346:J346"/>
    <mergeCell ref="H389:J389"/>
    <mergeCell ref="H375:J375"/>
    <mergeCell ref="H385:J385"/>
    <mergeCell ref="H410:J410"/>
    <mergeCell ref="H351:J351"/>
    <mergeCell ref="H368:J368"/>
    <mergeCell ref="H353:J353"/>
    <mergeCell ref="H352:J352"/>
    <mergeCell ref="H357:J357"/>
    <mergeCell ref="H367:J367"/>
    <mergeCell ref="H422:J422"/>
    <mergeCell ref="H475:J475"/>
    <mergeCell ref="H438:J438"/>
    <mergeCell ref="H424:J424"/>
    <mergeCell ref="H463:J463"/>
    <mergeCell ref="H429:J429"/>
    <mergeCell ref="H468:J468"/>
    <mergeCell ref="H467:J467"/>
    <mergeCell ref="H466:J466"/>
    <mergeCell ref="H441:J441"/>
    <mergeCell ref="H485:J485"/>
    <mergeCell ref="H409:J409"/>
    <mergeCell ref="H428:J428"/>
    <mergeCell ref="H471:J471"/>
    <mergeCell ref="H474:J474"/>
    <mergeCell ref="B498:J498"/>
    <mergeCell ref="H420:J420"/>
    <mergeCell ref="H414:J414"/>
    <mergeCell ref="H486:J486"/>
    <mergeCell ref="H495:J495"/>
    <mergeCell ref="H437:J437"/>
    <mergeCell ref="H408:J408"/>
    <mergeCell ref="H380:J380"/>
    <mergeCell ref="H386:J386"/>
    <mergeCell ref="H388:J388"/>
    <mergeCell ref="H391:J391"/>
    <mergeCell ref="H398:J398"/>
    <mergeCell ref="H427:J427"/>
    <mergeCell ref="H423:I423"/>
    <mergeCell ref="H412:J412"/>
    <mergeCell ref="H383:J383"/>
    <mergeCell ref="H366:J366"/>
    <mergeCell ref="H363:J363"/>
    <mergeCell ref="H354:J354"/>
    <mergeCell ref="H358:J358"/>
    <mergeCell ref="H392:J392"/>
    <mergeCell ref="H390:J390"/>
    <mergeCell ref="H381:J381"/>
    <mergeCell ref="H371:J371"/>
    <mergeCell ref="H369:J369"/>
    <mergeCell ref="H379:J379"/>
    <mergeCell ref="H374:J374"/>
    <mergeCell ref="H373:J373"/>
    <mergeCell ref="H114:J114"/>
    <mergeCell ref="H359:J359"/>
    <mergeCell ref="H360:J360"/>
    <mergeCell ref="H361:J361"/>
    <mergeCell ref="H372:J372"/>
    <mergeCell ref="H350:J350"/>
    <mergeCell ref="H362:J362"/>
    <mergeCell ref="H332:J332"/>
    <mergeCell ref="H453:J453"/>
    <mergeCell ref="H71:J71"/>
    <mergeCell ref="H413:J413"/>
    <mergeCell ref="H387:J387"/>
    <mergeCell ref="H431:J431"/>
    <mergeCell ref="H115:J115"/>
    <mergeCell ref="H432:J432"/>
    <mergeCell ref="H425:J425"/>
    <mergeCell ref="H378:J378"/>
  </mergeCells>
  <printOptions/>
  <pageMargins left="0.1968503937007874" right="0.1968503937007874" top="0.15748031496062992" bottom="0.3937007874015748" header="0.15748031496062992" footer="0.2755905511811024"/>
  <pageSetup horizontalDpi="600" verticalDpi="600" orientation="landscape" paperSize="9" scale="65" r:id="rId2"/>
  <headerFooter scaleWithDoc="0"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5"/>
  <sheetViews>
    <sheetView tabSelected="1" zoomScale="98" zoomScaleNormal="98" zoomScalePageLayoutView="0" workbookViewId="0" topLeftCell="A1">
      <pane xSplit="6" ySplit="6" topLeftCell="G5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77" sqref="G77:J77"/>
    </sheetView>
  </sheetViews>
  <sheetFormatPr defaultColWidth="9.140625" defaultRowHeight="12.75"/>
  <cols>
    <col min="1" max="1" width="7.00390625" style="22" customWidth="1"/>
    <col min="2" max="3" width="7.57421875" style="22" customWidth="1"/>
    <col min="4" max="4" width="5.57421875" style="22" customWidth="1"/>
    <col min="5" max="5" width="8.421875" style="839" customWidth="1"/>
    <col min="6" max="6" width="1.421875" style="22" hidden="1" customWidth="1"/>
    <col min="7" max="7" width="9.140625" style="22" customWidth="1"/>
    <col min="8" max="9" width="14.421875" style="22" customWidth="1"/>
    <col min="10" max="10" width="22.57421875" style="22" customWidth="1"/>
    <col min="11" max="11" width="14.421875" style="166" customWidth="1"/>
    <col min="12" max="13" width="14.421875" style="26" customWidth="1"/>
    <col min="14" max="16" width="14.421875" style="22" hidden="1" customWidth="1"/>
    <col min="17" max="17" width="14.421875" style="26" customWidth="1"/>
    <col min="18" max="26" width="14.421875" style="22" customWidth="1"/>
    <col min="27" max="29" width="9.140625" style="22" customWidth="1"/>
    <col min="30" max="16384" width="9.140625" style="22" customWidth="1"/>
  </cols>
  <sheetData>
    <row r="1" spans="1:11" ht="12.75">
      <c r="A1" s="25"/>
      <c r="B1" s="80" t="s">
        <v>131</v>
      </c>
      <c r="C1" s="25"/>
      <c r="D1" s="25"/>
      <c r="E1" s="823"/>
      <c r="F1" s="25"/>
      <c r="G1" s="385"/>
      <c r="H1" s="25"/>
      <c r="I1" s="25"/>
      <c r="J1" s="25"/>
      <c r="K1" s="372"/>
    </row>
    <row r="2" spans="1:13" ht="12.75">
      <c r="A2" s="25"/>
      <c r="B2" s="81" t="s">
        <v>132</v>
      </c>
      <c r="C2" s="25"/>
      <c r="D2" s="25"/>
      <c r="E2" s="823"/>
      <c r="F2" s="25"/>
      <c r="G2" s="385"/>
      <c r="H2" s="25"/>
      <c r="I2" s="25"/>
      <c r="J2" s="25"/>
      <c r="K2" s="372"/>
      <c r="L2" s="28"/>
      <c r="M2" s="28"/>
    </row>
    <row r="3" spans="1:13" ht="12.75">
      <c r="A3" s="25"/>
      <c r="B3" s="81"/>
      <c r="C3" s="25"/>
      <c r="D3" s="25"/>
      <c r="E3" s="823"/>
      <c r="F3" s="25"/>
      <c r="G3" s="385"/>
      <c r="H3" s="25"/>
      <c r="I3" s="25"/>
      <c r="J3" s="25"/>
      <c r="K3" s="372"/>
      <c r="L3" s="28"/>
      <c r="M3" s="28"/>
    </row>
    <row r="4" spans="1:13" ht="12.75">
      <c r="A4" s="25"/>
      <c r="B4" s="1503" t="s">
        <v>1594</v>
      </c>
      <c r="C4" s="1503"/>
      <c r="D4" s="1503"/>
      <c r="E4" s="1503"/>
      <c r="F4" s="1503"/>
      <c r="G4" s="1503"/>
      <c r="H4" s="1503"/>
      <c r="I4" s="1503"/>
      <c r="J4" s="1503"/>
      <c r="K4" s="1503"/>
      <c r="L4" s="1503"/>
      <c r="M4" s="696"/>
    </row>
    <row r="5" spans="1:13" ht="15.75" thickBot="1">
      <c r="A5" s="25"/>
      <c r="B5" s="29"/>
      <c r="C5" s="29"/>
      <c r="D5" s="29"/>
      <c r="E5" s="824"/>
      <c r="F5" s="82"/>
      <c r="G5" s="29"/>
      <c r="H5" s="29"/>
      <c r="I5" s="29"/>
      <c r="J5" s="29"/>
      <c r="K5" s="373"/>
      <c r="L5" s="695"/>
      <c r="M5" s="695"/>
    </row>
    <row r="6" spans="1:13" ht="63.75" thickBot="1">
      <c r="A6" s="83" t="s">
        <v>133</v>
      </c>
      <c r="B6" s="84" t="s">
        <v>134</v>
      </c>
      <c r="C6" s="84" t="s">
        <v>135</v>
      </c>
      <c r="D6" s="84" t="s">
        <v>136</v>
      </c>
      <c r="E6" s="825" t="s">
        <v>137</v>
      </c>
      <c r="F6" s="84" t="s">
        <v>138</v>
      </c>
      <c r="G6" s="1504" t="s">
        <v>139</v>
      </c>
      <c r="H6" s="1505"/>
      <c r="I6" s="1505"/>
      <c r="J6" s="1506"/>
      <c r="K6" s="85" t="s">
        <v>1451</v>
      </c>
      <c r="L6" s="85" t="s">
        <v>1551</v>
      </c>
      <c r="M6" s="85" t="s">
        <v>1502</v>
      </c>
    </row>
    <row r="7" spans="1:13" ht="13.5" thickBot="1">
      <c r="A7" s="86" t="s">
        <v>16</v>
      </c>
      <c r="B7" s="30"/>
      <c r="C7" s="30"/>
      <c r="D7" s="30"/>
      <c r="E7" s="156"/>
      <c r="F7" s="30"/>
      <c r="G7" s="1507" t="s">
        <v>140</v>
      </c>
      <c r="H7" s="1508"/>
      <c r="I7" s="1508"/>
      <c r="J7" s="1509"/>
      <c r="K7" s="75">
        <f>K8+K112</f>
        <v>483017969</v>
      </c>
      <c r="L7" s="840">
        <v>483017969</v>
      </c>
      <c r="M7" s="840">
        <v>483017969</v>
      </c>
    </row>
    <row r="8" spans="1:17" s="32" customFormat="1" ht="13.5" thickBot="1">
      <c r="A8" s="31"/>
      <c r="B8" s="87">
        <v>7</v>
      </c>
      <c r="C8" s="88"/>
      <c r="D8" s="88"/>
      <c r="E8" s="130"/>
      <c r="F8" s="89"/>
      <c r="G8" s="1455" t="s">
        <v>141</v>
      </c>
      <c r="H8" s="1456"/>
      <c r="I8" s="1456"/>
      <c r="J8" s="1496"/>
      <c r="K8" s="91">
        <f>K9+K30+K43+K56+K63+K68+K82+K98+K102+K107+K60+K27</f>
        <v>482957969</v>
      </c>
      <c r="L8" s="841">
        <v>482957969</v>
      </c>
      <c r="M8" s="1134">
        <v>482957969</v>
      </c>
      <c r="N8" s="503"/>
      <c r="O8" s="333"/>
      <c r="Q8" s="145"/>
    </row>
    <row r="9" spans="1:15" s="26" customFormat="1" ht="13.5" thickBot="1">
      <c r="A9" s="151"/>
      <c r="B9" s="92"/>
      <c r="C9" s="92">
        <v>711</v>
      </c>
      <c r="D9" s="92"/>
      <c r="E9" s="826"/>
      <c r="F9" s="92"/>
      <c r="G9" s="92" t="s">
        <v>142</v>
      </c>
      <c r="H9" s="92"/>
      <c r="I9" s="92"/>
      <c r="J9" s="92"/>
      <c r="K9" s="370">
        <f>K10</f>
        <v>164460000</v>
      </c>
      <c r="L9" s="842">
        <v>169460000</v>
      </c>
      <c r="M9" s="1133">
        <v>169460000</v>
      </c>
      <c r="N9" s="541"/>
      <c r="O9" s="333"/>
    </row>
    <row r="10" spans="1:15" ht="12.75">
      <c r="A10" s="34"/>
      <c r="B10" s="97"/>
      <c r="C10" s="97"/>
      <c r="D10" s="98">
        <v>7111</v>
      </c>
      <c r="E10" s="827"/>
      <c r="F10" s="99"/>
      <c r="G10" s="1487" t="s">
        <v>143</v>
      </c>
      <c r="H10" s="1488"/>
      <c r="I10" s="1488"/>
      <c r="J10" s="1489"/>
      <c r="K10" s="103">
        <f>SUM(K11:K22)</f>
        <v>164460000</v>
      </c>
      <c r="L10" s="843">
        <v>169460000</v>
      </c>
      <c r="M10" s="1139">
        <v>169460000</v>
      </c>
      <c r="N10" s="329"/>
      <c r="O10" s="333"/>
    </row>
    <row r="11" spans="1:14" ht="12.75">
      <c r="A11" s="35"/>
      <c r="B11" s="104"/>
      <c r="C11" s="104"/>
      <c r="D11" s="104"/>
      <c r="E11" s="828">
        <v>711111</v>
      </c>
      <c r="F11" s="105"/>
      <c r="G11" s="1463" t="s">
        <v>144</v>
      </c>
      <c r="H11" s="1464"/>
      <c r="I11" s="1464"/>
      <c r="J11" s="1465"/>
      <c r="K11" s="374">
        <v>136000000</v>
      </c>
      <c r="L11" s="1135">
        <v>136000000</v>
      </c>
      <c r="M11" s="1140">
        <v>136000000</v>
      </c>
      <c r="N11" s="542"/>
    </row>
    <row r="12" spans="1:15" ht="12.75">
      <c r="A12" s="35"/>
      <c r="B12" s="104"/>
      <c r="C12" s="104"/>
      <c r="D12" s="104"/>
      <c r="E12" s="828">
        <v>711121</v>
      </c>
      <c r="F12" s="105"/>
      <c r="G12" s="1460" t="s">
        <v>1398</v>
      </c>
      <c r="H12" s="1461"/>
      <c r="I12" s="1461"/>
      <c r="J12" s="1462"/>
      <c r="K12" s="375">
        <v>50000</v>
      </c>
      <c r="L12" s="1135">
        <v>50000</v>
      </c>
      <c r="M12" s="1140">
        <v>50000</v>
      </c>
      <c r="O12" s="1"/>
    </row>
    <row r="13" spans="1:15" ht="12.75">
      <c r="A13" s="35"/>
      <c r="B13" s="104"/>
      <c r="C13" s="104"/>
      <c r="D13" s="104"/>
      <c r="E13" s="829">
        <v>711122</v>
      </c>
      <c r="F13" s="105"/>
      <c r="G13" s="106" t="s">
        <v>1399</v>
      </c>
      <c r="H13" s="107"/>
      <c r="I13" s="107"/>
      <c r="J13" s="109"/>
      <c r="K13" s="375">
        <v>5000000</v>
      </c>
      <c r="L13" s="1135">
        <v>5000000</v>
      </c>
      <c r="M13" s="1140">
        <v>5000000</v>
      </c>
      <c r="N13" s="1"/>
      <c r="O13" s="1"/>
    </row>
    <row r="14" spans="1:15" ht="12.75">
      <c r="A14" s="35"/>
      <c r="B14" s="104"/>
      <c r="C14" s="104"/>
      <c r="D14" s="104"/>
      <c r="E14" s="829">
        <v>711123</v>
      </c>
      <c r="F14" s="105"/>
      <c r="G14" s="106" t="s">
        <v>1400</v>
      </c>
      <c r="H14" s="107"/>
      <c r="I14" s="107"/>
      <c r="J14" s="109"/>
      <c r="K14" s="375">
        <v>12000000</v>
      </c>
      <c r="L14" s="1135">
        <v>12000000</v>
      </c>
      <c r="M14" s="1140">
        <v>12000000</v>
      </c>
      <c r="O14" s="1"/>
    </row>
    <row r="15" spans="1:13" ht="12.75">
      <c r="A15" s="35"/>
      <c r="B15" s="104"/>
      <c r="C15" s="104"/>
      <c r="D15" s="104"/>
      <c r="E15" s="829">
        <v>711145</v>
      </c>
      <c r="F15" s="105"/>
      <c r="G15" s="1463" t="s">
        <v>1401</v>
      </c>
      <c r="H15" s="1464"/>
      <c r="I15" s="1464"/>
      <c r="J15" s="1465"/>
      <c r="K15" s="374">
        <v>200000</v>
      </c>
      <c r="L15" s="1135">
        <v>200000</v>
      </c>
      <c r="M15" s="1140">
        <v>200000</v>
      </c>
    </row>
    <row r="16" spans="1:15" ht="3" customHeight="1" hidden="1">
      <c r="A16" s="35"/>
      <c r="B16" s="104"/>
      <c r="C16" s="104"/>
      <c r="D16" s="104"/>
      <c r="E16" s="829">
        <v>71116</v>
      </c>
      <c r="F16" s="105"/>
      <c r="G16" s="106" t="s">
        <v>202</v>
      </c>
      <c r="H16" s="107"/>
      <c r="I16" s="107"/>
      <c r="J16" s="108"/>
      <c r="K16" s="374">
        <v>0</v>
      </c>
      <c r="L16" s="1135">
        <v>0</v>
      </c>
      <c r="M16" s="1140">
        <v>0</v>
      </c>
      <c r="O16" s="1"/>
    </row>
    <row r="17" spans="1:15" ht="12.75">
      <c r="A17" s="35"/>
      <c r="B17" s="104"/>
      <c r="C17" s="104"/>
      <c r="D17" s="104"/>
      <c r="E17" s="829">
        <v>711147</v>
      </c>
      <c r="F17" s="105"/>
      <c r="G17" s="1463" t="s">
        <v>1402</v>
      </c>
      <c r="H17" s="1464"/>
      <c r="I17" s="1464"/>
      <c r="J17" s="1465"/>
      <c r="K17" s="374">
        <v>10000</v>
      </c>
      <c r="L17" s="1135">
        <v>10000</v>
      </c>
      <c r="M17" s="1140">
        <v>10000</v>
      </c>
      <c r="O17" s="1"/>
    </row>
    <row r="18" spans="1:13" ht="12.75">
      <c r="A18" s="35"/>
      <c r="B18" s="104"/>
      <c r="C18" s="104"/>
      <c r="D18" s="104"/>
      <c r="E18" s="829">
        <v>711181</v>
      </c>
      <c r="F18" s="105"/>
      <c r="G18" s="1463" t="s">
        <v>1403</v>
      </c>
      <c r="H18" s="1464"/>
      <c r="I18" s="1464"/>
      <c r="J18" s="1465"/>
      <c r="K18" s="374">
        <v>100000</v>
      </c>
      <c r="L18" s="1135">
        <v>100000</v>
      </c>
      <c r="M18" s="1140">
        <v>100000</v>
      </c>
    </row>
    <row r="19" spans="1:13" ht="12.75">
      <c r="A19" s="35"/>
      <c r="B19" s="104"/>
      <c r="C19" s="104"/>
      <c r="D19" s="104"/>
      <c r="E19" s="829">
        <v>711183</v>
      </c>
      <c r="F19" s="105"/>
      <c r="G19" s="1463" t="s">
        <v>1404</v>
      </c>
      <c r="H19" s="1464"/>
      <c r="I19" s="1464"/>
      <c r="J19" s="1465"/>
      <c r="K19" s="374">
        <v>350000</v>
      </c>
      <c r="L19" s="1135">
        <v>350000</v>
      </c>
      <c r="M19" s="1140">
        <v>350000</v>
      </c>
    </row>
    <row r="20" spans="1:13" ht="12.75">
      <c r="A20" s="35"/>
      <c r="B20" s="104"/>
      <c r="C20" s="104"/>
      <c r="D20" s="104"/>
      <c r="E20" s="829">
        <v>711184</v>
      </c>
      <c r="F20" s="105"/>
      <c r="G20" s="106" t="s">
        <v>1405</v>
      </c>
      <c r="H20" s="107"/>
      <c r="I20" s="64"/>
      <c r="J20" s="108"/>
      <c r="K20" s="374">
        <v>150000</v>
      </c>
      <c r="L20" s="1135">
        <v>150000</v>
      </c>
      <c r="M20" s="1140">
        <v>150000</v>
      </c>
    </row>
    <row r="21" spans="1:13" ht="12.75">
      <c r="A21" s="35"/>
      <c r="B21" s="104"/>
      <c r="C21" s="104"/>
      <c r="D21" s="104"/>
      <c r="E21" s="829">
        <v>711191</v>
      </c>
      <c r="F21" s="105"/>
      <c r="G21" s="1460" t="s">
        <v>1406</v>
      </c>
      <c r="H21" s="1461"/>
      <c r="I21" s="1461"/>
      <c r="J21" s="1462"/>
      <c r="K21" s="375">
        <v>10000000</v>
      </c>
      <c r="L21" s="1135">
        <v>10000000</v>
      </c>
      <c r="M21" s="1140">
        <v>10000000</v>
      </c>
    </row>
    <row r="22" spans="1:13" ht="12.75">
      <c r="A22" s="35"/>
      <c r="B22" s="104"/>
      <c r="C22" s="104"/>
      <c r="D22" s="104"/>
      <c r="E22" s="829">
        <v>711193</v>
      </c>
      <c r="F22" s="105"/>
      <c r="G22" s="1463" t="s">
        <v>1407</v>
      </c>
      <c r="H22" s="1464"/>
      <c r="I22" s="1464"/>
      <c r="J22" s="1465"/>
      <c r="K22" s="1221">
        <v>600000</v>
      </c>
      <c r="L22" s="1138">
        <v>600000</v>
      </c>
      <c r="M22" s="1140">
        <v>600000</v>
      </c>
    </row>
    <row r="23" spans="1:13" ht="0.75" customHeight="1">
      <c r="A23" s="33"/>
      <c r="B23" s="92"/>
      <c r="C23" s="93"/>
      <c r="D23" s="92"/>
      <c r="E23" s="146"/>
      <c r="F23" s="94"/>
      <c r="G23" s="1481"/>
      <c r="H23" s="1482"/>
      <c r="I23" s="1482"/>
      <c r="J23" s="110"/>
      <c r="K23" s="111"/>
      <c r="L23" s="1136"/>
      <c r="M23" s="1140"/>
    </row>
    <row r="24" spans="1:13" ht="1.5" customHeight="1">
      <c r="A24" s="34"/>
      <c r="B24" s="97"/>
      <c r="C24" s="97"/>
      <c r="D24" s="98"/>
      <c r="E24" s="830"/>
      <c r="F24" s="99"/>
      <c r="G24" s="100"/>
      <c r="H24" s="101"/>
      <c r="I24" s="112"/>
      <c r="J24" s="113"/>
      <c r="K24" s="115"/>
      <c r="L24" s="1137"/>
      <c r="M24" s="1140"/>
    </row>
    <row r="25" spans="1:13" ht="0.75" customHeight="1" hidden="1">
      <c r="A25" s="35"/>
      <c r="B25" s="104"/>
      <c r="C25" s="104"/>
      <c r="D25" s="104"/>
      <c r="E25" s="829"/>
      <c r="F25" s="105"/>
      <c r="G25" s="1460"/>
      <c r="H25" s="1461"/>
      <c r="I25" s="64"/>
      <c r="J25" s="113"/>
      <c r="K25" s="376"/>
      <c r="L25" s="1138"/>
      <c r="M25" s="1140"/>
    </row>
    <row r="26" spans="1:13" ht="30.75" customHeight="1" hidden="1">
      <c r="A26" s="35"/>
      <c r="B26" s="104"/>
      <c r="C26" s="104"/>
      <c r="D26" s="104"/>
      <c r="E26" s="22"/>
      <c r="K26" s="22"/>
      <c r="L26" s="22"/>
      <c r="M26" s="22"/>
    </row>
    <row r="27" spans="1:13" ht="12.75">
      <c r="A27" s="35"/>
      <c r="B27" s="1091"/>
      <c r="C27" s="1186">
        <v>712</v>
      </c>
      <c r="D27" s="1091"/>
      <c r="E27" s="1092"/>
      <c r="F27" s="1093"/>
      <c r="G27" s="1094" t="s">
        <v>145</v>
      </c>
      <c r="H27" s="1095"/>
      <c r="I27" s="1096"/>
      <c r="J27" s="1097"/>
      <c r="K27" s="1098">
        <v>8000</v>
      </c>
      <c r="L27" s="1141">
        <v>8000</v>
      </c>
      <c r="M27" s="1177">
        <v>8000</v>
      </c>
    </row>
    <row r="28" spans="1:13" ht="12.75">
      <c r="A28" s="35"/>
      <c r="B28" s="104"/>
      <c r="C28" s="104"/>
      <c r="D28" s="104">
        <v>7121</v>
      </c>
      <c r="E28" s="829"/>
      <c r="F28" s="105"/>
      <c r="G28" s="1472" t="s">
        <v>146</v>
      </c>
      <c r="H28" s="1473"/>
      <c r="I28" s="1473"/>
      <c r="J28" s="1474"/>
      <c r="K28" s="376">
        <v>8000</v>
      </c>
      <c r="L28" s="1138">
        <v>8000</v>
      </c>
      <c r="M28" s="1140">
        <v>8000</v>
      </c>
    </row>
    <row r="29" spans="1:13" ht="12.75">
      <c r="A29" s="35"/>
      <c r="B29" s="104"/>
      <c r="C29" s="104"/>
      <c r="D29" s="104"/>
      <c r="E29" s="829">
        <v>712112</v>
      </c>
      <c r="F29" s="105"/>
      <c r="G29" s="1463" t="s">
        <v>146</v>
      </c>
      <c r="H29" s="1464"/>
      <c r="I29" s="1464"/>
      <c r="J29" s="1465"/>
      <c r="K29" s="376">
        <v>8000</v>
      </c>
      <c r="L29" s="1138">
        <v>8000</v>
      </c>
      <c r="M29" s="1140">
        <v>8000</v>
      </c>
    </row>
    <row r="30" spans="1:17" ht="12.75">
      <c r="A30" s="33"/>
      <c r="B30" s="92"/>
      <c r="C30" s="93">
        <v>713</v>
      </c>
      <c r="D30" s="92"/>
      <c r="E30" s="826"/>
      <c r="F30" s="94"/>
      <c r="G30" s="1481" t="s">
        <v>147</v>
      </c>
      <c r="H30" s="1482"/>
      <c r="I30" s="116"/>
      <c r="J30" s="110"/>
      <c r="K30" s="96">
        <f>K31+K34+K36+K41</f>
        <v>64568459</v>
      </c>
      <c r="L30" s="1142">
        <v>74768459</v>
      </c>
      <c r="M30" s="1177">
        <v>74768459</v>
      </c>
      <c r="O30" s="543" t="s">
        <v>1169</v>
      </c>
      <c r="P30" s="544">
        <f>K9+K23+K30+K43+K56</f>
        <v>242813459</v>
      </c>
      <c r="Q30" s="258"/>
    </row>
    <row r="31" spans="1:17" ht="12.75">
      <c r="A31" s="34"/>
      <c r="B31" s="97"/>
      <c r="C31" s="97"/>
      <c r="D31" s="98">
        <v>7131</v>
      </c>
      <c r="E31" s="827"/>
      <c r="F31" s="99"/>
      <c r="G31" s="1472" t="s">
        <v>148</v>
      </c>
      <c r="H31" s="1473"/>
      <c r="I31" s="1473"/>
      <c r="J31" s="1474"/>
      <c r="K31" s="117">
        <f>SUM(K32:K33)</f>
        <v>60000000</v>
      </c>
      <c r="L31" s="1143">
        <v>60000000</v>
      </c>
      <c r="M31" s="1178">
        <v>60000000</v>
      </c>
      <c r="P31" s="651">
        <v>0.00105</v>
      </c>
      <c r="Q31" s="733"/>
    </row>
    <row r="32" spans="1:17" ht="12.75">
      <c r="A32" s="35"/>
      <c r="B32" s="104"/>
      <c r="C32" s="104"/>
      <c r="D32" s="104"/>
      <c r="E32" s="829">
        <v>713121</v>
      </c>
      <c r="F32" s="105"/>
      <c r="G32" s="1463" t="s">
        <v>1408</v>
      </c>
      <c r="H32" s="1464"/>
      <c r="I32" s="1464"/>
      <c r="J32" s="1465"/>
      <c r="K32" s="374">
        <v>25000000</v>
      </c>
      <c r="L32" s="1144">
        <v>25000000</v>
      </c>
      <c r="M32" s="1179">
        <v>25000000</v>
      </c>
      <c r="O32" s="335" t="s">
        <v>1170</v>
      </c>
      <c r="P32" s="545">
        <f>P30*P31</f>
        <v>254954.13194999998</v>
      </c>
      <c r="Q32" s="258"/>
    </row>
    <row r="33" spans="1:17" ht="12.75">
      <c r="A33" s="35"/>
      <c r="B33" s="104"/>
      <c r="C33" s="104"/>
      <c r="D33" s="104"/>
      <c r="E33" s="829">
        <v>713122</v>
      </c>
      <c r="F33" s="105"/>
      <c r="G33" s="1463" t="s">
        <v>1409</v>
      </c>
      <c r="H33" s="1464"/>
      <c r="I33" s="1464"/>
      <c r="J33" s="1465"/>
      <c r="K33" s="374">
        <v>35000000</v>
      </c>
      <c r="L33" s="1144">
        <v>35000000</v>
      </c>
      <c r="M33" s="1179">
        <v>35000000</v>
      </c>
      <c r="O33" s="335"/>
      <c r="P33" s="545"/>
      <c r="Q33" s="258"/>
    </row>
    <row r="34" spans="1:13" ht="12.75">
      <c r="A34" s="34"/>
      <c r="B34" s="97"/>
      <c r="C34" s="97"/>
      <c r="D34" s="98">
        <v>7133</v>
      </c>
      <c r="E34" s="827"/>
      <c r="F34" s="99"/>
      <c r="G34" s="1472" t="s">
        <v>149</v>
      </c>
      <c r="H34" s="1473"/>
      <c r="I34" s="1473"/>
      <c r="J34" s="1474"/>
      <c r="K34" s="114">
        <f>K35</f>
        <v>800000</v>
      </c>
      <c r="L34" s="1145">
        <v>2000000</v>
      </c>
      <c r="M34" s="1179">
        <v>2000000</v>
      </c>
    </row>
    <row r="35" spans="1:13" ht="12.75">
      <c r="A35" s="35"/>
      <c r="B35" s="104"/>
      <c r="C35" s="104"/>
      <c r="D35" s="104"/>
      <c r="E35" s="829">
        <v>713311</v>
      </c>
      <c r="F35" s="105"/>
      <c r="G35" s="1463" t="s">
        <v>150</v>
      </c>
      <c r="H35" s="1464"/>
      <c r="I35" s="1464"/>
      <c r="J35" s="1465"/>
      <c r="K35" s="374">
        <v>800000</v>
      </c>
      <c r="L35" s="1144">
        <v>800000</v>
      </c>
      <c r="M35" s="1179">
        <v>800000</v>
      </c>
    </row>
    <row r="36" spans="1:17" ht="12.75">
      <c r="A36" s="34"/>
      <c r="B36" s="97"/>
      <c r="C36" s="97"/>
      <c r="D36" s="98">
        <v>7134</v>
      </c>
      <c r="E36" s="827"/>
      <c r="F36" s="99"/>
      <c r="G36" s="1487" t="s">
        <v>151</v>
      </c>
      <c r="H36" s="1488"/>
      <c r="I36" s="1488"/>
      <c r="J36" s="1489"/>
      <c r="K36" s="117">
        <f>SUM(K37:K39)</f>
        <v>3758459</v>
      </c>
      <c r="L36" s="1143">
        <v>12758459</v>
      </c>
      <c r="M36" s="1179">
        <v>12758459</v>
      </c>
      <c r="P36" s="27"/>
      <c r="Q36" s="734"/>
    </row>
    <row r="37" spans="1:17" ht="12.75">
      <c r="A37" s="35"/>
      <c r="B37" s="104"/>
      <c r="C37" s="104"/>
      <c r="D37" s="104"/>
      <c r="E37" s="829">
        <v>713421</v>
      </c>
      <c r="F37" s="105"/>
      <c r="G37" s="1463" t="s">
        <v>1447</v>
      </c>
      <c r="H37" s="1464"/>
      <c r="I37" s="1464"/>
      <c r="J37" s="1465"/>
      <c r="K37" s="1221">
        <v>3000000</v>
      </c>
      <c r="L37" s="1144">
        <f>K37</f>
        <v>3000000</v>
      </c>
      <c r="M37" s="1179">
        <f>K37</f>
        <v>3000000</v>
      </c>
      <c r="O37" s="335" t="s">
        <v>1171</v>
      </c>
      <c r="P37" s="545">
        <f>P30*P36</f>
        <v>0</v>
      </c>
      <c r="Q37" s="258"/>
    </row>
    <row r="38" spans="1:13" ht="12.75">
      <c r="A38" s="35"/>
      <c r="B38" s="104"/>
      <c r="C38" s="104"/>
      <c r="D38" s="104"/>
      <c r="E38" s="829">
        <v>713423</v>
      </c>
      <c r="F38" s="105"/>
      <c r="G38" s="1463" t="s">
        <v>1448</v>
      </c>
      <c r="H38" s="1464"/>
      <c r="I38" s="1464"/>
      <c r="J38" s="1465"/>
      <c r="K38" s="374">
        <v>748459</v>
      </c>
      <c r="L38" s="1146">
        <v>748459</v>
      </c>
      <c r="M38" s="1179">
        <v>748459</v>
      </c>
    </row>
    <row r="39" spans="1:13" ht="12.75">
      <c r="A39" s="35"/>
      <c r="B39" s="104"/>
      <c r="C39" s="104"/>
      <c r="D39" s="104"/>
      <c r="E39" s="829">
        <v>713426</v>
      </c>
      <c r="F39" s="105"/>
      <c r="G39" s="1463" t="s">
        <v>1410</v>
      </c>
      <c r="H39" s="1464"/>
      <c r="I39" s="1464"/>
      <c r="J39" s="1465"/>
      <c r="K39" s="374">
        <v>10000</v>
      </c>
      <c r="L39" s="1146">
        <v>10000</v>
      </c>
      <c r="M39" s="1179">
        <v>10000</v>
      </c>
    </row>
    <row r="40" spans="1:13" ht="12.75">
      <c r="A40" s="35"/>
      <c r="B40" s="104"/>
      <c r="C40" s="104"/>
      <c r="D40" s="104"/>
      <c r="E40" s="829">
        <v>713427</v>
      </c>
      <c r="F40" s="105"/>
      <c r="G40" s="1463" t="s">
        <v>1574</v>
      </c>
      <c r="H40" s="1464"/>
      <c r="I40" s="1464"/>
      <c r="J40" s="1465"/>
      <c r="K40" s="374">
        <v>1500000</v>
      </c>
      <c r="L40" s="1146">
        <v>1500000</v>
      </c>
      <c r="M40" s="1179">
        <v>1500000</v>
      </c>
    </row>
    <row r="41" spans="1:13" ht="12.75">
      <c r="A41" s="35"/>
      <c r="B41" s="104"/>
      <c r="C41" s="104"/>
      <c r="D41" s="104">
        <v>7136</v>
      </c>
      <c r="E41" s="829"/>
      <c r="F41" s="105"/>
      <c r="G41" s="1472" t="s">
        <v>1553</v>
      </c>
      <c r="H41" s="1473"/>
      <c r="I41" s="1473"/>
      <c r="J41" s="1474"/>
      <c r="K41" s="374">
        <v>10000</v>
      </c>
      <c r="L41" s="1146">
        <v>10000</v>
      </c>
      <c r="M41" s="1179">
        <v>10000</v>
      </c>
    </row>
    <row r="42" spans="1:13" ht="12.75">
      <c r="A42" s="35"/>
      <c r="B42" s="104"/>
      <c r="C42" s="104"/>
      <c r="D42" s="104"/>
      <c r="E42" s="829">
        <v>713611</v>
      </c>
      <c r="F42" s="105"/>
      <c r="G42" s="1463" t="s">
        <v>1552</v>
      </c>
      <c r="H42" s="1464"/>
      <c r="I42" s="1464"/>
      <c r="J42" s="1465"/>
      <c r="K42" s="374">
        <v>10000</v>
      </c>
      <c r="L42" s="1146">
        <v>10000</v>
      </c>
      <c r="M42" s="1179">
        <v>10000</v>
      </c>
    </row>
    <row r="43" spans="1:13" ht="12.75">
      <c r="A43" s="33"/>
      <c r="B43" s="92"/>
      <c r="C43" s="93">
        <v>714</v>
      </c>
      <c r="D43" s="92"/>
      <c r="E43" s="826"/>
      <c r="F43" s="94"/>
      <c r="G43" s="1481" t="s">
        <v>152</v>
      </c>
      <c r="H43" s="1482"/>
      <c r="I43" s="1482"/>
      <c r="J43" s="110"/>
      <c r="K43" s="118">
        <f>K44+K47</f>
        <v>7775000</v>
      </c>
      <c r="L43" s="1147">
        <v>8870000</v>
      </c>
      <c r="M43" s="1180">
        <v>8870000</v>
      </c>
    </row>
    <row r="44" spans="1:17" ht="12.75">
      <c r="A44" s="34"/>
      <c r="B44" s="97"/>
      <c r="C44" s="97"/>
      <c r="D44" s="98">
        <v>7144</v>
      </c>
      <c r="E44" s="827"/>
      <c r="F44" s="99"/>
      <c r="G44" s="1487" t="s">
        <v>153</v>
      </c>
      <c r="H44" s="1488"/>
      <c r="I44" s="1488"/>
      <c r="J44" s="113"/>
      <c r="K44" s="119">
        <f>SUM(K45:K46)</f>
        <v>50000</v>
      </c>
      <c r="L44" s="1148">
        <v>50000</v>
      </c>
      <c r="M44" s="1181">
        <v>50000</v>
      </c>
      <c r="N44" s="1516" t="s">
        <v>1172</v>
      </c>
      <c r="O44" s="1424"/>
      <c r="P44" s="545">
        <f>P32+P37</f>
        <v>254954.13194999998</v>
      </c>
      <c r="Q44" s="258"/>
    </row>
    <row r="45" spans="1:13" ht="12.75">
      <c r="A45" s="35"/>
      <c r="B45" s="104"/>
      <c r="C45" s="104"/>
      <c r="D45" s="104"/>
      <c r="E45" s="829">
        <v>714431</v>
      </c>
      <c r="F45" s="105"/>
      <c r="G45" s="1460" t="s">
        <v>154</v>
      </c>
      <c r="H45" s="1461"/>
      <c r="I45" s="1461"/>
      <c r="J45" s="1462"/>
      <c r="K45" s="375">
        <v>50000</v>
      </c>
      <c r="L45" s="1149">
        <v>50000</v>
      </c>
      <c r="M45" s="1140">
        <v>50000</v>
      </c>
    </row>
    <row r="46" spans="1:13" ht="12.75" hidden="1">
      <c r="A46" s="35"/>
      <c r="B46" s="104"/>
      <c r="C46" s="104"/>
      <c r="D46" s="104"/>
      <c r="E46" s="828">
        <v>71444</v>
      </c>
      <c r="F46" s="105"/>
      <c r="G46" s="1463" t="s">
        <v>155</v>
      </c>
      <c r="H46" s="1464"/>
      <c r="I46" s="1464"/>
      <c r="J46" s="1465"/>
      <c r="K46" s="375">
        <v>0</v>
      </c>
      <c r="L46" s="1149">
        <v>0</v>
      </c>
      <c r="M46" s="1140">
        <v>0</v>
      </c>
    </row>
    <row r="47" spans="1:13" ht="12.75">
      <c r="A47" s="34"/>
      <c r="B47" s="97"/>
      <c r="C47" s="97"/>
      <c r="D47" s="98">
        <v>7145</v>
      </c>
      <c r="E47" s="827"/>
      <c r="F47" s="99"/>
      <c r="G47" s="1487" t="s">
        <v>156</v>
      </c>
      <c r="H47" s="1488"/>
      <c r="I47" s="1488"/>
      <c r="J47" s="1489"/>
      <c r="K47" s="117">
        <f>SUM(K48:K55)</f>
        <v>7725000</v>
      </c>
      <c r="L47" s="1143">
        <v>8820000</v>
      </c>
      <c r="M47" s="1140">
        <v>8820000</v>
      </c>
    </row>
    <row r="48" spans="1:13" ht="12.75">
      <c r="A48" s="35"/>
      <c r="B48" s="104"/>
      <c r="C48" s="104"/>
      <c r="D48" s="104"/>
      <c r="E48" s="829">
        <v>714513</v>
      </c>
      <c r="F48" s="105"/>
      <c r="G48" s="1460" t="s">
        <v>1446</v>
      </c>
      <c r="H48" s="1461"/>
      <c r="I48" s="1497"/>
      <c r="J48" s="1498"/>
      <c r="K48" s="374">
        <v>4900000</v>
      </c>
      <c r="L48" s="1144">
        <v>4900000</v>
      </c>
      <c r="M48" s="1140">
        <v>4900000</v>
      </c>
    </row>
    <row r="49" spans="1:13" ht="0.75" customHeight="1">
      <c r="A49" s="35"/>
      <c r="B49" s="104"/>
      <c r="C49" s="104"/>
      <c r="D49" s="104"/>
      <c r="E49" s="828">
        <v>71454</v>
      </c>
      <c r="F49" s="105"/>
      <c r="G49" s="1460" t="s">
        <v>157</v>
      </c>
      <c r="H49" s="1461"/>
      <c r="I49" s="1461"/>
      <c r="J49" s="1462"/>
      <c r="K49" s="375">
        <v>0</v>
      </c>
      <c r="L49" s="1150">
        <v>0</v>
      </c>
      <c r="M49" s="1140">
        <v>0</v>
      </c>
    </row>
    <row r="50" spans="1:13" ht="12.75">
      <c r="A50" s="35"/>
      <c r="B50" s="104"/>
      <c r="C50" s="104"/>
      <c r="D50" s="104"/>
      <c r="E50" s="828">
        <v>714543</v>
      </c>
      <c r="F50" s="105"/>
      <c r="G50" s="106" t="s">
        <v>1465</v>
      </c>
      <c r="H50" s="107"/>
      <c r="I50" s="107"/>
      <c r="J50" s="109"/>
      <c r="K50" s="375">
        <v>10000</v>
      </c>
      <c r="L50" s="1150">
        <v>10000</v>
      </c>
      <c r="M50" s="1140">
        <v>10000</v>
      </c>
    </row>
    <row r="51" spans="1:13" ht="12.75">
      <c r="A51" s="35"/>
      <c r="B51" s="104"/>
      <c r="C51" s="104"/>
      <c r="D51" s="104"/>
      <c r="E51" s="828">
        <v>714549</v>
      </c>
      <c r="F51" s="105"/>
      <c r="G51" s="106" t="s">
        <v>1466</v>
      </c>
      <c r="H51" s="107"/>
      <c r="I51" s="107"/>
      <c r="J51" s="109"/>
      <c r="K51" s="375">
        <v>10000</v>
      </c>
      <c r="L51" s="1150">
        <v>10000</v>
      </c>
      <c r="M51" s="1140">
        <v>10000</v>
      </c>
    </row>
    <row r="52" spans="1:13" ht="12.75">
      <c r="A52" s="35"/>
      <c r="B52" s="104"/>
      <c r="C52" s="104"/>
      <c r="D52" s="104"/>
      <c r="E52" s="829">
        <v>714552</v>
      </c>
      <c r="F52" s="105"/>
      <c r="G52" s="1469" t="s">
        <v>1411</v>
      </c>
      <c r="H52" s="1470"/>
      <c r="I52" s="1470"/>
      <c r="J52" s="1471"/>
      <c r="K52" s="375">
        <v>500000</v>
      </c>
      <c r="L52" s="1144">
        <v>500000</v>
      </c>
      <c r="M52" s="1140">
        <v>500000</v>
      </c>
    </row>
    <row r="53" spans="1:13" ht="12.75">
      <c r="A53" s="35"/>
      <c r="B53" s="104"/>
      <c r="C53" s="104"/>
      <c r="D53" s="104"/>
      <c r="E53" s="829">
        <v>714562</v>
      </c>
      <c r="F53" s="788"/>
      <c r="G53" s="1463" t="s">
        <v>1412</v>
      </c>
      <c r="H53" s="1464"/>
      <c r="I53" s="1464"/>
      <c r="J53" s="1465"/>
      <c r="K53" s="375">
        <v>1500000</v>
      </c>
      <c r="L53" s="1150">
        <v>1500000</v>
      </c>
      <c r="M53" s="1140">
        <v>1500000</v>
      </c>
    </row>
    <row r="54" spans="1:13" ht="12.75">
      <c r="A54" s="35"/>
      <c r="B54" s="104"/>
      <c r="C54" s="104"/>
      <c r="D54" s="104"/>
      <c r="E54" s="829">
        <v>714565</v>
      </c>
      <c r="F54" s="788"/>
      <c r="G54" s="368" t="s">
        <v>1467</v>
      </c>
      <c r="H54" s="253"/>
      <c r="I54" s="253"/>
      <c r="J54" s="369"/>
      <c r="K54" s="375">
        <v>800000</v>
      </c>
      <c r="L54" s="1150">
        <v>800000</v>
      </c>
      <c r="M54" s="1140">
        <v>800000</v>
      </c>
    </row>
    <row r="55" spans="1:13" ht="12.75">
      <c r="A55" s="35"/>
      <c r="B55" s="104"/>
      <c r="C55" s="104"/>
      <c r="D55" s="104"/>
      <c r="E55" s="829">
        <v>714566</v>
      </c>
      <c r="F55" s="788"/>
      <c r="G55" s="1463" t="s">
        <v>1575</v>
      </c>
      <c r="H55" s="1464"/>
      <c r="I55" s="1464"/>
      <c r="J55" s="1465"/>
      <c r="K55" s="1251">
        <v>5000</v>
      </c>
      <c r="L55" s="1150">
        <v>5000</v>
      </c>
      <c r="M55" s="1140">
        <v>5000</v>
      </c>
    </row>
    <row r="56" spans="1:13" ht="12.75">
      <c r="A56" s="33"/>
      <c r="B56" s="92"/>
      <c r="C56" s="93">
        <v>716</v>
      </c>
      <c r="D56" s="92"/>
      <c r="E56" s="826"/>
      <c r="F56" s="94"/>
      <c r="G56" s="1481" t="s">
        <v>158</v>
      </c>
      <c r="H56" s="1482"/>
      <c r="I56" s="116"/>
      <c r="J56" s="110"/>
      <c r="K56" s="118">
        <f>K57</f>
        <v>6010000</v>
      </c>
      <c r="L56" s="1147">
        <v>8010000</v>
      </c>
      <c r="M56" s="1180">
        <v>8010000</v>
      </c>
    </row>
    <row r="57" spans="1:13" ht="12.75">
      <c r="A57" s="34"/>
      <c r="B57" s="97"/>
      <c r="C57" s="97"/>
      <c r="D57" s="98">
        <v>7161</v>
      </c>
      <c r="E57" s="827"/>
      <c r="F57" s="99"/>
      <c r="G57" s="1472" t="s">
        <v>159</v>
      </c>
      <c r="H57" s="1473"/>
      <c r="I57" s="1473"/>
      <c r="J57" s="1474"/>
      <c r="K57" s="117">
        <f>SUM(K58:K59)</f>
        <v>6010000</v>
      </c>
      <c r="L57" s="1143">
        <v>8010000</v>
      </c>
      <c r="M57" s="1181">
        <v>8010000</v>
      </c>
    </row>
    <row r="58" spans="1:13" ht="12.75">
      <c r="A58" s="35"/>
      <c r="B58" s="104"/>
      <c r="C58" s="104"/>
      <c r="D58" s="104"/>
      <c r="E58" s="829">
        <v>716111</v>
      </c>
      <c r="F58" s="105"/>
      <c r="G58" s="1463" t="s">
        <v>1413</v>
      </c>
      <c r="H58" s="1464"/>
      <c r="I58" s="1464"/>
      <c r="J58" s="1465"/>
      <c r="K58" s="375">
        <v>6000000</v>
      </c>
      <c r="L58" s="1151">
        <v>6000000</v>
      </c>
      <c r="M58" s="1140">
        <v>6000000</v>
      </c>
    </row>
    <row r="59" spans="1:13" ht="25.5" customHeight="1">
      <c r="A59" s="35"/>
      <c r="B59" s="104"/>
      <c r="C59" s="104"/>
      <c r="D59" s="104"/>
      <c r="E59" s="829">
        <v>716112</v>
      </c>
      <c r="F59" s="105"/>
      <c r="G59" s="1499" t="s">
        <v>1445</v>
      </c>
      <c r="H59" s="1464"/>
      <c r="I59" s="1464"/>
      <c r="J59" s="1465"/>
      <c r="K59" s="375">
        <v>10000</v>
      </c>
      <c r="L59" s="1151">
        <v>10000</v>
      </c>
      <c r="M59" s="1140">
        <v>10000</v>
      </c>
    </row>
    <row r="60" spans="1:13" ht="15" customHeight="1" hidden="1">
      <c r="A60" s="35"/>
      <c r="B60" s="1091"/>
      <c r="C60" s="1186">
        <v>732</v>
      </c>
      <c r="D60" s="1091"/>
      <c r="E60" s="1092"/>
      <c r="F60" s="1093"/>
      <c r="G60" s="1519" t="s">
        <v>191</v>
      </c>
      <c r="H60" s="1520"/>
      <c r="I60" s="1520"/>
      <c r="J60" s="1521"/>
      <c r="K60" s="1187">
        <f>K61</f>
        <v>0</v>
      </c>
      <c r="L60" s="1187">
        <v>0</v>
      </c>
      <c r="M60" s="1187">
        <v>0</v>
      </c>
    </row>
    <row r="61" spans="1:13" ht="12.75" customHeight="1" hidden="1">
      <c r="A61" s="35"/>
      <c r="B61" s="104"/>
      <c r="C61" s="104"/>
      <c r="D61" s="104">
        <v>7321</v>
      </c>
      <c r="E61" s="829"/>
      <c r="F61" s="105"/>
      <c r="G61" s="1522" t="s">
        <v>1576</v>
      </c>
      <c r="H61" s="1523"/>
      <c r="I61" s="1523"/>
      <c r="J61" s="1524"/>
      <c r="K61" s="375">
        <v>0</v>
      </c>
      <c r="L61" s="1151">
        <v>0</v>
      </c>
      <c r="M61" s="1140">
        <v>0</v>
      </c>
    </row>
    <row r="62" spans="1:13" ht="18" customHeight="1" hidden="1">
      <c r="A62" s="35"/>
      <c r="B62" s="104"/>
      <c r="C62" s="104"/>
      <c r="D62" s="104"/>
      <c r="E62" s="829">
        <v>732151</v>
      </c>
      <c r="F62" s="105"/>
      <c r="G62" s="1499" t="s">
        <v>1577</v>
      </c>
      <c r="H62" s="1512"/>
      <c r="I62" s="1512"/>
      <c r="J62" s="1513"/>
      <c r="K62" s="375">
        <v>0</v>
      </c>
      <c r="L62" s="1151">
        <v>0</v>
      </c>
      <c r="M62" s="1140">
        <v>0</v>
      </c>
    </row>
    <row r="63" spans="1:13" ht="12.75">
      <c r="A63" s="33"/>
      <c r="B63" s="92"/>
      <c r="C63" s="93">
        <v>733</v>
      </c>
      <c r="D63" s="92"/>
      <c r="E63" s="826"/>
      <c r="F63" s="94"/>
      <c r="G63" s="95" t="s">
        <v>160</v>
      </c>
      <c r="H63" s="77"/>
      <c r="I63" s="116"/>
      <c r="J63" s="110"/>
      <c r="K63" s="96">
        <f>K64</f>
        <v>179066510</v>
      </c>
      <c r="L63" s="1142">
        <v>160771510</v>
      </c>
      <c r="M63" s="1180">
        <v>160771510</v>
      </c>
    </row>
    <row r="64" spans="1:13" ht="12.75">
      <c r="A64" s="34"/>
      <c r="B64" s="97"/>
      <c r="C64" s="97"/>
      <c r="D64" s="98">
        <v>7331</v>
      </c>
      <c r="E64" s="827"/>
      <c r="F64" s="99"/>
      <c r="G64" s="1472" t="s">
        <v>161</v>
      </c>
      <c r="H64" s="1473"/>
      <c r="I64" s="1473"/>
      <c r="J64" s="1474"/>
      <c r="K64" s="103">
        <f>SUM(K65:K67)</f>
        <v>179066510</v>
      </c>
      <c r="L64" s="103">
        <v>160771510</v>
      </c>
      <c r="M64" s="103">
        <v>160771510</v>
      </c>
    </row>
    <row r="65" spans="1:13" ht="12.75">
      <c r="A65" s="34"/>
      <c r="B65" s="97"/>
      <c r="C65" s="97"/>
      <c r="D65" s="98"/>
      <c r="E65" s="1188">
        <v>733154</v>
      </c>
      <c r="F65" s="99"/>
      <c r="G65" s="1463" t="s">
        <v>1578</v>
      </c>
      <c r="H65" s="1473"/>
      <c r="I65" s="1473"/>
      <c r="J65" s="1474"/>
      <c r="K65" s="1190">
        <v>18295000</v>
      </c>
      <c r="L65" s="1189">
        <v>18295000</v>
      </c>
      <c r="M65" s="1140">
        <v>18295000</v>
      </c>
    </row>
    <row r="66" spans="1:13" ht="12.75">
      <c r="A66" s="34"/>
      <c r="B66" s="97"/>
      <c r="C66" s="97"/>
      <c r="D66" s="98"/>
      <c r="E66" s="1188">
        <v>733156</v>
      </c>
      <c r="F66" s="99"/>
      <c r="G66" s="1500" t="s">
        <v>1579</v>
      </c>
      <c r="H66" s="1501"/>
      <c r="I66" s="1501"/>
      <c r="J66" s="1502"/>
      <c r="K66" s="1190">
        <v>0</v>
      </c>
      <c r="L66" s="1189">
        <v>0</v>
      </c>
      <c r="M66" s="1140">
        <v>0</v>
      </c>
    </row>
    <row r="67" spans="1:13" s="26" customFormat="1" ht="12.75">
      <c r="A67" s="36"/>
      <c r="B67" s="120"/>
      <c r="C67" s="120"/>
      <c r="D67" s="120"/>
      <c r="E67" s="831">
        <v>733158</v>
      </c>
      <c r="F67" s="121"/>
      <c r="G67" s="1460" t="s">
        <v>170</v>
      </c>
      <c r="H67" s="1461"/>
      <c r="I67" s="1461"/>
      <c r="J67" s="1462"/>
      <c r="K67" s="375">
        <v>160771510</v>
      </c>
      <c r="L67" s="1152">
        <v>160771510</v>
      </c>
      <c r="M67" s="1140">
        <v>160771510</v>
      </c>
    </row>
    <row r="68" spans="1:13" ht="12.75">
      <c r="A68" s="33"/>
      <c r="B68" s="92"/>
      <c r="C68" s="93">
        <v>741</v>
      </c>
      <c r="D68" s="92"/>
      <c r="E68" s="826"/>
      <c r="F68" s="94"/>
      <c r="G68" s="1481" t="s">
        <v>171</v>
      </c>
      <c r="H68" s="1482"/>
      <c r="I68" s="116"/>
      <c r="J68" s="110"/>
      <c r="K68" s="118">
        <f>K69+K73+K71</f>
        <v>44790000</v>
      </c>
      <c r="L68" s="1147">
        <v>44790000</v>
      </c>
      <c r="M68" s="1180">
        <v>44790000</v>
      </c>
    </row>
    <row r="69" spans="1:15" ht="12.75">
      <c r="A69" s="34"/>
      <c r="B69" s="97"/>
      <c r="C69" s="97"/>
      <c r="D69" s="98">
        <v>7411</v>
      </c>
      <c r="E69" s="827"/>
      <c r="F69" s="99"/>
      <c r="G69" s="1472" t="s">
        <v>172</v>
      </c>
      <c r="H69" s="1473"/>
      <c r="I69" s="1473"/>
      <c r="J69" s="1474"/>
      <c r="K69" s="115">
        <f>K70</f>
        <v>2200000</v>
      </c>
      <c r="L69" s="1137">
        <v>2200000</v>
      </c>
      <c r="M69" s="1181">
        <v>2200000</v>
      </c>
      <c r="O69" s="502"/>
    </row>
    <row r="70" spans="1:13" ht="12.75">
      <c r="A70" s="35"/>
      <c r="B70" s="104"/>
      <c r="C70" s="104"/>
      <c r="D70" s="104"/>
      <c r="E70" s="828">
        <v>741151</v>
      </c>
      <c r="F70" s="105"/>
      <c r="G70" s="1463" t="s">
        <v>1418</v>
      </c>
      <c r="H70" s="1464"/>
      <c r="I70" s="1464"/>
      <c r="J70" s="1465"/>
      <c r="K70" s="375">
        <v>2200000</v>
      </c>
      <c r="L70" s="1153">
        <v>2200000</v>
      </c>
      <c r="M70" s="1140">
        <v>2200000</v>
      </c>
    </row>
    <row r="71" spans="1:17" s="692" customFormat="1" ht="12.75">
      <c r="A71" s="34"/>
      <c r="B71" s="97"/>
      <c r="C71" s="97"/>
      <c r="D71" s="98">
        <v>7414</v>
      </c>
      <c r="E71" s="832"/>
      <c r="F71" s="99"/>
      <c r="G71" s="367" t="s">
        <v>1320</v>
      </c>
      <c r="H71" s="707"/>
      <c r="I71" s="707"/>
      <c r="J71" s="787"/>
      <c r="K71" s="731">
        <f>K72</f>
        <v>10000</v>
      </c>
      <c r="L71" s="1155">
        <v>10000</v>
      </c>
      <c r="M71" s="1140">
        <v>10000</v>
      </c>
      <c r="Q71" s="735"/>
    </row>
    <row r="72" spans="1:13" ht="12.75">
      <c r="A72" s="35"/>
      <c r="B72" s="104"/>
      <c r="C72" s="104"/>
      <c r="D72" s="104"/>
      <c r="E72" s="828">
        <v>741414</v>
      </c>
      <c r="F72" s="105"/>
      <c r="G72" s="368" t="s">
        <v>1319</v>
      </c>
      <c r="H72" s="253"/>
      <c r="I72" s="253"/>
      <c r="J72" s="369"/>
      <c r="K72" s="383">
        <v>10000</v>
      </c>
      <c r="L72" s="1154">
        <v>10000</v>
      </c>
      <c r="M72" s="1140">
        <v>10000</v>
      </c>
    </row>
    <row r="73" spans="1:13" ht="12.75">
      <c r="A73" s="34"/>
      <c r="B73" s="97"/>
      <c r="C73" s="97"/>
      <c r="D73" s="98">
        <v>7415</v>
      </c>
      <c r="E73" s="827"/>
      <c r="F73" s="99"/>
      <c r="G73" s="1487" t="s">
        <v>173</v>
      </c>
      <c r="H73" s="1488"/>
      <c r="I73" s="1488"/>
      <c r="J73" s="113"/>
      <c r="K73" s="117">
        <f>SUM(K74:K81)</f>
        <v>42580000</v>
      </c>
      <c r="L73" s="1143">
        <v>42580000</v>
      </c>
      <c r="M73" s="1140">
        <v>42580000</v>
      </c>
    </row>
    <row r="74" spans="1:15" ht="12.75">
      <c r="A74" s="35"/>
      <c r="B74" s="104"/>
      <c r="C74" s="104"/>
      <c r="D74" s="123"/>
      <c r="E74" s="833">
        <v>741516</v>
      </c>
      <c r="F74" s="105"/>
      <c r="G74" s="1460" t="s">
        <v>174</v>
      </c>
      <c r="H74" s="1461"/>
      <c r="I74" s="1461"/>
      <c r="J74" s="1462"/>
      <c r="K74" s="375">
        <v>3000000</v>
      </c>
      <c r="L74" s="1144">
        <v>3000000</v>
      </c>
      <c r="M74" s="1140">
        <v>3000000</v>
      </c>
      <c r="O74" s="254"/>
    </row>
    <row r="75" spans="1:15" ht="12.75">
      <c r="A75" s="35"/>
      <c r="B75" s="104"/>
      <c r="C75" s="104"/>
      <c r="D75" s="123"/>
      <c r="E75" s="833">
        <v>741522</v>
      </c>
      <c r="F75" s="105"/>
      <c r="G75" s="1460" t="s">
        <v>1419</v>
      </c>
      <c r="H75" s="1461"/>
      <c r="I75" s="1461"/>
      <c r="J75" s="1462"/>
      <c r="K75" s="375">
        <v>38000000</v>
      </c>
      <c r="L75" s="1144">
        <v>38000000</v>
      </c>
      <c r="M75" s="1140">
        <v>38000000</v>
      </c>
      <c r="O75" s="254"/>
    </row>
    <row r="76" spans="1:15" ht="12.75">
      <c r="A76" s="35"/>
      <c r="B76" s="104"/>
      <c r="C76" s="104"/>
      <c r="D76" s="123"/>
      <c r="E76" s="156">
        <v>741526</v>
      </c>
      <c r="F76" s="105"/>
      <c r="G76" s="106" t="s">
        <v>1420</v>
      </c>
      <c r="H76" s="107"/>
      <c r="I76" s="107"/>
      <c r="J76" s="109"/>
      <c r="K76" s="375">
        <v>10000</v>
      </c>
      <c r="L76" s="1144">
        <v>10000</v>
      </c>
      <c r="M76" s="1140">
        <v>10000</v>
      </c>
      <c r="O76" s="254"/>
    </row>
    <row r="77" spans="1:13" ht="12.75">
      <c r="A77" s="35"/>
      <c r="B77" s="104"/>
      <c r="C77" s="104"/>
      <c r="D77" s="104"/>
      <c r="E77" s="828">
        <v>741531</v>
      </c>
      <c r="F77" s="105"/>
      <c r="G77" s="1460" t="s">
        <v>175</v>
      </c>
      <c r="H77" s="1461"/>
      <c r="I77" s="1461"/>
      <c r="J77" s="1462"/>
      <c r="K77" s="375">
        <v>400000</v>
      </c>
      <c r="L77" s="1144">
        <v>400000</v>
      </c>
      <c r="M77" s="1140">
        <v>400000</v>
      </c>
    </row>
    <row r="78" spans="1:13" ht="12.75">
      <c r="A78" s="35"/>
      <c r="B78" s="104"/>
      <c r="C78" s="104"/>
      <c r="D78" s="104"/>
      <c r="E78" s="828">
        <v>74155</v>
      </c>
      <c r="F78" s="105"/>
      <c r="G78" s="1460" t="s">
        <v>157</v>
      </c>
      <c r="H78" s="1461"/>
      <c r="I78" s="1461"/>
      <c r="J78" s="1462"/>
      <c r="K78" s="375">
        <v>0</v>
      </c>
      <c r="L78" s="1150">
        <v>0</v>
      </c>
      <c r="M78" s="1140">
        <v>0</v>
      </c>
    </row>
    <row r="79" spans="1:13" ht="12.75">
      <c r="A79" s="35"/>
      <c r="B79" s="104"/>
      <c r="C79" s="104"/>
      <c r="D79" s="104"/>
      <c r="E79" s="829">
        <v>741534</v>
      </c>
      <c r="F79" s="105"/>
      <c r="G79" s="106" t="s">
        <v>1421</v>
      </c>
      <c r="H79" s="107"/>
      <c r="I79" s="107"/>
      <c r="J79" s="109"/>
      <c r="K79" s="375">
        <v>200000</v>
      </c>
      <c r="L79" s="1150">
        <v>200000</v>
      </c>
      <c r="M79" s="1140">
        <v>200000</v>
      </c>
    </row>
    <row r="80" spans="1:13" ht="12.75">
      <c r="A80" s="35"/>
      <c r="B80" s="104"/>
      <c r="C80" s="104"/>
      <c r="D80" s="104"/>
      <c r="E80" s="829">
        <v>741538</v>
      </c>
      <c r="F80" s="105"/>
      <c r="G80" s="106" t="s">
        <v>1422</v>
      </c>
      <c r="H80" s="107"/>
      <c r="I80" s="107"/>
      <c r="J80" s="109"/>
      <c r="K80" s="375">
        <v>320000</v>
      </c>
      <c r="L80" s="1150">
        <v>320000</v>
      </c>
      <c r="M80" s="1140">
        <v>320000</v>
      </c>
    </row>
    <row r="81" spans="1:13" ht="12.75">
      <c r="A81" s="35"/>
      <c r="B81" s="104"/>
      <c r="C81" s="104"/>
      <c r="D81" s="104"/>
      <c r="E81" s="829">
        <v>741596</v>
      </c>
      <c r="F81" s="105"/>
      <c r="G81" s="106" t="s">
        <v>1440</v>
      </c>
      <c r="H81" s="107"/>
      <c r="I81" s="107"/>
      <c r="J81" s="109"/>
      <c r="K81" s="375">
        <v>650000</v>
      </c>
      <c r="L81" s="1150">
        <v>650000</v>
      </c>
      <c r="M81" s="1140">
        <v>650000</v>
      </c>
    </row>
    <row r="82" spans="1:13" ht="12.75">
      <c r="A82" s="33"/>
      <c r="B82" s="92"/>
      <c r="C82" s="93">
        <v>742</v>
      </c>
      <c r="D82" s="92"/>
      <c r="E82" s="826"/>
      <c r="F82" s="94"/>
      <c r="G82" s="1481" t="s">
        <v>176</v>
      </c>
      <c r="H82" s="1482"/>
      <c r="I82" s="1482"/>
      <c r="J82" s="1483"/>
      <c r="K82" s="111">
        <f>K83+K90+K96</f>
        <v>7100000</v>
      </c>
      <c r="L82" s="1136">
        <v>7100000</v>
      </c>
      <c r="M82" s="1180">
        <v>7100000</v>
      </c>
    </row>
    <row r="83" spans="1:17" s="692" customFormat="1" ht="12.75">
      <c r="A83" s="34"/>
      <c r="B83" s="97"/>
      <c r="C83" s="97"/>
      <c r="D83" s="98">
        <v>7421</v>
      </c>
      <c r="E83" s="827"/>
      <c r="F83" s="99"/>
      <c r="G83" s="100" t="s">
        <v>1283</v>
      </c>
      <c r="H83" s="101"/>
      <c r="I83" s="101"/>
      <c r="J83" s="102"/>
      <c r="K83" s="691">
        <f>SUM(K84:K89)</f>
        <v>6600000</v>
      </c>
      <c r="L83" s="1156">
        <v>6600000</v>
      </c>
      <c r="M83" s="1181">
        <v>6600000</v>
      </c>
      <c r="Q83" s="735"/>
    </row>
    <row r="84" spans="1:13" ht="12.75">
      <c r="A84" s="35"/>
      <c r="B84" s="104"/>
      <c r="C84" s="104"/>
      <c r="D84" s="98"/>
      <c r="E84" s="834">
        <v>742126</v>
      </c>
      <c r="F84" s="105"/>
      <c r="G84" s="1463" t="s">
        <v>1321</v>
      </c>
      <c r="H84" s="1464"/>
      <c r="I84" s="1464"/>
      <c r="J84" s="1465"/>
      <c r="K84" s="375">
        <v>100000</v>
      </c>
      <c r="L84" s="1157">
        <v>100000</v>
      </c>
      <c r="M84" s="1140">
        <v>100000</v>
      </c>
    </row>
    <row r="85" spans="1:13" ht="12.75">
      <c r="A85" s="35"/>
      <c r="B85" s="104"/>
      <c r="C85" s="104"/>
      <c r="D85" s="104"/>
      <c r="E85" s="828">
        <v>742151</v>
      </c>
      <c r="F85" s="105"/>
      <c r="G85" s="1463" t="s">
        <v>1434</v>
      </c>
      <c r="H85" s="1464"/>
      <c r="I85" s="1464"/>
      <c r="J85" s="1465"/>
      <c r="K85" s="375">
        <v>800000</v>
      </c>
      <c r="L85" s="1157">
        <v>800000</v>
      </c>
      <c r="M85" s="1140">
        <v>800000</v>
      </c>
    </row>
    <row r="86" spans="1:13" ht="12.75">
      <c r="A86" s="35"/>
      <c r="B86" s="104"/>
      <c r="C86" s="104"/>
      <c r="D86" s="104"/>
      <c r="E86" s="829">
        <v>742152</v>
      </c>
      <c r="F86" s="105"/>
      <c r="G86" s="368" t="s">
        <v>1423</v>
      </c>
      <c r="H86" s="253"/>
      <c r="I86" s="253"/>
      <c r="J86" s="369"/>
      <c r="K86" s="375">
        <v>100000</v>
      </c>
      <c r="L86" s="1157">
        <v>100000</v>
      </c>
      <c r="M86" s="1140">
        <v>100000</v>
      </c>
    </row>
    <row r="87" spans="1:13" ht="12.75">
      <c r="A87" s="35"/>
      <c r="B87" s="104"/>
      <c r="C87" s="104"/>
      <c r="D87" s="104"/>
      <c r="E87" s="829">
        <v>742154</v>
      </c>
      <c r="F87" s="105"/>
      <c r="G87" s="368" t="s">
        <v>1424</v>
      </c>
      <c r="H87" s="253"/>
      <c r="I87" s="253"/>
      <c r="J87" s="369"/>
      <c r="K87" s="375">
        <v>100000</v>
      </c>
      <c r="L87" s="1157">
        <v>100000</v>
      </c>
      <c r="M87" s="1140">
        <v>100000</v>
      </c>
    </row>
    <row r="88" spans="1:13" ht="12.75">
      <c r="A88" s="35"/>
      <c r="B88" s="104"/>
      <c r="C88" s="104"/>
      <c r="D88" s="104"/>
      <c r="E88" s="829">
        <v>742155</v>
      </c>
      <c r="F88" s="105"/>
      <c r="G88" s="368" t="s">
        <v>1439</v>
      </c>
      <c r="H88" s="253"/>
      <c r="I88" s="253"/>
      <c r="J88" s="369"/>
      <c r="K88" s="375">
        <v>500000</v>
      </c>
      <c r="L88" s="1157">
        <v>500000</v>
      </c>
      <c r="M88" s="1140">
        <v>500000</v>
      </c>
    </row>
    <row r="89" spans="1:13" ht="12.75">
      <c r="A89" s="35"/>
      <c r="B89" s="104"/>
      <c r="C89" s="104"/>
      <c r="D89" s="104"/>
      <c r="E89" s="829">
        <v>742156</v>
      </c>
      <c r="F89" s="105"/>
      <c r="G89" s="368" t="s">
        <v>1425</v>
      </c>
      <c r="H89" s="253"/>
      <c r="I89" s="253"/>
      <c r="J89" s="369"/>
      <c r="K89" s="375">
        <v>5000000</v>
      </c>
      <c r="L89" s="1157">
        <v>5000000</v>
      </c>
      <c r="M89" s="1140">
        <v>5000000</v>
      </c>
    </row>
    <row r="90" spans="1:13" ht="12.75">
      <c r="A90" s="34"/>
      <c r="B90" s="97"/>
      <c r="C90" s="97"/>
      <c r="D90" s="98">
        <v>7422</v>
      </c>
      <c r="E90" s="827"/>
      <c r="F90" s="99"/>
      <c r="G90" s="100" t="s">
        <v>177</v>
      </c>
      <c r="H90" s="101"/>
      <c r="I90" s="112"/>
      <c r="J90" s="113"/>
      <c r="K90" s="115">
        <f>K91+K92</f>
        <v>500000</v>
      </c>
      <c r="L90" s="1137">
        <v>500000</v>
      </c>
      <c r="M90" s="1140">
        <v>500000</v>
      </c>
    </row>
    <row r="91" spans="1:13" ht="20.25" customHeight="1">
      <c r="A91" s="35"/>
      <c r="B91" s="104"/>
      <c r="C91" s="104"/>
      <c r="D91" s="104"/>
      <c r="E91" s="828">
        <v>742251</v>
      </c>
      <c r="F91" s="105"/>
      <c r="G91" s="1460" t="s">
        <v>1426</v>
      </c>
      <c r="H91" s="1461"/>
      <c r="I91" s="1461"/>
      <c r="J91" s="108"/>
      <c r="K91" s="374">
        <v>200000</v>
      </c>
      <c r="L91" s="1158">
        <v>200000</v>
      </c>
      <c r="M91" s="1140">
        <v>200000</v>
      </c>
    </row>
    <row r="92" spans="1:13" ht="20.25" customHeight="1">
      <c r="A92" s="35"/>
      <c r="B92" s="104"/>
      <c r="C92" s="104"/>
      <c r="D92" s="104"/>
      <c r="E92" s="828">
        <v>742255</v>
      </c>
      <c r="F92" s="105"/>
      <c r="G92" s="106" t="s">
        <v>1427</v>
      </c>
      <c r="H92" s="107"/>
      <c r="I92" s="107"/>
      <c r="J92" s="108"/>
      <c r="K92" s="374">
        <v>300000</v>
      </c>
      <c r="L92" s="1158">
        <v>300000</v>
      </c>
      <c r="M92" s="1140">
        <v>300000</v>
      </c>
    </row>
    <row r="93" spans="1:13" ht="15.75" customHeight="1" hidden="1">
      <c r="A93" s="34"/>
      <c r="B93" s="97"/>
      <c r="C93" s="97"/>
      <c r="D93" s="98"/>
      <c r="E93" s="827"/>
      <c r="F93" s="99"/>
      <c r="G93" s="1472"/>
      <c r="H93" s="1473"/>
      <c r="I93" s="1473"/>
      <c r="J93" s="1474"/>
      <c r="K93" s="115"/>
      <c r="L93" s="1137"/>
      <c r="M93" s="1140"/>
    </row>
    <row r="94" spans="1:13" ht="1.5" customHeight="1">
      <c r="A94" s="35"/>
      <c r="B94" s="104"/>
      <c r="C94" s="104"/>
      <c r="D94" s="123"/>
      <c r="E94" s="833"/>
      <c r="F94" s="105"/>
      <c r="G94" s="1463"/>
      <c r="H94" s="1464"/>
      <c r="I94" s="1464"/>
      <c r="J94" s="1465"/>
      <c r="K94" s="374"/>
      <c r="L94" s="1159"/>
      <c r="M94" s="1140"/>
    </row>
    <row r="95" spans="1:13" ht="0.75" customHeight="1">
      <c r="A95" s="35"/>
      <c r="B95" s="104"/>
      <c r="C95" s="104"/>
      <c r="D95" s="123"/>
      <c r="E95" s="156"/>
      <c r="F95" s="105"/>
      <c r="G95" s="368"/>
      <c r="H95" s="253"/>
      <c r="I95" s="253"/>
      <c r="J95" s="369"/>
      <c r="K95" s="374"/>
      <c r="L95" s="1159"/>
      <c r="M95" s="1140"/>
    </row>
    <row r="96" spans="1:13" ht="12.75" hidden="1">
      <c r="A96" s="35"/>
      <c r="B96" s="104"/>
      <c r="C96" s="104"/>
      <c r="D96" s="123">
        <v>7423</v>
      </c>
      <c r="E96" s="156"/>
      <c r="F96" s="105"/>
      <c r="G96" s="367" t="s">
        <v>203</v>
      </c>
      <c r="H96" s="253"/>
      <c r="I96" s="253"/>
      <c r="J96" s="369"/>
      <c r="K96" s="374">
        <f>K97</f>
        <v>0</v>
      </c>
      <c r="L96" s="1159">
        <v>0</v>
      </c>
      <c r="M96" s="1140">
        <v>0</v>
      </c>
    </row>
    <row r="97" spans="1:13" ht="1.5" customHeight="1" hidden="1">
      <c r="A97" s="35"/>
      <c r="B97" s="104"/>
      <c r="C97" s="104"/>
      <c r="D97" s="123"/>
      <c r="E97" s="156">
        <v>742378</v>
      </c>
      <c r="F97" s="105"/>
      <c r="G97" s="1463" t="s">
        <v>1174</v>
      </c>
      <c r="H97" s="1464"/>
      <c r="I97" s="1464"/>
      <c r="J97" s="1465"/>
      <c r="K97" s="374">
        <v>0</v>
      </c>
      <c r="L97" s="1159">
        <v>0</v>
      </c>
      <c r="M97" s="1140">
        <v>0</v>
      </c>
    </row>
    <row r="98" spans="1:13" ht="12.75">
      <c r="A98" s="35"/>
      <c r="B98" s="92"/>
      <c r="C98" s="93">
        <v>743</v>
      </c>
      <c r="D98" s="92"/>
      <c r="E98" s="826"/>
      <c r="F98" s="94"/>
      <c r="G98" s="95" t="s">
        <v>178</v>
      </c>
      <c r="H98" s="77"/>
      <c r="I98" s="77"/>
      <c r="J98" s="78"/>
      <c r="K98" s="111">
        <f>K99</f>
        <v>4100000</v>
      </c>
      <c r="L98" s="1136">
        <v>4100000</v>
      </c>
      <c r="M98" s="1180">
        <v>4100000</v>
      </c>
    </row>
    <row r="99" spans="1:13" ht="12.75">
      <c r="A99" s="35"/>
      <c r="B99" s="104"/>
      <c r="C99" s="104"/>
      <c r="D99" s="98">
        <v>7433</v>
      </c>
      <c r="E99" s="828"/>
      <c r="F99" s="105"/>
      <c r="G99" s="1487" t="s">
        <v>179</v>
      </c>
      <c r="H99" s="1488"/>
      <c r="I99" s="1488"/>
      <c r="J99" s="1489"/>
      <c r="K99" s="115">
        <f>SUM(K100:K101)</f>
        <v>4100000</v>
      </c>
      <c r="L99" s="1137">
        <v>4100000</v>
      </c>
      <c r="M99" s="1181">
        <v>4100000</v>
      </c>
    </row>
    <row r="100" spans="1:13" ht="16.5" customHeight="1">
      <c r="A100" s="35"/>
      <c r="B100" s="104"/>
      <c r="C100" s="104"/>
      <c r="D100" s="98"/>
      <c r="E100" s="828">
        <v>743324</v>
      </c>
      <c r="F100" s="105"/>
      <c r="G100" s="106" t="s">
        <v>204</v>
      </c>
      <c r="H100" s="107"/>
      <c r="I100" s="107"/>
      <c r="J100" s="109"/>
      <c r="K100" s="375">
        <v>4000000</v>
      </c>
      <c r="L100" s="1160">
        <v>4000000</v>
      </c>
      <c r="M100" s="1140">
        <v>4000000</v>
      </c>
    </row>
    <row r="101" spans="1:13" ht="21" customHeight="1">
      <c r="A101" s="35"/>
      <c r="B101" s="104"/>
      <c r="C101" s="104"/>
      <c r="D101" s="104"/>
      <c r="E101" s="828">
        <v>743351</v>
      </c>
      <c r="F101" s="105"/>
      <c r="G101" s="1460" t="s">
        <v>180</v>
      </c>
      <c r="H101" s="1461"/>
      <c r="I101" s="1461"/>
      <c r="J101" s="1462"/>
      <c r="K101" s="375">
        <v>100000</v>
      </c>
      <c r="L101" s="1158">
        <v>100000</v>
      </c>
      <c r="M101" s="1182">
        <v>100000</v>
      </c>
    </row>
    <row r="102" spans="1:13" ht="1.5" customHeight="1">
      <c r="A102" s="33"/>
      <c r="B102" s="92"/>
      <c r="C102" s="93">
        <v>744</v>
      </c>
      <c r="D102" s="92"/>
      <c r="E102" s="826"/>
      <c r="F102" s="94"/>
      <c r="G102" s="1481" t="s">
        <v>181</v>
      </c>
      <c r="H102" s="1482"/>
      <c r="I102" s="1482"/>
      <c r="J102" s="1483"/>
      <c r="K102" s="111">
        <f>K103+K105</f>
        <v>0</v>
      </c>
      <c r="L102" s="1136">
        <v>0</v>
      </c>
      <c r="M102" s="1182">
        <v>0</v>
      </c>
    </row>
    <row r="103" spans="1:13" ht="9.75" customHeight="1" hidden="1">
      <c r="A103" s="34"/>
      <c r="B103" s="97"/>
      <c r="C103" s="97"/>
      <c r="D103" s="98">
        <v>7441</v>
      </c>
      <c r="E103" s="827"/>
      <c r="F103" s="99"/>
      <c r="G103" s="100" t="s">
        <v>182</v>
      </c>
      <c r="H103" s="101"/>
      <c r="I103" s="112"/>
      <c r="J103" s="113"/>
      <c r="K103" s="115">
        <f>K104</f>
        <v>0</v>
      </c>
      <c r="L103" s="1137">
        <v>0</v>
      </c>
      <c r="M103" s="1182">
        <v>0</v>
      </c>
    </row>
    <row r="104" spans="1:13" ht="0.75" customHeight="1">
      <c r="A104" s="35"/>
      <c r="B104" s="104"/>
      <c r="C104" s="104"/>
      <c r="D104" s="104"/>
      <c r="E104" s="828">
        <v>74415</v>
      </c>
      <c r="F104" s="105"/>
      <c r="G104" s="1460" t="s">
        <v>183</v>
      </c>
      <c r="H104" s="1461"/>
      <c r="I104" s="1461"/>
      <c r="J104" s="1462"/>
      <c r="K104" s="375">
        <v>0</v>
      </c>
      <c r="L104" s="1161">
        <v>0</v>
      </c>
      <c r="M104" s="1182">
        <v>0</v>
      </c>
    </row>
    <row r="105" spans="1:13" ht="1.5" customHeight="1" hidden="1">
      <c r="A105" s="35"/>
      <c r="B105" s="104"/>
      <c r="C105" s="104"/>
      <c r="D105" s="124">
        <v>7442</v>
      </c>
      <c r="E105" s="828"/>
      <c r="F105" s="105"/>
      <c r="G105" s="1460" t="s">
        <v>212</v>
      </c>
      <c r="H105" s="1461"/>
      <c r="I105" s="1461"/>
      <c r="J105" s="1462"/>
      <c r="K105" s="115">
        <f>K106</f>
        <v>0</v>
      </c>
      <c r="L105" s="1137">
        <v>0</v>
      </c>
      <c r="M105" s="1182">
        <v>0</v>
      </c>
    </row>
    <row r="106" spans="1:13" ht="0.75" customHeight="1" hidden="1">
      <c r="A106" s="35"/>
      <c r="B106" s="104"/>
      <c r="C106" s="104"/>
      <c r="D106" s="104"/>
      <c r="E106" s="828">
        <v>74425</v>
      </c>
      <c r="F106" s="105"/>
      <c r="G106" s="1460" t="s">
        <v>184</v>
      </c>
      <c r="H106" s="1461"/>
      <c r="I106" s="1461"/>
      <c r="J106" s="1462"/>
      <c r="K106" s="375">
        <v>0</v>
      </c>
      <c r="L106" s="1158">
        <v>0</v>
      </c>
      <c r="M106" s="1182">
        <v>0</v>
      </c>
    </row>
    <row r="107" spans="1:13" ht="12.75">
      <c r="A107" s="33"/>
      <c r="B107" s="92"/>
      <c r="C107" s="93">
        <v>745</v>
      </c>
      <c r="D107" s="92"/>
      <c r="E107" s="826"/>
      <c r="F107" s="94"/>
      <c r="G107" s="1481" t="s">
        <v>185</v>
      </c>
      <c r="H107" s="1482"/>
      <c r="I107" s="1482"/>
      <c r="J107" s="1483"/>
      <c r="K107" s="118">
        <f>K108</f>
        <v>5080000</v>
      </c>
      <c r="L107" s="1147">
        <v>5080000</v>
      </c>
      <c r="M107" s="1180">
        <v>5080000</v>
      </c>
    </row>
    <row r="108" spans="1:13" ht="12.75">
      <c r="A108" s="34"/>
      <c r="B108" s="97"/>
      <c r="C108" s="97"/>
      <c r="D108" s="98">
        <v>7451</v>
      </c>
      <c r="E108" s="827"/>
      <c r="F108" s="99"/>
      <c r="G108" s="1487" t="s">
        <v>186</v>
      </c>
      <c r="H108" s="1488"/>
      <c r="I108" s="1488"/>
      <c r="J108" s="113"/>
      <c r="K108" s="117">
        <f>SUM(K109:K111)</f>
        <v>5080000</v>
      </c>
      <c r="L108" s="1143">
        <v>5080000</v>
      </c>
      <c r="M108" s="1181">
        <v>5080000</v>
      </c>
    </row>
    <row r="109" spans="1:13" ht="12.75">
      <c r="A109" s="35"/>
      <c r="B109" s="104"/>
      <c r="C109" s="104"/>
      <c r="D109" s="104"/>
      <c r="E109" s="828">
        <v>745151</v>
      </c>
      <c r="F109" s="105"/>
      <c r="G109" s="106" t="s">
        <v>1429</v>
      </c>
      <c r="H109" s="107"/>
      <c r="I109" s="64"/>
      <c r="J109" s="108"/>
      <c r="K109" s="1221">
        <v>5000000</v>
      </c>
      <c r="L109" s="1162">
        <v>5000000</v>
      </c>
      <c r="M109" s="1140">
        <v>5000000</v>
      </c>
    </row>
    <row r="110" spans="1:13" ht="12.75">
      <c r="A110" s="35"/>
      <c r="B110" s="104"/>
      <c r="C110" s="104"/>
      <c r="D110" s="104"/>
      <c r="E110" s="829">
        <v>745153</v>
      </c>
      <c r="F110" s="105"/>
      <c r="G110" s="106" t="s">
        <v>1430</v>
      </c>
      <c r="H110" s="107"/>
      <c r="I110" s="64"/>
      <c r="J110" s="108"/>
      <c r="K110" s="374">
        <v>30000</v>
      </c>
      <c r="L110" s="1162">
        <v>30000</v>
      </c>
      <c r="M110" s="1140">
        <v>30000</v>
      </c>
    </row>
    <row r="111" spans="1:13" ht="12.75">
      <c r="A111" s="35"/>
      <c r="B111" s="104"/>
      <c r="C111" s="104"/>
      <c r="D111" s="104"/>
      <c r="E111" s="829">
        <v>745154</v>
      </c>
      <c r="F111" s="105"/>
      <c r="G111" s="106" t="s">
        <v>1431</v>
      </c>
      <c r="H111" s="107"/>
      <c r="I111" s="64"/>
      <c r="J111" s="108"/>
      <c r="K111" s="374">
        <v>50000</v>
      </c>
      <c r="L111" s="1162">
        <v>50000</v>
      </c>
      <c r="M111" s="1140">
        <v>50000</v>
      </c>
    </row>
    <row r="112" spans="1:17" s="32" customFormat="1" ht="11.25" customHeight="1">
      <c r="A112" s="31"/>
      <c r="B112" s="87">
        <v>8</v>
      </c>
      <c r="C112" s="88"/>
      <c r="D112" s="88"/>
      <c r="E112" s="130"/>
      <c r="F112" s="89"/>
      <c r="G112" s="1455" t="s">
        <v>1284</v>
      </c>
      <c r="H112" s="1456"/>
      <c r="I112" s="1456"/>
      <c r="J112" s="1496"/>
      <c r="K112" s="125">
        <f>K113+K118</f>
        <v>60000</v>
      </c>
      <c r="L112" s="1163">
        <v>60000</v>
      </c>
      <c r="M112" s="1183">
        <v>60000</v>
      </c>
      <c r="Q112" s="145"/>
    </row>
    <row r="113" spans="1:13" ht="12.75">
      <c r="A113" s="33"/>
      <c r="B113" s="92"/>
      <c r="C113" s="93">
        <v>811</v>
      </c>
      <c r="D113" s="92"/>
      <c r="E113" s="826"/>
      <c r="F113" s="94"/>
      <c r="G113" s="1481" t="s">
        <v>1284</v>
      </c>
      <c r="H113" s="1482"/>
      <c r="I113" s="1482"/>
      <c r="J113" s="1483"/>
      <c r="K113" s="111">
        <f>K114+K116</f>
        <v>50000</v>
      </c>
      <c r="L113" s="1136">
        <v>50000</v>
      </c>
      <c r="M113" s="1177">
        <v>50000</v>
      </c>
    </row>
    <row r="114" spans="1:13" ht="12.75">
      <c r="A114" s="34"/>
      <c r="B114" s="97"/>
      <c r="C114" s="97"/>
      <c r="D114" s="98">
        <v>8111</v>
      </c>
      <c r="E114" s="827"/>
      <c r="F114" s="99"/>
      <c r="G114" s="1487" t="s">
        <v>1285</v>
      </c>
      <c r="H114" s="1488"/>
      <c r="I114" s="1488"/>
      <c r="J114" s="1489"/>
      <c r="K114" s="119">
        <f>K115</f>
        <v>50000</v>
      </c>
      <c r="L114" s="1148">
        <v>50000</v>
      </c>
      <c r="M114" s="1181">
        <v>50000</v>
      </c>
    </row>
    <row r="115" spans="1:13" ht="12.75">
      <c r="A115" s="35"/>
      <c r="B115" s="104"/>
      <c r="C115" s="104"/>
      <c r="D115" s="104"/>
      <c r="E115" s="828">
        <v>811153</v>
      </c>
      <c r="F115" s="105"/>
      <c r="G115" s="1460" t="s">
        <v>1432</v>
      </c>
      <c r="H115" s="1461"/>
      <c r="I115" s="1461"/>
      <c r="J115" s="1462"/>
      <c r="K115" s="374">
        <v>50000</v>
      </c>
      <c r="L115" s="1149">
        <v>50000</v>
      </c>
      <c r="M115" s="1140">
        <v>50000</v>
      </c>
    </row>
    <row r="116" spans="1:13" ht="12.75" hidden="1">
      <c r="A116" s="34"/>
      <c r="B116" s="97"/>
      <c r="C116" s="97"/>
      <c r="D116" s="98">
        <v>9219</v>
      </c>
      <c r="E116" s="827"/>
      <c r="F116" s="99"/>
      <c r="G116" s="1487" t="s">
        <v>187</v>
      </c>
      <c r="H116" s="1488"/>
      <c r="I116" s="1488"/>
      <c r="J116" s="1489"/>
      <c r="K116" s="115">
        <f>K117</f>
        <v>0</v>
      </c>
      <c r="L116" s="1137">
        <v>0</v>
      </c>
      <c r="M116" s="1182">
        <v>0</v>
      </c>
    </row>
    <row r="117" spans="1:13" ht="12.75" hidden="1">
      <c r="A117" s="35"/>
      <c r="B117" s="104"/>
      <c r="C117" s="104"/>
      <c r="D117" s="104"/>
      <c r="E117" s="828">
        <v>92195</v>
      </c>
      <c r="F117" s="105"/>
      <c r="G117" s="106" t="s">
        <v>188</v>
      </c>
      <c r="H117" s="107"/>
      <c r="I117" s="64"/>
      <c r="J117" s="108"/>
      <c r="K117" s="374">
        <v>0</v>
      </c>
      <c r="L117" s="1164">
        <v>0</v>
      </c>
      <c r="M117" s="1182">
        <v>0</v>
      </c>
    </row>
    <row r="118" spans="1:13" ht="12.75">
      <c r="A118" s="33"/>
      <c r="B118" s="92"/>
      <c r="C118" s="93">
        <v>841</v>
      </c>
      <c r="D118" s="92"/>
      <c r="E118" s="826"/>
      <c r="F118" s="94"/>
      <c r="G118" s="1481" t="s">
        <v>1324</v>
      </c>
      <c r="H118" s="1482"/>
      <c r="I118" s="1482"/>
      <c r="J118" s="1483"/>
      <c r="K118" s="111">
        <f>K119</f>
        <v>10000</v>
      </c>
      <c r="L118" s="1136">
        <v>10000</v>
      </c>
      <c r="M118" s="1184">
        <v>10000</v>
      </c>
    </row>
    <row r="119" spans="1:13" ht="12.75">
      <c r="A119" s="34"/>
      <c r="B119" s="97"/>
      <c r="C119" s="97"/>
      <c r="D119" s="98">
        <v>8411</v>
      </c>
      <c r="E119" s="827"/>
      <c r="F119" s="99"/>
      <c r="G119" s="1487" t="s">
        <v>1325</v>
      </c>
      <c r="H119" s="1488"/>
      <c r="I119" s="1488"/>
      <c r="J119" s="1489"/>
      <c r="K119" s="119">
        <f>K120</f>
        <v>10000</v>
      </c>
      <c r="L119" s="1148">
        <v>10000</v>
      </c>
      <c r="M119" s="1181">
        <v>10000</v>
      </c>
    </row>
    <row r="120" spans="1:13" ht="12.75">
      <c r="A120" s="35"/>
      <c r="B120" s="104"/>
      <c r="C120" s="104"/>
      <c r="D120" s="104"/>
      <c r="E120" s="828">
        <v>841151</v>
      </c>
      <c r="F120" s="105"/>
      <c r="G120" s="1460" t="s">
        <v>1326</v>
      </c>
      <c r="H120" s="1461"/>
      <c r="I120" s="1461"/>
      <c r="J120" s="1462"/>
      <c r="K120" s="374">
        <v>10000</v>
      </c>
      <c r="L120" s="1149">
        <v>10000</v>
      </c>
      <c r="M120" s="1140">
        <v>10000</v>
      </c>
    </row>
    <row r="121" spans="1:13" ht="12.75">
      <c r="A121" s="86" t="s">
        <v>18</v>
      </c>
      <c r="B121" s="126"/>
      <c r="C121" s="127"/>
      <c r="D121" s="127"/>
      <c r="E121" s="127"/>
      <c r="F121" s="128"/>
      <c r="G121" s="1452" t="s">
        <v>189</v>
      </c>
      <c r="H121" s="1453"/>
      <c r="I121" s="1453"/>
      <c r="J121" s="1454"/>
      <c r="K121" s="37">
        <v>182000</v>
      </c>
      <c r="L121" s="1165">
        <v>182000</v>
      </c>
      <c r="M121" s="1182">
        <v>182000</v>
      </c>
    </row>
    <row r="122" spans="1:17" s="32" customFormat="1" ht="12.75">
      <c r="A122" s="129"/>
      <c r="B122" s="87">
        <v>7</v>
      </c>
      <c r="C122" s="130"/>
      <c r="D122" s="130"/>
      <c r="E122" s="131"/>
      <c r="F122" s="132"/>
      <c r="G122" s="122" t="s">
        <v>141</v>
      </c>
      <c r="H122" s="90"/>
      <c r="I122" s="90"/>
      <c r="J122" s="79"/>
      <c r="K122" s="1232">
        <f>K126</f>
        <v>182000</v>
      </c>
      <c r="L122" s="1166">
        <v>182000</v>
      </c>
      <c r="M122" s="1185">
        <v>182000</v>
      </c>
      <c r="Q122" s="145"/>
    </row>
    <row r="123" spans="1:13" s="26" customFormat="1" ht="12.75" hidden="1">
      <c r="A123" s="155"/>
      <c r="B123" s="147"/>
      <c r="C123" s="161">
        <v>711</v>
      </c>
      <c r="D123" s="156"/>
      <c r="E123" s="157"/>
      <c r="F123" s="158"/>
      <c r="G123" s="1478" t="s">
        <v>142</v>
      </c>
      <c r="H123" s="1479"/>
      <c r="I123" s="1479"/>
      <c r="J123" s="1480"/>
      <c r="K123" s="378">
        <v>0</v>
      </c>
      <c r="L123" s="1167">
        <v>0</v>
      </c>
      <c r="M123" s="1182">
        <v>0</v>
      </c>
    </row>
    <row r="124" spans="1:13" s="42" customFormat="1" ht="12.75" hidden="1">
      <c r="A124" s="149"/>
      <c r="B124" s="147"/>
      <c r="C124" s="161">
        <v>733</v>
      </c>
      <c r="D124" s="146"/>
      <c r="E124" s="150"/>
      <c r="F124" s="148"/>
      <c r="G124" s="1490" t="s">
        <v>160</v>
      </c>
      <c r="H124" s="1491"/>
      <c r="I124" s="1491"/>
      <c r="J124" s="1492"/>
      <c r="K124" s="371">
        <v>0</v>
      </c>
      <c r="L124" s="1167">
        <v>0</v>
      </c>
      <c r="M124" s="1182">
        <v>0</v>
      </c>
    </row>
    <row r="125" spans="1:14" s="145" customFormat="1" ht="12.75" hidden="1">
      <c r="A125" s="140"/>
      <c r="B125" s="141"/>
      <c r="C125" s="93">
        <v>741</v>
      </c>
      <c r="D125" s="142"/>
      <c r="E125" s="143"/>
      <c r="F125" s="144"/>
      <c r="G125" s="1475" t="s">
        <v>171</v>
      </c>
      <c r="H125" s="1476"/>
      <c r="I125" s="1476"/>
      <c r="J125" s="1477"/>
      <c r="K125" s="379">
        <v>0</v>
      </c>
      <c r="L125" s="1167">
        <v>0</v>
      </c>
      <c r="M125" s="1182">
        <v>0</v>
      </c>
      <c r="N125" s="26"/>
    </row>
    <row r="126" spans="1:13" ht="12.75">
      <c r="A126" s="134"/>
      <c r="B126" s="93"/>
      <c r="C126" s="93">
        <v>742</v>
      </c>
      <c r="D126" s="93"/>
      <c r="E126" s="835"/>
      <c r="F126" s="93"/>
      <c r="G126" s="93" t="s">
        <v>176</v>
      </c>
      <c r="H126" s="93"/>
      <c r="I126" s="93"/>
      <c r="J126" s="93"/>
      <c r="K126" s="111">
        <f>K129</f>
        <v>182000</v>
      </c>
      <c r="L126" s="1136">
        <v>182000</v>
      </c>
      <c r="M126" s="1177">
        <v>182000</v>
      </c>
    </row>
    <row r="127" spans="1:13" ht="12.75" hidden="1">
      <c r="A127" s="134"/>
      <c r="B127" s="126"/>
      <c r="C127" s="93">
        <v>744</v>
      </c>
      <c r="D127" s="127"/>
      <c r="E127" s="135"/>
      <c r="F127" s="136"/>
      <c r="G127" s="1493" t="s">
        <v>213</v>
      </c>
      <c r="H127" s="1494"/>
      <c r="I127" s="1494"/>
      <c r="J127" s="1495"/>
      <c r="K127" s="371">
        <v>0</v>
      </c>
      <c r="L127" s="1168">
        <v>0</v>
      </c>
      <c r="M127" s="1182">
        <v>0</v>
      </c>
    </row>
    <row r="128" spans="1:13" ht="12.75" hidden="1">
      <c r="A128" s="134"/>
      <c r="B128" s="126"/>
      <c r="C128" s="93">
        <v>745</v>
      </c>
      <c r="D128" s="127"/>
      <c r="E128" s="135"/>
      <c r="F128" s="136"/>
      <c r="G128" s="1490" t="s">
        <v>185</v>
      </c>
      <c r="H128" s="1491"/>
      <c r="I128" s="1491"/>
      <c r="J128" s="1492"/>
      <c r="K128" s="371">
        <v>0</v>
      </c>
      <c r="L128" s="1168">
        <v>0</v>
      </c>
      <c r="M128" s="1182">
        <v>0</v>
      </c>
    </row>
    <row r="129" spans="1:17" s="692" customFormat="1" ht="12.75">
      <c r="A129" s="134"/>
      <c r="B129" s="97"/>
      <c r="C129" s="652"/>
      <c r="D129" s="135">
        <v>7421</v>
      </c>
      <c r="E129" s="135"/>
      <c r="F129" s="1231"/>
      <c r="G129" s="1472" t="s">
        <v>1258</v>
      </c>
      <c r="H129" s="1473"/>
      <c r="I129" s="1473"/>
      <c r="J129" s="102"/>
      <c r="K129" s="691">
        <f>K130</f>
        <v>182000</v>
      </c>
      <c r="L129" s="1171">
        <v>182000</v>
      </c>
      <c r="M129" s="1181">
        <v>182000</v>
      </c>
      <c r="Q129" s="735"/>
    </row>
    <row r="130" spans="1:13" ht="12.75">
      <c r="A130" s="134"/>
      <c r="B130" s="126"/>
      <c r="C130" s="184"/>
      <c r="D130" s="127"/>
      <c r="E130" s="135">
        <v>742151</v>
      </c>
      <c r="F130" s="136"/>
      <c r="G130" s="1463" t="s">
        <v>1259</v>
      </c>
      <c r="H130" s="1464"/>
      <c r="I130" s="1464"/>
      <c r="J130" s="1465"/>
      <c r="K130" s="375">
        <v>182000</v>
      </c>
      <c r="L130" s="1169">
        <v>182000</v>
      </c>
      <c r="M130" s="1140">
        <v>182000</v>
      </c>
    </row>
    <row r="131" spans="1:13" ht="12.75">
      <c r="A131" s="86" t="s">
        <v>20</v>
      </c>
      <c r="B131" s="126"/>
      <c r="C131" s="127"/>
      <c r="D131" s="127"/>
      <c r="E131" s="127"/>
      <c r="F131" s="128"/>
      <c r="G131" s="1452" t="s">
        <v>190</v>
      </c>
      <c r="H131" s="1453"/>
      <c r="I131" s="1453"/>
      <c r="J131" s="1454"/>
      <c r="K131" s="37">
        <f>K132</f>
        <v>610000</v>
      </c>
      <c r="L131" s="1165">
        <v>610000</v>
      </c>
      <c r="M131" s="1182">
        <v>610000</v>
      </c>
    </row>
    <row r="132" spans="1:17" s="32" customFormat="1" ht="12.75">
      <c r="A132" s="129"/>
      <c r="B132" s="87">
        <v>7</v>
      </c>
      <c r="C132" s="130"/>
      <c r="D132" s="130"/>
      <c r="E132" s="131"/>
      <c r="F132" s="132"/>
      <c r="G132" s="1455" t="s">
        <v>141</v>
      </c>
      <c r="H132" s="1456"/>
      <c r="I132" s="90"/>
      <c r="J132" s="79"/>
      <c r="K132" s="133">
        <f>K133</f>
        <v>610000</v>
      </c>
      <c r="L132" s="1166">
        <v>610000</v>
      </c>
      <c r="M132" s="1183">
        <v>610000</v>
      </c>
      <c r="Q132" s="145"/>
    </row>
    <row r="133" spans="1:13" ht="12.75">
      <c r="A133" s="134"/>
      <c r="B133" s="93"/>
      <c r="C133" s="93">
        <v>732</v>
      </c>
      <c r="D133" s="93"/>
      <c r="E133" s="835"/>
      <c r="F133" s="93"/>
      <c r="G133" s="93" t="s">
        <v>191</v>
      </c>
      <c r="H133" s="93"/>
      <c r="I133" s="93"/>
      <c r="J133" s="93"/>
      <c r="K133" s="111">
        <f>K134</f>
        <v>610000</v>
      </c>
      <c r="L133" s="1136">
        <v>610000</v>
      </c>
      <c r="M133" s="1177">
        <v>610000</v>
      </c>
    </row>
    <row r="134" spans="1:17" s="335" customFormat="1" ht="12.75">
      <c r="A134" s="1222"/>
      <c r="B134" s="126"/>
      <c r="C134" s="1223"/>
      <c r="D134" s="1225">
        <v>7321</v>
      </c>
      <c r="E134" s="1225"/>
      <c r="F134" s="1226"/>
      <c r="G134" s="1463" t="s">
        <v>1291</v>
      </c>
      <c r="H134" s="1464"/>
      <c r="I134" s="1464"/>
      <c r="J134" s="1465"/>
      <c r="K134" s="375">
        <f>K135</f>
        <v>610000</v>
      </c>
      <c r="L134" s="1169">
        <v>610000</v>
      </c>
      <c r="M134" s="1140">
        <v>610000</v>
      </c>
      <c r="Q134" s="342"/>
    </row>
    <row r="135" spans="1:13" ht="12.75">
      <c r="A135" s="134"/>
      <c r="B135" s="126"/>
      <c r="C135" s="184"/>
      <c r="D135" s="127"/>
      <c r="E135" s="135">
        <v>732151</v>
      </c>
      <c r="F135" s="128"/>
      <c r="G135" s="1463" t="s">
        <v>1292</v>
      </c>
      <c r="H135" s="1464"/>
      <c r="I135" s="1464"/>
      <c r="J135" s="1465"/>
      <c r="K135" s="375">
        <v>610000</v>
      </c>
      <c r="L135" s="1170">
        <v>610000</v>
      </c>
      <c r="M135" s="1140">
        <v>610000</v>
      </c>
    </row>
    <row r="136" spans="1:13" ht="12.75" hidden="1">
      <c r="A136" s="134"/>
      <c r="B136" s="126"/>
      <c r="C136" s="184"/>
      <c r="D136" s="127"/>
      <c r="E136" s="135"/>
      <c r="F136" s="128"/>
      <c r="G136" s="557"/>
      <c r="H136" s="558"/>
      <c r="I136" s="558"/>
      <c r="J136" s="559"/>
      <c r="K136" s="371"/>
      <c r="L136" s="1168"/>
      <c r="M136" s="1182"/>
    </row>
    <row r="137" spans="1:13" ht="12.75">
      <c r="A137" s="86" t="s">
        <v>19</v>
      </c>
      <c r="B137" s="126"/>
      <c r="C137" s="127"/>
      <c r="D137" s="127"/>
      <c r="E137" s="127"/>
      <c r="F137" s="128"/>
      <c r="G137" s="1452" t="s">
        <v>192</v>
      </c>
      <c r="H137" s="1453"/>
      <c r="I137" s="1453"/>
      <c r="J137" s="1454"/>
      <c r="K137" s="37">
        <f>K138</f>
        <v>74225242.25</v>
      </c>
      <c r="L137" s="1165">
        <v>74225242.25</v>
      </c>
      <c r="M137" s="1182">
        <v>74225242.25</v>
      </c>
    </row>
    <row r="138" spans="1:17" s="32" customFormat="1" ht="12.75">
      <c r="A138" s="129"/>
      <c r="B138" s="87">
        <v>7</v>
      </c>
      <c r="C138" s="130"/>
      <c r="D138" s="130"/>
      <c r="E138" s="131"/>
      <c r="F138" s="132"/>
      <c r="G138" s="1455" t="s">
        <v>141</v>
      </c>
      <c r="H138" s="1456"/>
      <c r="I138" s="90"/>
      <c r="J138" s="79"/>
      <c r="K138" s="133">
        <f>K139</f>
        <v>74225242.25</v>
      </c>
      <c r="L138" s="1166">
        <v>74225242.25</v>
      </c>
      <c r="M138" s="1183">
        <v>74225242.25</v>
      </c>
      <c r="Q138" s="145"/>
    </row>
    <row r="139" spans="1:13" ht="12.75">
      <c r="A139" s="134"/>
      <c r="B139" s="93"/>
      <c r="C139" s="93">
        <v>733</v>
      </c>
      <c r="D139" s="93"/>
      <c r="E139" s="835"/>
      <c r="F139" s="93"/>
      <c r="G139" s="93" t="s">
        <v>160</v>
      </c>
      <c r="H139" s="93"/>
      <c r="I139" s="93"/>
      <c r="J139" s="93"/>
      <c r="K139" s="111">
        <f>K143+K140+K146</f>
        <v>74225242.25</v>
      </c>
      <c r="L139" s="1136">
        <v>74225242.25</v>
      </c>
      <c r="M139" s="1177">
        <v>74225242.25</v>
      </c>
    </row>
    <row r="140" spans="1:17" s="692" customFormat="1" ht="12.75">
      <c r="A140" s="134"/>
      <c r="B140" s="97"/>
      <c r="C140" s="652"/>
      <c r="D140" s="135">
        <v>7331</v>
      </c>
      <c r="E140" s="135"/>
      <c r="F140" s="653"/>
      <c r="G140" s="1484" t="s">
        <v>1327</v>
      </c>
      <c r="H140" s="1485"/>
      <c r="I140" s="1485"/>
      <c r="J140" s="1486"/>
      <c r="K140" s="656">
        <f>SUM(K141:K142)</f>
        <v>20000000</v>
      </c>
      <c r="L140" s="1171">
        <v>20000000</v>
      </c>
      <c r="M140" s="1140">
        <v>20000000</v>
      </c>
      <c r="Q140" s="735"/>
    </row>
    <row r="141" spans="1:17" s="335" customFormat="1" ht="12.75">
      <c r="A141" s="1222"/>
      <c r="B141" s="126"/>
      <c r="C141" s="1223"/>
      <c r="D141" s="1224"/>
      <c r="E141" s="1225">
        <v>733154</v>
      </c>
      <c r="F141" s="1226"/>
      <c r="G141" s="1469" t="s">
        <v>1414</v>
      </c>
      <c r="H141" s="1470"/>
      <c r="I141" s="1470"/>
      <c r="J141" s="1471"/>
      <c r="K141" s="732">
        <v>10000000</v>
      </c>
      <c r="L141" s="1227">
        <v>10000000</v>
      </c>
      <c r="M141" s="1140">
        <v>10000000</v>
      </c>
      <c r="Q141" s="342"/>
    </row>
    <row r="142" spans="1:17" s="335" customFormat="1" ht="12.75">
      <c r="A142" s="1222"/>
      <c r="B142" s="126"/>
      <c r="C142" s="1223"/>
      <c r="D142" s="1224"/>
      <c r="E142" s="1228">
        <v>733156</v>
      </c>
      <c r="F142" s="1226"/>
      <c r="G142" s="657" t="s">
        <v>1415</v>
      </c>
      <c r="H142" s="789"/>
      <c r="I142" s="1229"/>
      <c r="J142" s="1230"/>
      <c r="K142" s="732">
        <v>10000000</v>
      </c>
      <c r="L142" s="1169">
        <v>10000000</v>
      </c>
      <c r="M142" s="1140">
        <v>10000000</v>
      </c>
      <c r="Q142" s="342"/>
    </row>
    <row r="143" spans="1:17" s="692" customFormat="1" ht="12.75">
      <c r="A143" s="134"/>
      <c r="B143" s="97"/>
      <c r="C143" s="652"/>
      <c r="D143" s="135">
        <v>7332</v>
      </c>
      <c r="E143" s="135"/>
      <c r="F143" s="653"/>
      <c r="G143" s="790" t="s">
        <v>1260</v>
      </c>
      <c r="H143" s="654"/>
      <c r="I143" s="654"/>
      <c r="J143" s="655"/>
      <c r="K143" s="656">
        <f>K144+K145</f>
        <v>54215242.25</v>
      </c>
      <c r="L143" s="1171">
        <v>54215242.25</v>
      </c>
      <c r="M143" s="1140">
        <v>54215242.25</v>
      </c>
      <c r="Q143" s="735"/>
    </row>
    <row r="144" spans="1:13" ht="12.75">
      <c r="A144" s="134"/>
      <c r="B144" s="126"/>
      <c r="C144" s="184"/>
      <c r="D144" s="127"/>
      <c r="E144" s="135">
        <v>733251</v>
      </c>
      <c r="F144" s="128"/>
      <c r="G144" s="657" t="s">
        <v>1416</v>
      </c>
      <c r="H144" s="162"/>
      <c r="I144" s="162"/>
      <c r="J144" s="163"/>
      <c r="K144" s="732">
        <v>4215242.25</v>
      </c>
      <c r="L144" s="1169">
        <v>4215242.25</v>
      </c>
      <c r="M144" s="1140">
        <v>4215242.25</v>
      </c>
    </row>
    <row r="145" spans="1:13" ht="12.75">
      <c r="A145" s="134"/>
      <c r="B145" s="126"/>
      <c r="C145" s="184"/>
      <c r="D145" s="127"/>
      <c r="E145" s="791">
        <v>733252</v>
      </c>
      <c r="F145" s="128"/>
      <c r="G145" s="657" t="s">
        <v>1417</v>
      </c>
      <c r="H145" s="162"/>
      <c r="I145" s="162"/>
      <c r="J145" s="163"/>
      <c r="K145" s="732">
        <v>50000000</v>
      </c>
      <c r="L145" s="1169">
        <v>50000000</v>
      </c>
      <c r="M145" s="1140">
        <v>50000000</v>
      </c>
    </row>
    <row r="146" spans="1:17" s="692" customFormat="1" ht="12.75">
      <c r="A146" s="134"/>
      <c r="B146" s="97"/>
      <c r="C146" s="652"/>
      <c r="D146" s="135">
        <v>7721</v>
      </c>
      <c r="E146" s="135"/>
      <c r="F146" s="653"/>
      <c r="G146" s="1484" t="s">
        <v>1328</v>
      </c>
      <c r="H146" s="1485"/>
      <c r="I146" s="1485"/>
      <c r="J146" s="1486"/>
      <c r="K146" s="656">
        <f>K147</f>
        <v>10000</v>
      </c>
      <c r="L146" s="1171">
        <v>10000</v>
      </c>
      <c r="M146" s="1140">
        <v>10000</v>
      </c>
      <c r="Q146" s="735"/>
    </row>
    <row r="147" spans="1:13" ht="12.75">
      <c r="A147" s="134"/>
      <c r="B147" s="126"/>
      <c r="C147" s="184"/>
      <c r="D147" s="127"/>
      <c r="E147" s="135">
        <v>772114</v>
      </c>
      <c r="F147" s="128"/>
      <c r="G147" s="1469" t="s">
        <v>1328</v>
      </c>
      <c r="H147" s="1470"/>
      <c r="I147" s="1470"/>
      <c r="J147" s="1471"/>
      <c r="K147" s="732">
        <v>10000</v>
      </c>
      <c r="L147" s="1169">
        <v>10000</v>
      </c>
      <c r="M147" s="1140">
        <v>10000</v>
      </c>
    </row>
    <row r="148" spans="1:13" ht="12.75">
      <c r="A148" s="86" t="s">
        <v>1160</v>
      </c>
      <c r="B148" s="126"/>
      <c r="C148" s="127"/>
      <c r="D148" s="127"/>
      <c r="E148" s="127"/>
      <c r="F148" s="128"/>
      <c r="G148" s="1452" t="s">
        <v>1174</v>
      </c>
      <c r="H148" s="1453"/>
      <c r="I148" s="1453"/>
      <c r="J148" s="1454"/>
      <c r="K148" s="37">
        <f>K150</f>
        <v>427000</v>
      </c>
      <c r="L148" s="1165">
        <v>427000</v>
      </c>
      <c r="M148" s="1182">
        <v>427000</v>
      </c>
    </row>
    <row r="149" spans="1:17" s="32" customFormat="1" ht="12.75">
      <c r="A149" s="129"/>
      <c r="B149" s="87">
        <v>7</v>
      </c>
      <c r="C149" s="130"/>
      <c r="D149" s="130"/>
      <c r="E149" s="131"/>
      <c r="F149" s="132"/>
      <c r="G149" s="1455" t="s">
        <v>141</v>
      </c>
      <c r="H149" s="1456"/>
      <c r="I149" s="90"/>
      <c r="J149" s="79"/>
      <c r="K149" s="133">
        <f>K150</f>
        <v>427000</v>
      </c>
      <c r="L149" s="1166">
        <v>427000</v>
      </c>
      <c r="M149" s="1183">
        <v>427000</v>
      </c>
      <c r="Q149" s="145"/>
    </row>
    <row r="150" spans="1:13" ht="12.75">
      <c r="A150" s="134"/>
      <c r="B150" s="93"/>
      <c r="C150" s="93">
        <v>742</v>
      </c>
      <c r="D150" s="93"/>
      <c r="E150" s="835"/>
      <c r="F150" s="93"/>
      <c r="G150" s="93" t="s">
        <v>176</v>
      </c>
      <c r="H150" s="93"/>
      <c r="I150" s="93"/>
      <c r="J150" s="93"/>
      <c r="K150" s="111">
        <f>K151</f>
        <v>427000</v>
      </c>
      <c r="L150" s="1136">
        <v>427000</v>
      </c>
      <c r="M150" s="1177">
        <v>427000</v>
      </c>
    </row>
    <row r="151" spans="1:17" s="692" customFormat="1" ht="12.75">
      <c r="A151" s="134"/>
      <c r="B151" s="792"/>
      <c r="C151" s="184"/>
      <c r="D151" s="135">
        <v>7423</v>
      </c>
      <c r="E151" s="135"/>
      <c r="F151" s="128"/>
      <c r="G151" s="1472" t="s">
        <v>1428</v>
      </c>
      <c r="H151" s="1473"/>
      <c r="I151" s="1473"/>
      <c r="J151" s="1474"/>
      <c r="K151" s="691">
        <f>K152</f>
        <v>427000</v>
      </c>
      <c r="L151" s="1171">
        <v>427000</v>
      </c>
      <c r="M151" s="1181">
        <v>427000</v>
      </c>
      <c r="Q151" s="735"/>
    </row>
    <row r="152" spans="1:13" ht="12.75">
      <c r="A152" s="134"/>
      <c r="B152" s="126"/>
      <c r="C152" s="184"/>
      <c r="D152" s="127"/>
      <c r="E152" s="135">
        <v>742378</v>
      </c>
      <c r="F152" s="128"/>
      <c r="G152" s="1463" t="s">
        <v>1174</v>
      </c>
      <c r="H152" s="1464"/>
      <c r="I152" s="1464"/>
      <c r="J152" s="1465"/>
      <c r="K152" s="375">
        <v>427000</v>
      </c>
      <c r="L152" s="1169">
        <v>427000</v>
      </c>
      <c r="M152" s="1140">
        <v>427000</v>
      </c>
    </row>
    <row r="153" spans="1:13" ht="12.75">
      <c r="A153" s="86" t="s">
        <v>218</v>
      </c>
      <c r="B153" s="126"/>
      <c r="C153" s="164">
        <v>321</v>
      </c>
      <c r="D153" s="127"/>
      <c r="E153" s="127"/>
      <c r="F153" s="128"/>
      <c r="G153" s="1452" t="s">
        <v>222</v>
      </c>
      <c r="H153" s="1453"/>
      <c r="I153" s="1453"/>
      <c r="J153" s="1454"/>
      <c r="K153" s="377">
        <f>Rashodi!Q498</f>
        <v>101708979</v>
      </c>
      <c r="L153" s="1165">
        <f>K153</f>
        <v>101708979</v>
      </c>
      <c r="M153" s="1182">
        <f>K153</f>
        <v>101708979</v>
      </c>
    </row>
    <row r="154" spans="1:13" ht="12.75">
      <c r="A154" s="176"/>
      <c r="B154" s="126"/>
      <c r="C154" s="184"/>
      <c r="D154" s="127"/>
      <c r="E154" s="127"/>
      <c r="F154" s="128"/>
      <c r="G154" s="170"/>
      <c r="H154" s="171"/>
      <c r="I154" s="171"/>
      <c r="J154" s="172"/>
      <c r="K154" s="377"/>
      <c r="L154" s="1172"/>
      <c r="M154" s="1140"/>
    </row>
    <row r="155" spans="1:13" ht="12.75">
      <c r="A155" s="176"/>
      <c r="B155" s="126"/>
      <c r="C155" s="184"/>
      <c r="D155" s="127"/>
      <c r="E155" s="127"/>
      <c r="F155" s="128"/>
      <c r="G155" s="170"/>
      <c r="H155" s="171"/>
      <c r="I155" s="171"/>
      <c r="J155" s="172"/>
      <c r="K155" s="377"/>
      <c r="L155" s="1165"/>
      <c r="M155" s="1140"/>
    </row>
    <row r="156" spans="1:13" ht="12.75">
      <c r="A156" s="33"/>
      <c r="B156" s="126"/>
      <c r="C156" s="126"/>
      <c r="D156" s="126"/>
      <c r="E156" s="836"/>
      <c r="F156" s="137"/>
      <c r="G156" s="1466" t="s">
        <v>193</v>
      </c>
      <c r="H156" s="1467"/>
      <c r="I156" s="1467"/>
      <c r="J156" s="1468"/>
      <c r="K156" s="159">
        <f>K8+K112</f>
        <v>483017969</v>
      </c>
      <c r="L156" s="1173">
        <v>483017969</v>
      </c>
      <c r="M156" s="1182">
        <v>483017969</v>
      </c>
    </row>
    <row r="157" spans="1:13" ht="15" customHeight="1">
      <c r="A157" s="35"/>
      <c r="B157" s="104"/>
      <c r="C157" s="104"/>
      <c r="D157" s="104"/>
      <c r="E157" s="833"/>
      <c r="F157" s="105"/>
      <c r="G157" s="1457" t="s">
        <v>194</v>
      </c>
      <c r="H157" s="1458"/>
      <c r="I157" s="1458"/>
      <c r="J157" s="1459"/>
      <c r="K157" s="380">
        <v>182000</v>
      </c>
      <c r="L157" s="1170">
        <v>182000</v>
      </c>
      <c r="M157" s="1140">
        <v>182000</v>
      </c>
    </row>
    <row r="158" spans="1:13" ht="12.75">
      <c r="A158" s="35"/>
      <c r="B158" s="104"/>
      <c r="C158" s="104"/>
      <c r="D158" s="104"/>
      <c r="E158" s="833"/>
      <c r="F158" s="105"/>
      <c r="G158" s="1457" t="s">
        <v>195</v>
      </c>
      <c r="H158" s="1458"/>
      <c r="I158" s="1458"/>
      <c r="J158" s="1459"/>
      <c r="K158" s="380">
        <f>K131</f>
        <v>610000</v>
      </c>
      <c r="L158" s="1170">
        <v>610000</v>
      </c>
      <c r="M158" s="1140">
        <v>610000</v>
      </c>
    </row>
    <row r="159" spans="1:14" ht="12.75">
      <c r="A159" s="35"/>
      <c r="B159" s="104"/>
      <c r="C159" s="104"/>
      <c r="D159" s="104"/>
      <c r="E159" s="833"/>
      <c r="F159" s="105"/>
      <c r="G159" s="1457" t="s">
        <v>196</v>
      </c>
      <c r="H159" s="1458"/>
      <c r="I159" s="1458"/>
      <c r="J159" s="1459"/>
      <c r="K159" s="380">
        <f>K137</f>
        <v>74225242.25</v>
      </c>
      <c r="L159" s="1174">
        <v>74225242.25</v>
      </c>
      <c r="M159" s="1140">
        <v>74225242.25</v>
      </c>
      <c r="N159" s="477"/>
    </row>
    <row r="160" spans="1:13" ht="12.75">
      <c r="A160" s="35"/>
      <c r="B160" s="104"/>
      <c r="C160" s="104"/>
      <c r="D160" s="104"/>
      <c r="E160" s="833"/>
      <c r="F160" s="105"/>
      <c r="G160" s="1457" t="s">
        <v>219</v>
      </c>
      <c r="H160" s="1458"/>
      <c r="I160" s="1458"/>
      <c r="J160" s="1459"/>
      <c r="K160" s="38">
        <f>K153</f>
        <v>101708979</v>
      </c>
      <c r="L160" s="38">
        <f>K160</f>
        <v>101708979</v>
      </c>
      <c r="M160" s="38">
        <f>K160</f>
        <v>101708979</v>
      </c>
    </row>
    <row r="161" spans="1:13" ht="12.75">
      <c r="A161" s="173"/>
      <c r="B161" s="174"/>
      <c r="C161" s="174"/>
      <c r="D161" s="174"/>
      <c r="E161" s="837"/>
      <c r="F161" s="175"/>
      <c r="G161" s="1517" t="s">
        <v>1161</v>
      </c>
      <c r="H161" s="1518"/>
      <c r="I161" s="1518"/>
      <c r="J161" s="1518"/>
      <c r="K161" s="1191">
        <f>K148</f>
        <v>427000</v>
      </c>
      <c r="L161" s="1175">
        <v>427000</v>
      </c>
      <c r="M161" s="1140">
        <v>427000</v>
      </c>
    </row>
    <row r="162" spans="1:13" ht="13.5" thickBot="1">
      <c r="A162" s="39"/>
      <c r="B162" s="138"/>
      <c r="C162" s="138"/>
      <c r="D162" s="138"/>
      <c r="E162" s="838"/>
      <c r="F162" s="139"/>
      <c r="G162" s="1449" t="s">
        <v>126</v>
      </c>
      <c r="H162" s="1450"/>
      <c r="I162" s="1450"/>
      <c r="J162" s="1451"/>
      <c r="K162" s="40">
        <f>SUM(K156:K161)</f>
        <v>660171190.25</v>
      </c>
      <c r="L162" s="1176">
        <f>SUM(L156:L161)</f>
        <v>660171190.25</v>
      </c>
      <c r="M162" s="1182">
        <f>SUM(M156:M161)</f>
        <v>660171190.25</v>
      </c>
    </row>
    <row r="163" spans="1:11" ht="12.75" customHeight="1" hidden="1">
      <c r="A163" s="29"/>
      <c r="B163" s="29"/>
      <c r="C163" s="29"/>
      <c r="D163" s="29"/>
      <c r="E163" s="824"/>
      <c r="F163" s="29"/>
      <c r="G163" s="29"/>
      <c r="H163" s="29"/>
      <c r="I163" s="29"/>
      <c r="J163" s="29"/>
      <c r="K163" s="373"/>
    </row>
    <row r="164" spans="1:6" ht="12.75" customHeight="1" hidden="1">
      <c r="A164" s="1448"/>
      <c r="B164" s="1448"/>
      <c r="C164" s="1448"/>
      <c r="D164" s="1448"/>
      <c r="E164" s="1448"/>
      <c r="F164" s="1448"/>
    </row>
    <row r="165" ht="12.75" customHeight="1" hidden="1">
      <c r="H165" s="477"/>
    </row>
    <row r="166" spans="1:11" ht="12.75" customHeight="1" hidden="1">
      <c r="A166" s="1448"/>
      <c r="B166" s="1448"/>
      <c r="C166" s="1448"/>
      <c r="D166" s="1448"/>
      <c r="E166" s="1448"/>
      <c r="F166" s="1448"/>
      <c r="K166" s="384"/>
    </row>
    <row r="167" spans="12:13" ht="12.75" customHeight="1" hidden="1">
      <c r="L167" s="41"/>
      <c r="M167" s="41"/>
    </row>
    <row r="168" spans="8:14" ht="12.75" customHeight="1" hidden="1">
      <c r="H168" s="548" t="s">
        <v>1162</v>
      </c>
      <c r="I168" s="1514">
        <f>L156+L157+L158+L159+L161</f>
        <v>558462211.25</v>
      </c>
      <c r="J168" s="1515"/>
      <c r="K168" s="166">
        <v>0.1</v>
      </c>
      <c r="L168" s="535">
        <v>0.1</v>
      </c>
      <c r="M168" s="535"/>
      <c r="N168" s="43"/>
    </row>
    <row r="169" spans="12:14" ht="12.75" customHeight="1" hidden="1">
      <c r="L169" s="76"/>
      <c r="M169" s="76"/>
      <c r="N169" s="538"/>
    </row>
    <row r="170" spans="12:13" ht="12.75" customHeight="1" hidden="1">
      <c r="L170" s="76"/>
      <c r="M170" s="76"/>
    </row>
    <row r="171" spans="9:10" ht="12.75" customHeight="1" hidden="1">
      <c r="I171" s="1510">
        <f>I168*L168</f>
        <v>55846221.125</v>
      </c>
      <c r="J171" s="1510"/>
    </row>
    <row r="172" spans="9:10" ht="12.75" customHeight="1" hidden="1">
      <c r="I172" s="1511" t="s">
        <v>1173</v>
      </c>
      <c r="J172" s="1511"/>
    </row>
    <row r="173" spans="9:10" ht="12.75" customHeight="1" hidden="1">
      <c r="I173" s="536"/>
      <c r="J173" s="536"/>
    </row>
    <row r="174" ht="12.75" customHeight="1" hidden="1"/>
    <row r="175" ht="12.75" customHeight="1" hidden="1"/>
    <row r="176" spans="8:13" ht="12.75" customHeight="1" hidden="1">
      <c r="H176" s="1">
        <f>Rashodi!M498-'Prihodi-2022'!L156</f>
        <v>0</v>
      </c>
      <c r="K176" s="166">
        <f>K156+K157+K158+K159+K161</f>
        <v>558462211.25</v>
      </c>
      <c r="L176" s="43">
        <f>L156+L157+L158+L159+L161</f>
        <v>558462211.25</v>
      </c>
      <c r="M176" s="43"/>
    </row>
    <row r="177" ht="12.75" customHeight="1" hidden="1"/>
    <row r="178" ht="12.75" customHeight="1" hidden="1"/>
    <row r="179" ht="12.75" customHeight="1" hidden="1"/>
    <row r="180" ht="12.75" customHeight="1" hidden="1"/>
    <row r="181" spans="11:12" ht="12.75" customHeight="1" hidden="1">
      <c r="K181" s="166">
        <f>K156+K157+K158+K159+K161</f>
        <v>558462211.25</v>
      </c>
      <c r="L181" s="43">
        <f>L156+L157+L158+L159+L161</f>
        <v>558462211.25</v>
      </c>
    </row>
    <row r="182" spans="11:12" ht="12.75" customHeight="1" hidden="1">
      <c r="K182" s="166" t="e">
        <f>K181+K153+#REF!</f>
        <v>#REF!</v>
      </c>
      <c r="L182" s="43" t="e">
        <f>L181+L153+#REF!</f>
        <v>#REF!</v>
      </c>
    </row>
    <row r="183" spans="11:12" ht="12.75" customHeight="1" hidden="1">
      <c r="K183" s="166" t="e">
        <f>K182-K181</f>
        <v>#REF!</v>
      </c>
      <c r="L183" s="43" t="e">
        <f>L182-L181</f>
        <v>#REF!</v>
      </c>
    </row>
    <row r="184" ht="12.75" customHeight="1" hidden="1"/>
    <row r="185" ht="12.75" customHeight="1" hidden="1"/>
    <row r="186" ht="12.75" customHeight="1" hidden="1">
      <c r="L186" s="76">
        <f>L156+L157+L158+L159+L161</f>
        <v>558462211.25</v>
      </c>
    </row>
    <row r="187" ht="12.75" customHeight="1" hidden="1"/>
    <row r="188" ht="12.75" customHeight="1" hidden="1"/>
    <row r="189" ht="12.75" customHeight="1" hidden="1">
      <c r="L189" s="41" t="e">
        <f>#REF!+L160</f>
        <v>#REF!</v>
      </c>
    </row>
    <row r="190" ht="12.75" customHeight="1" hidden="1">
      <c r="H190" s="254"/>
    </row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>
      <c r="L195" s="76"/>
    </row>
  </sheetData>
  <sheetProtection/>
  <mergeCells count="118">
    <mergeCell ref="G38:J38"/>
    <mergeCell ref="G39:J39"/>
    <mergeCell ref="G41:J41"/>
    <mergeCell ref="G42:J42"/>
    <mergeCell ref="G60:J60"/>
    <mergeCell ref="G61:J61"/>
    <mergeCell ref="G40:J40"/>
    <mergeCell ref="G55:J55"/>
    <mergeCell ref="G15:J15"/>
    <mergeCell ref="G11:J11"/>
    <mergeCell ref="G28:J28"/>
    <mergeCell ref="G29:J29"/>
    <mergeCell ref="G31:J31"/>
    <mergeCell ref="G32:J32"/>
    <mergeCell ref="G18:J18"/>
    <mergeCell ref="G17:J17"/>
    <mergeCell ref="G19:J19"/>
    <mergeCell ref="G22:J22"/>
    <mergeCell ref="G33:J33"/>
    <mergeCell ref="G34:J34"/>
    <mergeCell ref="G35:J35"/>
    <mergeCell ref="G37:J37"/>
    <mergeCell ref="N44:O44"/>
    <mergeCell ref="G161:J161"/>
    <mergeCell ref="G56:H56"/>
    <mergeCell ref="G52:J52"/>
    <mergeCell ref="G93:J93"/>
    <mergeCell ref="G64:J64"/>
    <mergeCell ref="I168:J168"/>
    <mergeCell ref="G141:J141"/>
    <mergeCell ref="G157:J157"/>
    <mergeCell ref="G135:J135"/>
    <mergeCell ref="G114:J114"/>
    <mergeCell ref="G148:J148"/>
    <mergeCell ref="G152:J152"/>
    <mergeCell ref="G120:J120"/>
    <mergeCell ref="G118:J118"/>
    <mergeCell ref="G119:J119"/>
    <mergeCell ref="I171:J171"/>
    <mergeCell ref="I172:J172"/>
    <mergeCell ref="G30:H30"/>
    <mergeCell ref="G116:J116"/>
    <mergeCell ref="G132:H132"/>
    <mergeCell ref="G128:J128"/>
    <mergeCell ref="G146:J146"/>
    <mergeCell ref="G129:I129"/>
    <mergeCell ref="G78:J78"/>
    <mergeCell ref="G62:J62"/>
    <mergeCell ref="B4:L4"/>
    <mergeCell ref="G121:J121"/>
    <mergeCell ref="G6:J6"/>
    <mergeCell ref="G7:J7"/>
    <mergeCell ref="G8:J8"/>
    <mergeCell ref="G53:J53"/>
    <mergeCell ref="G10:J10"/>
    <mergeCell ref="G23:I23"/>
    <mergeCell ref="G65:J65"/>
    <mergeCell ref="G94:J94"/>
    <mergeCell ref="G12:J12"/>
    <mergeCell ref="G25:H25"/>
    <mergeCell ref="G21:J21"/>
    <mergeCell ref="G74:J74"/>
    <mergeCell ref="G45:J45"/>
    <mergeCell ref="G49:J49"/>
    <mergeCell ref="G66:J66"/>
    <mergeCell ref="G69:J69"/>
    <mergeCell ref="G44:I44"/>
    <mergeCell ref="G46:J46"/>
    <mergeCell ref="G108:I108"/>
    <mergeCell ref="G36:J36"/>
    <mergeCell ref="G85:J85"/>
    <mergeCell ref="G82:J82"/>
    <mergeCell ref="G91:I91"/>
    <mergeCell ref="G112:J112"/>
    <mergeCell ref="G47:J47"/>
    <mergeCell ref="G48:J48"/>
    <mergeCell ref="G59:J59"/>
    <mergeCell ref="G104:J104"/>
    <mergeCell ref="G77:J77"/>
    <mergeCell ref="G43:I43"/>
    <mergeCell ref="G68:H68"/>
    <mergeCell ref="G70:J70"/>
    <mergeCell ref="G58:J58"/>
    <mergeCell ref="G97:J97"/>
    <mergeCell ref="G99:J99"/>
    <mergeCell ref="G67:J67"/>
    <mergeCell ref="G57:J57"/>
    <mergeCell ref="G124:J124"/>
    <mergeCell ref="G127:J127"/>
    <mergeCell ref="G75:J75"/>
    <mergeCell ref="G102:J102"/>
    <mergeCell ref="G113:J113"/>
    <mergeCell ref="G84:J84"/>
    <mergeCell ref="G73:I73"/>
    <mergeCell ref="G101:J101"/>
    <mergeCell ref="G134:J134"/>
    <mergeCell ref="G151:J151"/>
    <mergeCell ref="G153:J153"/>
    <mergeCell ref="G125:J125"/>
    <mergeCell ref="G123:J123"/>
    <mergeCell ref="G106:J106"/>
    <mergeCell ref="G105:J105"/>
    <mergeCell ref="G107:J107"/>
    <mergeCell ref="G140:J140"/>
    <mergeCell ref="G115:J115"/>
    <mergeCell ref="G158:J158"/>
    <mergeCell ref="G130:J130"/>
    <mergeCell ref="G156:J156"/>
    <mergeCell ref="G147:J147"/>
    <mergeCell ref="G149:H149"/>
    <mergeCell ref="A166:F166"/>
    <mergeCell ref="A164:F164"/>
    <mergeCell ref="G162:J162"/>
    <mergeCell ref="G131:J131"/>
    <mergeCell ref="G137:J137"/>
    <mergeCell ref="G138:H138"/>
    <mergeCell ref="G159:J159"/>
    <mergeCell ref="G160:J160"/>
  </mergeCells>
  <printOptions horizontalCentered="1" verticalCentered="1"/>
  <pageMargins left="0.5118110236220472" right="0.15748031496062992" top="0.2362204724409449" bottom="0.1968503937007874" header="0.2755905511811024" footer="0.15748031496062992"/>
  <pageSetup horizontalDpi="600" verticalDpi="600" orientation="landscape" paperSize="9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="106" zoomScaleNormal="106" zoomScalePageLayoutView="0" workbookViewId="0" topLeftCell="A26">
      <selection activeCell="J47" sqref="A3:J47"/>
    </sheetView>
  </sheetViews>
  <sheetFormatPr defaultColWidth="9.140625" defaultRowHeight="12.75"/>
  <cols>
    <col min="1" max="1" width="6.140625" style="266" customWidth="1"/>
    <col min="2" max="2" width="35.28125" style="22" customWidth="1"/>
    <col min="3" max="3" width="13.421875" style="26" bestFit="1" customWidth="1"/>
    <col min="4" max="4" width="13.8515625" style="43" customWidth="1"/>
    <col min="5" max="5" width="12.28125" style="43" bestFit="1" customWidth="1"/>
    <col min="6" max="6" width="14.421875" style="26" customWidth="1"/>
    <col min="7" max="7" width="14.57421875" style="26" customWidth="1"/>
    <col min="8" max="8" width="12.00390625" style="26" hidden="1" customWidth="1"/>
    <col min="9" max="9" width="14.57421875" style="26" bestFit="1" customWidth="1"/>
    <col min="10" max="10" width="13.8515625" style="1" bestFit="1" customWidth="1"/>
    <col min="11" max="11" width="15.57421875" style="22" customWidth="1"/>
    <col min="12" max="16384" width="9.140625" style="22" customWidth="1"/>
  </cols>
  <sheetData>
    <row r="1" spans="1:10" s="23" customFormat="1" ht="12.75">
      <c r="A1" s="1442" t="s">
        <v>1507</v>
      </c>
      <c r="B1" s="1442"/>
      <c r="C1" s="1442"/>
      <c r="D1" s="1442"/>
      <c r="E1" s="1442"/>
      <c r="F1" s="1442"/>
      <c r="G1" s="255"/>
      <c r="H1" s="255"/>
      <c r="I1" s="255"/>
      <c r="J1" s="256"/>
    </row>
    <row r="2" spans="1:4" ht="13.5" thickBot="1">
      <c r="A2" s="257"/>
      <c r="B2" s="23"/>
      <c r="C2" s="42"/>
      <c r="D2" s="258"/>
    </row>
    <row r="3" spans="1:10" s="23" customFormat="1" ht="66" customHeight="1" thickBot="1">
      <c r="A3" s="892" t="s">
        <v>23</v>
      </c>
      <c r="B3" s="893" t="s">
        <v>24</v>
      </c>
      <c r="C3" s="894" t="s">
        <v>1595</v>
      </c>
      <c r="D3" s="894" t="s">
        <v>1596</v>
      </c>
      <c r="E3" s="894" t="s">
        <v>1597</v>
      </c>
      <c r="F3" s="894" t="s">
        <v>1598</v>
      </c>
      <c r="G3" s="894" t="s">
        <v>1599</v>
      </c>
      <c r="H3" s="894" t="s">
        <v>1433</v>
      </c>
      <c r="I3" s="894" t="s">
        <v>1600</v>
      </c>
      <c r="J3" s="895" t="s">
        <v>1506</v>
      </c>
    </row>
    <row r="4" spans="1:11" s="23" customFormat="1" ht="17.25" customHeight="1" thickBot="1">
      <c r="A4" s="1527" t="s">
        <v>25</v>
      </c>
      <c r="B4" s="1528"/>
      <c r="C4" s="896">
        <f aca="true" t="shared" si="0" ref="C4:I4">C5+C12+C19+C22+C25+C29+C31+C36+C38</f>
        <v>483017969</v>
      </c>
      <c r="D4" s="896">
        <f t="shared" si="0"/>
        <v>182000</v>
      </c>
      <c r="E4" s="896">
        <f t="shared" si="0"/>
        <v>610000</v>
      </c>
      <c r="F4" s="896">
        <f t="shared" si="0"/>
        <v>74225242.25</v>
      </c>
      <c r="G4" s="896">
        <f t="shared" si="0"/>
        <v>101708979</v>
      </c>
      <c r="H4" s="896" t="e">
        <f t="shared" si="0"/>
        <v>#REF!</v>
      </c>
      <c r="I4" s="896">
        <f t="shared" si="0"/>
        <v>427000</v>
      </c>
      <c r="J4" s="896">
        <f>J5+J12+J19+J22+J25+J29+J31+J36+J38</f>
        <v>660171190.25</v>
      </c>
      <c r="K4" s="256"/>
    </row>
    <row r="5" spans="1:10" s="23" customFormat="1" ht="15" customHeight="1" thickBot="1">
      <c r="A5" s="897">
        <v>41</v>
      </c>
      <c r="B5" s="898" t="s">
        <v>26</v>
      </c>
      <c r="C5" s="899">
        <f>SUM(C6:C11)</f>
        <v>127991784</v>
      </c>
      <c r="D5" s="899">
        <f aca="true" t="shared" si="1" ref="D5:I5">SUM(D6:D11)</f>
        <v>20000</v>
      </c>
      <c r="E5" s="899">
        <f t="shared" si="1"/>
        <v>0</v>
      </c>
      <c r="F5" s="899">
        <f t="shared" si="1"/>
        <v>750000</v>
      </c>
      <c r="G5" s="899">
        <f t="shared" si="1"/>
        <v>119000</v>
      </c>
      <c r="H5" s="899" t="e">
        <f t="shared" si="1"/>
        <v>#REF!</v>
      </c>
      <c r="I5" s="899">
        <f t="shared" si="1"/>
        <v>0</v>
      </c>
      <c r="J5" s="899">
        <f>SUM(J6:J11)</f>
        <v>128880784</v>
      </c>
    </row>
    <row r="6" spans="1:11" ht="12.75">
      <c r="A6" s="900">
        <v>411</v>
      </c>
      <c r="B6" s="901" t="s">
        <v>27</v>
      </c>
      <c r="C6" s="902">
        <f>Rashodi!M11+Rashodi!M42+Rashodi!M59+Rashodi!M76+Rashodi!M424+Rashodi!M440+Rashodi!M490+Rashodi!M451+Rashodi!M33+Rashodi!M389+Rashodi!M368+Rashodi!M464+Rashodi!M477+Rashodi!M412</f>
        <v>100782636</v>
      </c>
      <c r="D6" s="902">
        <f>Rashodi!N11+Rashodi!N42+Rashodi!N59+Rashodi!N76+Rashodi!N424+Rashodi!N440+Rashodi!N490+Rashodi!N451+Rashodi!N33+Rashodi!N389+Rashodi!N368+Rashodi!N464+Rashodi!N477+Rashodi!N412</f>
        <v>0</v>
      </c>
      <c r="E6" s="902">
        <f>Rashodi!O11+Rashodi!O42+Rashodi!O59+Rashodi!O76+Rashodi!O424+Rashodi!O440+Rashodi!O490+Rashodi!O451+Rashodi!O33+Rashodi!O389+Rashodi!O368+Rashodi!O464+Rashodi!O477+Rashodi!O412</f>
        <v>0</v>
      </c>
      <c r="F6" s="902">
        <f>Rashodi!P11+Rashodi!P42+Rashodi!P59+Rashodi!P76+Rashodi!P424+Rashodi!P440+Rashodi!P490+Rashodi!P451+Rashodi!P33+Rashodi!P389+Rashodi!P368+Rashodi!P464+Rashodi!P477+Rashodi!P412</f>
        <v>0</v>
      </c>
      <c r="G6" s="902">
        <f>Rashodi!Q11+Rashodi!Q42+Rashodi!Q59+Rashodi!Q76+Rashodi!Q424+Rashodi!Q440+Rashodi!Q490+Rashodi!Q451+Rashodi!Q33+Rashodi!Q389+Rashodi!Q368+Rashodi!Q464+Rashodi!Q477+Rashodi!Q412</f>
        <v>0</v>
      </c>
      <c r="H6" s="902">
        <f>Rashodi!R11+Rashodi!R42+Rashodi!R59+Rashodi!R76+Rashodi!R424+Rashodi!R440+Rashodi!R490+Rashodi!R451+Rashodi!R33+Rashodi!R389+Rashodi!R368+Rashodi!R464+Rashodi!R477+Rashodi!R412</f>
        <v>0</v>
      </c>
      <c r="I6" s="902">
        <f>Rashodi!S11+Rashodi!S42+Rashodi!S59+Rashodi!S76+Rashodi!S424+Rashodi!S440+Rashodi!S490+Rashodi!S451+Rashodi!S33+Rashodi!S389+Rashodi!S368+Rashodi!S464+Rashodi!S477+Rashodi!S412</f>
        <v>0</v>
      </c>
      <c r="J6" s="903">
        <f aca="true" t="shared" si="2" ref="J6:J11">C6+D6+E6+F6+G6+I6</f>
        <v>100782636</v>
      </c>
      <c r="K6" s="1"/>
    </row>
    <row r="7" spans="1:11" ht="12.75">
      <c r="A7" s="904">
        <v>412</v>
      </c>
      <c r="B7" s="905" t="s">
        <v>28</v>
      </c>
      <c r="C7" s="906">
        <f>Rashodi!M12+Rashodi!M43+Rashodi!M60+Rashodi!M77+Rashodi!M425+Rashodi!M441+Rashodi!M491+Rashodi!M452+Rashodi!M34+Rashodi!M390+Rashodi!M369+Rashodi!M465+Rashodi!M478+Rashodi!M413</f>
        <v>16901648</v>
      </c>
      <c r="D7" s="906">
        <f>Rashodi!N12+Rashodi!N43+Rashodi!N60+Rashodi!N77+Rashodi!N425+Rashodi!N441+Rashodi!N491+Rashodi!N452+Rashodi!N34+Rashodi!N390+Rashodi!N369+Rashodi!N465+Rashodi!N478</f>
        <v>0</v>
      </c>
      <c r="E7" s="906">
        <f>Rashodi!O12+Rashodi!O43+Rashodi!O60+Rashodi!O77+Rashodi!O425+Rashodi!O441+Rashodi!O491+Rashodi!O452+Rashodi!O34+Rashodi!O390+Rashodi!O369+Rashodi!O465+Rashodi!O478</f>
        <v>0</v>
      </c>
      <c r="F7" s="906">
        <f>Rashodi!P12+Rashodi!P43+Rashodi!P60+Rashodi!P77+Rashodi!P425+Rashodi!P441+Rashodi!P491+Rashodi!P452+Rashodi!P34+Rashodi!P390+Rashodi!P369+Rashodi!P465+Rashodi!P478</f>
        <v>0</v>
      </c>
      <c r="G7" s="906">
        <f>Rashodi!Q12+Rashodi!Q43+Rashodi!Q60+Rashodi!Q77+Rashodi!Q425+Rashodi!Q441+Rashodi!Q491+Rashodi!Q452+Rashodi!Q34+Rashodi!Q390+Rashodi!Q369+Rashodi!Q465+Rashodi!Q478</f>
        <v>0</v>
      </c>
      <c r="H7" s="906">
        <f>Rashodi!R12+Rashodi!R43+Rashodi!R60+Rashodi!R77+Rashodi!R425+Rashodi!R441+Rashodi!R491+Rashodi!R452+Rashodi!R34+Rashodi!R390+Rashodi!R369+Rashodi!R465+Rashodi!R478</f>
        <v>0</v>
      </c>
      <c r="I7" s="906">
        <f>Rashodi!S12+Rashodi!S43+Rashodi!S60+Rashodi!S77+Rashodi!S425+Rashodi!S441+Rashodi!S491+Rashodi!S452+Rashodi!S34+Rashodi!S390+Rashodi!S369+Rashodi!S465+Rashodi!S478</f>
        <v>0</v>
      </c>
      <c r="J7" s="1243">
        <f t="shared" si="2"/>
        <v>16901648</v>
      </c>
      <c r="K7" s="1"/>
    </row>
    <row r="8" spans="1:10" ht="12.75">
      <c r="A8" s="904">
        <v>413</v>
      </c>
      <c r="B8" s="905" t="s">
        <v>29</v>
      </c>
      <c r="C8" s="906">
        <f>Rashodi!M370</f>
        <v>400000</v>
      </c>
      <c r="D8" s="906">
        <f>Rashodi!N370</f>
        <v>0</v>
      </c>
      <c r="E8" s="906">
        <f>Rashodi!O370</f>
        <v>0</v>
      </c>
      <c r="F8" s="906">
        <f>Rashodi!P370</f>
        <v>150000</v>
      </c>
      <c r="G8" s="906">
        <f>Rashodi!Q370</f>
        <v>19000</v>
      </c>
      <c r="H8" s="906">
        <f>Rashodi!R370</f>
        <v>0</v>
      </c>
      <c r="I8" s="906">
        <f>Rashodi!S370</f>
        <v>0</v>
      </c>
      <c r="J8" s="1243">
        <f t="shared" si="2"/>
        <v>569000</v>
      </c>
    </row>
    <row r="9" spans="1:10" ht="12.75">
      <c r="A9" s="904">
        <v>414</v>
      </c>
      <c r="B9" s="905" t="s">
        <v>30</v>
      </c>
      <c r="C9" s="906">
        <f>Rashodi!M78+Rashodi!M13+Rashodi!M44+Rashodi!M61+Rashodi!M391+Rashodi!M371+Rashodi!M426</f>
        <v>2905000</v>
      </c>
      <c r="D9" s="906">
        <f>Rashodi!N78+Rashodi!N13+Rashodi!N44+Rashodi!N61+Rashodi!N391+Rashodi!N371</f>
        <v>20000</v>
      </c>
      <c r="E9" s="906">
        <f>Rashodi!O78+Rashodi!O13+Rashodi!O44+Rashodi!O61+Rashodi!O391+Rashodi!O371</f>
        <v>0</v>
      </c>
      <c r="F9" s="906">
        <f>Rashodi!P78+Rashodi!P13+Rashodi!P44+Rashodi!P61+Rashodi!P391+Rashodi!P371</f>
        <v>0</v>
      </c>
      <c r="G9" s="906">
        <f>Rashodi!Q78+Rashodi!Q13+Rashodi!Q44+Rashodi!Q61+Rashodi!Q391+Rashodi!Q371</f>
        <v>0</v>
      </c>
      <c r="H9" s="906">
        <f>Rashodi!R78+Rashodi!R13+Rashodi!R44+Rashodi!R61+Rashodi!R391+Rashodi!R371</f>
        <v>0</v>
      </c>
      <c r="I9" s="906">
        <f>Rashodi!S78+Rashodi!S13+Rashodi!S44+Rashodi!S61+Rashodi!S391+Rashodi!S371</f>
        <v>0</v>
      </c>
      <c r="J9" s="1243">
        <f t="shared" si="2"/>
        <v>2925000</v>
      </c>
    </row>
    <row r="10" spans="1:10" ht="12.75">
      <c r="A10" s="904">
        <v>415</v>
      </c>
      <c r="B10" s="905" t="s">
        <v>31</v>
      </c>
      <c r="C10" s="906">
        <f>Rashodi!M14+Rashodi!M62+Rashodi!M79+Rashodi!M45+Rashodi!M35+Rashodi!M392+Rashodi!M372+Rashodi!M479</f>
        <v>5536000</v>
      </c>
      <c r="D10" s="906">
        <f>Rashodi!N14+Rashodi!N62+Rashodi!N79+Rashodi!N45+Rashodi!N35+Rashodi!N392+Rashodi!N372+Rashodi!N479</f>
        <v>0</v>
      </c>
      <c r="E10" s="906">
        <f>Rashodi!O14+Rashodi!O62+Rashodi!O79+Rashodi!O45+Rashodi!O35+Rashodi!O392+Rashodi!O372</f>
        <v>0</v>
      </c>
      <c r="F10" s="906">
        <f>Rashodi!P14+Rashodi!P62+Rashodi!P79+Rashodi!P45+Rashodi!P35+Rashodi!P392+Rashodi!P372+Rashodi!P479</f>
        <v>600000</v>
      </c>
      <c r="G10" s="906">
        <f>Rashodi!Q14+Rashodi!Q62+Rashodi!Q79+Rashodi!Q45+Rashodi!Q35+Rashodi!Q392+Rashodi!Q372</f>
        <v>100000</v>
      </c>
      <c r="H10" s="906">
        <f>Rashodi!R14+Rashodi!R62+Rashodi!R79+Rashodi!R45+Rashodi!R35+Rashodi!R392+Rashodi!R372</f>
        <v>0</v>
      </c>
      <c r="I10" s="906">
        <f>Rashodi!S14+Rashodi!S62+Rashodi!S79+Rashodi!S45+Rashodi!S35+Rashodi!S392+Rashodi!S372</f>
        <v>0</v>
      </c>
      <c r="J10" s="1243">
        <f t="shared" si="2"/>
        <v>6236000</v>
      </c>
    </row>
    <row r="11" spans="1:10" ht="13.5" thickBot="1">
      <c r="A11" s="907">
        <v>416</v>
      </c>
      <c r="B11" s="908" t="s">
        <v>197</v>
      </c>
      <c r="C11" s="909">
        <f>Rashodi!M373+Rashodi!M80+Rashodi!M15+Rashodi!M63+Rashodi!M453</f>
        <v>1466500</v>
      </c>
      <c r="D11" s="909">
        <f>Rashodi!N373+Rashodi!N80+Rashodi!N426+Rashodi!N15+Rashodi!N63</f>
        <v>0</v>
      </c>
      <c r="E11" s="909">
        <f>Rashodi!O373+Rashodi!O80+Rashodi!O426+Rashodi!O15+Rashodi!O63+Rashodi!O479</f>
        <v>0</v>
      </c>
      <c r="F11" s="909">
        <f>Rashodi!P373+Rashodi!P80+Rashodi!P426+Rashodi!P15+Rashodi!P63</f>
        <v>0</v>
      </c>
      <c r="G11" s="909">
        <f>Rashodi!Q373+Rashodi!Q80+Rashodi!Q426+Rashodi!Q15+Rashodi!Q63+Rashodi!Q479</f>
        <v>0</v>
      </c>
      <c r="H11" s="909" t="e">
        <f>Rashodi!R373+Rashodi!R80+Rashodi!#REF!+Rashodi!R426+Rashodi!R15</f>
        <v>#REF!</v>
      </c>
      <c r="I11" s="909">
        <f>Rashodi!S373+Rashodi!S80+Rashodi!S426+Rashodi!S15</f>
        <v>0</v>
      </c>
      <c r="J11" s="1244">
        <f t="shared" si="2"/>
        <v>1466500</v>
      </c>
    </row>
    <row r="12" spans="1:10" s="23" customFormat="1" ht="14.25" customHeight="1" thickBot="1">
      <c r="A12" s="897">
        <v>42</v>
      </c>
      <c r="B12" s="910" t="s">
        <v>32</v>
      </c>
      <c r="C12" s="911">
        <f>SUM(C13:C18)</f>
        <v>143913495</v>
      </c>
      <c r="D12" s="911">
        <f aca="true" t="shared" si="3" ref="D12:I12">SUM(D13:D18)</f>
        <v>129500</v>
      </c>
      <c r="E12" s="911">
        <f t="shared" si="3"/>
        <v>270000</v>
      </c>
      <c r="F12" s="911">
        <f t="shared" si="3"/>
        <v>24432062.25</v>
      </c>
      <c r="G12" s="911">
        <f t="shared" si="3"/>
        <v>41394837</v>
      </c>
      <c r="H12" s="911" t="e">
        <f t="shared" si="3"/>
        <v>#REF!</v>
      </c>
      <c r="I12" s="911">
        <f t="shared" si="3"/>
        <v>427000</v>
      </c>
      <c r="J12" s="896">
        <f>SUM(J13:J18)</f>
        <v>210566894.25</v>
      </c>
    </row>
    <row r="13" spans="1:10" ht="12.75">
      <c r="A13" s="900">
        <v>421</v>
      </c>
      <c r="B13" s="901" t="s">
        <v>33</v>
      </c>
      <c r="C13" s="902">
        <f>Rashodi!M16+Rashodi!M46+Rashodi!M81+Rashodi!M414+Rashodi!M427+Rashodi!M442+Rashodi!M454+Rashodi!M466+Rashodi!M480+Rashodi!M492+Rashodi!M64+Rashodi!M264+Rashodi!M393+Rashodi!M374+Rashodi!M296++Rashodi!M36+Rashodi!M108</f>
        <v>25835000</v>
      </c>
      <c r="D13" s="902">
        <f>Rashodi!N16+Rashodi!N46+Rashodi!N81+Rashodi!N414+Rashodi!N427+Rashodi!N442+Rashodi!N454+Rashodi!N466+Rashodi!N480+Rashodi!N492+Rashodi!N64+Rashodi!N264+Rashodi!N393+Rashodi!N374+Rashodi!N296++Rashodi!N36+Rashodi!N108</f>
        <v>23000</v>
      </c>
      <c r="E13" s="902">
        <f>Rashodi!O16+Rashodi!O46+Rashodi!O81+Rashodi!O414+Rashodi!O427+Rashodi!O442+Rashodi!O454+Rashodi!O466+Rashodi!O480+Rashodi!O492+Rashodi!O64+Rashodi!O264+Rashodi!O393+Rashodi!O374+Rashodi!O296++Rashodi!O36+Rashodi!O108</f>
        <v>0</v>
      </c>
      <c r="F13" s="902">
        <f>Rashodi!P16+Rashodi!P46+Rashodi!P81+Rashodi!P414+Rashodi!P427+Rashodi!P442+Rashodi!P454+Rashodi!P466+Rashodi!P480+Rashodi!P492+Rashodi!P64+Rashodi!P264+Rashodi!P393+Rashodi!P374+Rashodi!P296++Rashodi!P36+Rashodi!P108</f>
        <v>1619748</v>
      </c>
      <c r="G13" s="902">
        <f>Rashodi!Q16+Rashodi!Q46+Rashodi!Q81+Rashodi!Q414+Rashodi!Q427+Rashodi!Q442+Rashodi!Q454+Rashodi!Q466+Rashodi!Q480+Rashodi!Q492+Rashodi!Q64+Rashodi!Q264+Rashodi!Q393+Rashodi!Q374+Rashodi!Q296++Rashodi!Q36+Rashodi!Q108</f>
        <v>1640000</v>
      </c>
      <c r="H13" s="902">
        <f>Rashodi!R16+Rashodi!R46+Rashodi!R81+Rashodi!R414+Rashodi!R427+Rashodi!R442+Rashodi!R454+Rashodi!R466+Rashodi!R480+Rashodi!R492+Rashodi!R64+Rashodi!R264+Rashodi!R393+Rashodi!R374+Rashodi!R296++Rashodi!R36+Rashodi!R108</f>
        <v>0</v>
      </c>
      <c r="I13" s="902">
        <f>Rashodi!S16+Rashodi!S46+Rashodi!S81+Rashodi!S414+Rashodi!S427+Rashodi!S442+Rashodi!S454+Rashodi!S466+Rashodi!S480+Rashodi!S492+Rashodi!S64+Rashodi!S264+Rashodi!S393+Rashodi!S374+Rashodi!S296++Rashodi!S36+Rashodi!S108</f>
        <v>2000</v>
      </c>
      <c r="J13" s="903">
        <f aca="true" t="shared" si="4" ref="J13:J18">C13+D13+E13+F13+G13+I13</f>
        <v>29119748</v>
      </c>
    </row>
    <row r="14" spans="1:10" ht="12.75">
      <c r="A14" s="904">
        <v>422</v>
      </c>
      <c r="B14" s="905" t="s">
        <v>34</v>
      </c>
      <c r="C14" s="906">
        <f>Rashodi!M17+Rashodi!M47+Rashodi!M65+Rashodi!M82+Rashodi!M428+Rashodi!M481+Rashodi!M394+Rashodi!M375+Rashodi!M109</f>
        <v>314700</v>
      </c>
      <c r="D14" s="906">
        <f>Rashodi!N17+Rashodi!N47+Rashodi!N65+Rashodi!N82+Rashodi!N428+Rashodi!N481+Rashodi!N394+Rashodi!N375+Rashodi!N109</f>
        <v>10000</v>
      </c>
      <c r="E14" s="906">
        <f>Rashodi!O17+Rashodi!O47+Rashodi!O65+Rashodi!O82+Rashodi!O428+Rashodi!O481+Rashodi!O394+Rashodi!O375+Rashodi!O109</f>
        <v>0</v>
      </c>
      <c r="F14" s="906">
        <f>Rashodi!P17+Rashodi!P47+Rashodi!P65+Rashodi!P82+Rashodi!P428+Rashodi!P481+Rashodi!P394+Rashodi!P375+Rashodi!P109</f>
        <v>0</v>
      </c>
      <c r="G14" s="906">
        <f>Rashodi!Q17+Rashodi!Q47+Rashodi!Q65+Rashodi!Q82+Rashodi!Q428+Rashodi!Q481+Rashodi!Q394+Rashodi!Q375+Rashodi!Q109</f>
        <v>192000</v>
      </c>
      <c r="H14" s="906" t="e">
        <f>Rashodi!R17+Rashodi!R47+Rashodi!R65+Rashodi!R82+Rashodi!R428+Rashodi!#REF!+Rashodi!R481+Rashodi!R394+Rashodi!R375+Rashodi!R109</f>
        <v>#REF!</v>
      </c>
      <c r="I14" s="906">
        <f>Rashodi!S17+Rashodi!S47+Rashodi!S65+Rashodi!S82+Rashodi!S428+Rashodi!S481+Rashodi!S394+Rashodi!S375+Rashodi!S109</f>
        <v>40000</v>
      </c>
      <c r="J14" s="1243">
        <f t="shared" si="4"/>
        <v>556700</v>
      </c>
    </row>
    <row r="15" spans="1:10" ht="12.75">
      <c r="A15" s="904">
        <v>423</v>
      </c>
      <c r="B15" s="905" t="s">
        <v>35</v>
      </c>
      <c r="C15" s="906">
        <f>Rashodi!M20+Rashodi!M22+Rashodi!M48+Rashodi!M49+Rashodi!M51+Rashodi!M66+Rashodi!M68+Rashodi!M83+Rashodi!M85+Rashodi!M415+Rashodi!M429+Rashodi!M443+Rashodi!M455+Rashodi!M467+Rashodi!M482+Rashodi!M493+Rashodi!M69+Rashodi!M265+Rashodi!M311+Rashodi!M110+Rashodi!M86+Rashodi!M18+Rashodi!M19+Rashodi!M67+Rashodi!M87+Rashodi!M395+Rashodi!M404+Rashodi!M376+Rashodi!M137+Rashodi!M119+Rashodi!M88+Rashodi!M84+Rashodi!M21+Rashodi!M50</f>
        <v>51977018</v>
      </c>
      <c r="D15" s="906">
        <f>Rashodi!N20+Rashodi!N22+Rashodi!N48+Rashodi!N49+Rashodi!N51+Rashodi!N66+Rashodi!N68+Rashodi!N83+Rashodi!N85+Rashodi!N415+Rashodi!N429+Rashodi!N443+Rashodi!N455+Rashodi!N467+Rashodi!N482+Rashodi!N493+Rashodi!N69+Rashodi!N265+Rashodi!N311+Rashodi!N110+Rashodi!N86+Rashodi!N18+Rashodi!N19+Rashodi!N67+Rashodi!N87+Rashodi!N395+Rashodi!N404+Rashodi!N376+Rashodi!N137+Rashodi!N119+Rashodi!N88+Rashodi!N84</f>
        <v>30000</v>
      </c>
      <c r="E15" s="906">
        <f>Rashodi!O20+Rashodi!O22+Rashodi!O48+Rashodi!O49+Rashodi!O51+Rashodi!O66+Rashodi!O68+Rashodi!O83+Rashodi!O85+Rashodi!O415+Rashodi!O429+Rashodi!O443+Rashodi!O455+Rashodi!O467+Rashodi!O482+Rashodi!O493+Rashodi!O69+Rashodi!O265+Rashodi!O311+Rashodi!O110+Rashodi!O86+Rashodi!O18+Rashodi!O19+Rashodi!O67+Rashodi!O87+Rashodi!O395+Rashodi!O404+Rashodi!O376+Rashodi!O137+Rashodi!O119+Rashodi!O88+Rashodi!O84</f>
        <v>100000</v>
      </c>
      <c r="F15" s="906">
        <f>Rashodi!P20+Rashodi!P22+Rashodi!P48+Rashodi!P49+Rashodi!P51+Rashodi!P66+Rashodi!P68+Rashodi!P83+Rashodi!P85+Rashodi!P415+Rashodi!P429+Rashodi!P443+Rashodi!P455+Rashodi!P467+Rashodi!P482+Rashodi!P493+Rashodi!P69+Rashodi!P265+Rashodi!P311+Rashodi!P110+Rashodi!P86+Rashodi!P18+Rashodi!P19+Rashodi!P67+Rashodi!P87+Rashodi!P395+Rashodi!P404+Rashodi!P376+Rashodi!P137+Rashodi!P119+Rashodi!P88+Rashodi!P84+Rashodi!P21</f>
        <v>7851645.100000001</v>
      </c>
      <c r="G15" s="906">
        <f>Rashodi!Q20+Rashodi!Q22+Rashodi!Q48+Rashodi!Q49+Rashodi!Q51+Rashodi!Q66+Rashodi!Q68+Rashodi!Q83+Rashodi!Q85+Rashodi!Q415+Rashodi!Q429+Rashodi!Q443+Rashodi!Q455+Rashodi!Q467+Rashodi!Q482+Rashodi!Q493+Rashodi!Q69+Rashodi!Q265+Rashodi!Q311+Rashodi!Q110+Rashodi!Q86+Rashodi!Q18+Rashodi!Q19+Rashodi!Q67+Rashodi!Q87+Rashodi!Q395+Rashodi!Q404+Rashodi!Q376+Rashodi!Q137+Rashodi!Q119+Rashodi!Q88+Rashodi!Q84</f>
        <v>4210837</v>
      </c>
      <c r="H15" s="906" t="e">
        <f>Rashodi!R20+Rashodi!R22+Rashodi!R48+Rashodi!R49+Rashodi!R51+Rashodi!R66+Rashodi!R68+Rashodi!R83+Rashodi!R85+Rashodi!R415+Rashodi!R429+Rashodi!R443+Rashodi!R455+Rashodi!R467+Rashodi!R482+Rashodi!R493+Rashodi!R69+Rashodi!R265+Rashodi!R311+Rashodi!R110+Rashodi!R86+Rashodi!R18+Rashodi!R19+Rashodi!R67+Rashodi!R87+Rashodi!R395+Rashodi!#REF!+Rashodi!R404+Rashodi!R376+Rashodi!R137+Rashodi!R119+Rashodi!R88+Rashodi!R84+Rashodi!#REF!+Rashodi!#REF!+Rashodi!#REF!+Rashodi!#REF!+Rashodi!#REF!+Rashodi!#REF!+Rashodi!#REF!+Rashodi!#REF!</f>
        <v>#REF!</v>
      </c>
      <c r="I15" s="906">
        <f>Rashodi!S20+Rashodi!S22+Rashodi!S48+Rashodi!S49+Rashodi!S51+Rashodi!S66+Rashodi!S68+Rashodi!S83+Rashodi!S85+Rashodi!S415+Rashodi!S429+Rashodi!S443+Rashodi!S455+Rashodi!S467+Rashodi!S482+Rashodi!S493+Rashodi!S69+Rashodi!S265+Rashodi!S311+Rashodi!S110+Rashodi!S86+Rashodi!S18+Rashodi!S19+Rashodi!S67+Rashodi!S87+Rashodi!S395+Rashodi!S404+Rashodi!S376+Rashodi!S137+Rashodi!S119+Rashodi!S88+Rashodi!S84</f>
        <v>385000</v>
      </c>
      <c r="J15" s="1243">
        <f t="shared" si="4"/>
        <v>64554500.1</v>
      </c>
    </row>
    <row r="16" spans="1:10" ht="12.75">
      <c r="A16" s="904">
        <v>424</v>
      </c>
      <c r="B16" s="905" t="s">
        <v>36</v>
      </c>
      <c r="C16" s="906">
        <f>Rashodi!M89+Rashodi!M430+Rashodi!M468+Rashodi!M494+Rashodi!M266+Rashodi!M267+Rashodi!M268+Rashodi!M312+Rashodi!M52+Rashodi!M281+Rashodi!M120+Rashodi!M396+Rashodi!M405+Rashodi!M377+Rashodi!M260+Rashodi!M285+Rashodi!M300+Rashodi!M349+Rashodi!M323+Rashodi!M288+Rashodi!M350+Rashodi!M354+Rashodi!M286+Rashodi!M313+Rashodi!M351+Rashodi!M352+Rashodi!M353+Rashodi!M301+Rashodi!M324+Rashodi!M306</f>
        <v>30967000</v>
      </c>
      <c r="D16" s="906">
        <f>Rashodi!N89+Rashodi!N430+Rashodi!N468+Rashodi!N494+Rashodi!N266+Rashodi!N267+Rashodi!N268+Rashodi!N312+Rashodi!N52+Rashodi!N281+Rashodi!N120+Rashodi!N396+Rashodi!N405+Rashodi!N377+Rashodi!N260+Rashodi!N285+Rashodi!N300+Rashodi!N349+Rashodi!N323+Rashodi!N288+Rashodi!N350+Rashodi!N354+Rashodi!N286+Rashodi!N313+Rashodi!N351+Rashodi!N352+Rashodi!N353+Rashodi!N301+Rashodi!N324+Rashodi!N306</f>
        <v>10000</v>
      </c>
      <c r="E16" s="906">
        <f>Rashodi!O89+Rashodi!O430+Rashodi!O468+Rashodi!O494+Rashodi!O266+Rashodi!O267+Rashodi!O268+Rashodi!O312+Rashodi!O52+Rashodi!O281+Rashodi!O120+Rashodi!O396+Rashodi!O405+Rashodi!O377+Rashodi!O260+Rashodi!O285+Rashodi!O300+Rashodi!O349+Rashodi!O323+Rashodi!O288+Rashodi!O350+Rashodi!O354+Rashodi!O286+Rashodi!O313+Rashodi!O351+Rashodi!O352+Rashodi!O353+Rashodi!O301+Rashodi!O324+Rashodi!O306</f>
        <v>135000</v>
      </c>
      <c r="F16" s="906">
        <f>Rashodi!P89+Rashodi!P430+Rashodi!P468+Rashodi!P494+Rashodi!P266+Rashodi!P267+Rashodi!P268+Rashodi!P312+Rashodi!P52+Rashodi!P281+Rashodi!P120+Rashodi!P396+Rashodi!P405+Rashodi!P377+Rashodi!P260+Rashodi!P285+Rashodi!P300+Rashodi!P349+Rashodi!P323+Rashodi!P288+Rashodi!P350+Rashodi!P354+Rashodi!P286+Rashodi!P313+Rashodi!P351+Rashodi!P352+Rashodi!P353+Rashodi!P301+Rashodi!P324+Rashodi!P306</f>
        <v>560000</v>
      </c>
      <c r="G16" s="906">
        <f>Rashodi!Q89+Rashodi!Q430+Rashodi!Q468+Rashodi!Q494+Rashodi!Q266+Rashodi!Q267+Rashodi!Q268+Rashodi!Q312+Rashodi!Q52+Rashodi!Q281+Rashodi!Q120+Rashodi!Q396+Rashodi!Q405+Rashodi!Q377+Rashodi!Q260+Rashodi!Q285+Rashodi!Q300+Rashodi!Q349+Rashodi!Q323+Rashodi!Q288+Rashodi!Q350+Rashodi!Q354+Rashodi!Q286+Rashodi!Q313+Rashodi!Q351+Rashodi!Q352+Rashodi!Q353+Rashodi!Q301+Rashodi!Q324+Rashodi!Q306</f>
        <v>16641000</v>
      </c>
      <c r="H16" s="906">
        <f>Rashodi!R89+Rashodi!R430+Rashodi!R468+Rashodi!R494+Rashodi!R266+Rashodi!R267+Rashodi!R268+Rashodi!R312+Rashodi!R52+Rashodi!R281+Rashodi!R120+Rashodi!R396+Rashodi!R405+Rashodi!R377+Rashodi!R260+Rashodi!R285+Rashodi!R300+Rashodi!R349+Rashodi!R323+Rashodi!R288+Rashodi!R350+Rashodi!R354+Rashodi!R286+Rashodi!R313+Rashodi!R351+Rashodi!R352+Rashodi!R353+Rashodi!R301+Rashodi!R324+Rashodi!R306</f>
        <v>0</v>
      </c>
      <c r="I16" s="906">
        <f>Rashodi!S89+Rashodi!S430+Rashodi!S468+Rashodi!S494+Rashodi!S266+Rashodi!S267+Rashodi!S268+Rashodi!S312+Rashodi!S52+Rashodi!S281+Rashodi!S120+Rashodi!S396+Rashodi!S405+Rashodi!S377+Rashodi!S260+Rashodi!S285+Rashodi!S300+Rashodi!S349+Rashodi!S323+Rashodi!S288+Rashodi!S350+Rashodi!S354+Rashodi!S286+Rashodi!S313+Rashodi!S351+Rashodi!S352+Rashodi!S353+Rashodi!S301+Rashodi!S324+Rashodi!S306</f>
        <v>0</v>
      </c>
      <c r="J16" s="1243">
        <f t="shared" si="4"/>
        <v>48313000</v>
      </c>
    </row>
    <row r="17" spans="1:10" ht="12.75">
      <c r="A17" s="904">
        <v>425</v>
      </c>
      <c r="B17" s="905" t="s">
        <v>37</v>
      </c>
      <c r="C17" s="906">
        <f>Rashodi!M90+Rashodi!M416+Rashodi!M431+Rashodi!M444+Rashodi!M456+Rashodi!M469+Rashodi!M483+Rashodi!M495+Rashodi!M269+Rashodi!M91+Rashodi!M397+Rashodi!M378+Rashodi!M297+Rashodi!M355+Rashodi!M302+Rashodi!M356+Rashodi!M291+Rashodi!M307+Rashodi!M357</f>
        <v>21815000</v>
      </c>
      <c r="D17" s="906">
        <f>Rashodi!N90+Rashodi!N416+Rashodi!N431+Rashodi!N444+Rashodi!N456+Rashodi!N469+Rashodi!N483+Rashodi!N495+Rashodi!N269+Rashodi!N91+Rashodi!N397+Rashodi!N378+Rashodi!N297+Rashodi!N355+Rashodi!N302+Rashodi!N356+Rashodi!N291+Rashodi!N307+Rashodi!N357</f>
        <v>5000</v>
      </c>
      <c r="E17" s="906">
        <f>Rashodi!O90+Rashodi!O416+Rashodi!O431+Rashodi!O444+Rashodi!O456+Rashodi!O469+Rashodi!O483+Rashodi!O495+Rashodi!O269+Rashodi!O91+Rashodi!O397+Rashodi!O378+Rashodi!O297+Rashodi!O355+Rashodi!O302+Rashodi!O356+Rashodi!O291+Rashodi!O307+Rashodi!O357</f>
        <v>0</v>
      </c>
      <c r="F17" s="906">
        <f>Rashodi!P90+Rashodi!P416+Rashodi!P431+Rashodi!P444+Rashodi!P456+Rashodi!P469+Rashodi!P483+Rashodi!P495+Rashodi!P269+Rashodi!P91+Rashodi!P397+Rashodi!P378+Rashodi!P297+Rashodi!P355+Rashodi!P302+Rashodi!P356+Rashodi!P291+Rashodi!P307+Rashodi!P357</f>
        <v>12100000</v>
      </c>
      <c r="G17" s="906">
        <f>Rashodi!Q90+Rashodi!Q416+Rashodi!Q431+Rashodi!Q444+Rashodi!Q456+Rashodi!Q469+Rashodi!Q483+Rashodi!Q495+Rashodi!Q269+Rashodi!Q91+Rashodi!Q397+Rashodi!Q378+Rashodi!Q297+Rashodi!Q355+Rashodi!Q302+Rashodi!Q356+Rashodi!Q291+Rashodi!Q307+Rashodi!Q357</f>
        <v>17525000</v>
      </c>
      <c r="H17" s="906" t="e">
        <f>Rashodi!R90+Rashodi!R416+Rashodi!R431+Rashodi!R444+Rashodi!R456+Rashodi!R469+Rashodi!R483+Rashodi!R495+Rashodi!R269+Rashodi!R91+Rashodi!R397+Rashodi!R378+Rashodi!R297+Rashodi!R355+Rashodi!R302+Rashodi!R356+Rashodi!R291+Rashodi!#REF!+Rashodi!R307</f>
        <v>#REF!</v>
      </c>
      <c r="I17" s="906">
        <f>Rashodi!S90+Rashodi!S416+Rashodi!S431+Rashodi!S444+Rashodi!S456+Rashodi!S469+Rashodi!S483+Rashodi!S495+Rashodi!S269+Rashodi!S91+Rashodi!S397+Rashodi!S378+Rashodi!S297+Rashodi!S355+Rashodi!S302+Rashodi!S356+Rashodi!S291+Rashodi!S307</f>
        <v>0</v>
      </c>
      <c r="J17" s="1243">
        <f t="shared" si="4"/>
        <v>51445000</v>
      </c>
    </row>
    <row r="18" spans="1:10" ht="13.5" thickBot="1">
      <c r="A18" s="907">
        <v>426</v>
      </c>
      <c r="B18" s="908" t="s">
        <v>38</v>
      </c>
      <c r="C18" s="909">
        <f>Rashodi!M23+Rashodi!M53+Rashodi!M70+Rashodi!M92+Rashodi!M417+Rashodi!M432+Rashodi!M445+Rashodi!M457+Rashodi!M470+Rashodi!M484+Rashodi!M496+Rashodi!M270+Rashodi!M271+Rashodi!M111+Rashodi!M93+Rashodi!M398+Rashodi!M406+Rashodi!M379+Rashodi!M37+Rashodi!M122</f>
        <v>13004777</v>
      </c>
      <c r="D18" s="909">
        <f>Rashodi!N23+Rashodi!N53+Rashodi!N70+Rashodi!N92+Rashodi!N417+Rashodi!N432+Rashodi!N445+Rashodi!N457+Rashodi!N470+Rashodi!N484+Rashodi!N496+Rashodi!N270+Rashodi!N271+Rashodi!N111+Rashodi!N93+Rashodi!N398+Rashodi!N406+Rashodi!N379+Rashodi!N37+Rashodi!N122</f>
        <v>51500</v>
      </c>
      <c r="E18" s="909">
        <f>Rashodi!O23+Rashodi!O53+Rashodi!O70+Rashodi!O92+Rashodi!O417+Rashodi!O432+Rashodi!O445+Rashodi!O457+Rashodi!O470+Rashodi!O484+Rashodi!O496+Rashodi!O270+Rashodi!O271+Rashodi!O111+Rashodi!O93+Rashodi!O398+Rashodi!O406+Rashodi!O379+Rashodi!O37+Rashodi!O122</f>
        <v>35000</v>
      </c>
      <c r="F18" s="909">
        <f>Rashodi!P23+Rashodi!P53+Rashodi!P70+Rashodi!P92+Rashodi!P417+Rashodi!P432+Rashodi!P445+Rashodi!P457+Rashodi!P470+Rashodi!P484+Rashodi!P496+Rashodi!P270+Rashodi!P271+Rashodi!P111+Rashodi!P93+Rashodi!P398+Rashodi!P406+Rashodi!P379+Rashodi!P37+Rashodi!P122</f>
        <v>2300669.15</v>
      </c>
      <c r="G18" s="909">
        <f>Rashodi!Q23+Rashodi!Q53+Rashodi!Q70+Rashodi!Q92+Rashodi!Q417+Rashodi!Q432+Rashodi!Q445+Rashodi!Q457+Rashodi!Q470+Rashodi!Q484+Rashodi!Q496+Rashodi!Q270+Rashodi!Q271+Rashodi!Q111+Rashodi!Q93+Rashodi!Q398+Rashodi!Q406+Rashodi!Q379+Rashodi!Q37+Rashodi!Q122</f>
        <v>1186000</v>
      </c>
      <c r="H18" s="909" t="e">
        <f>Rashodi!R23+Rashodi!R53+Rashodi!R70+Rashodi!R92+Rashodi!R417+Rashodi!R432+Rashodi!R445+Rashodi!R457+Rashodi!R470+Rashodi!R484+Rashodi!R496+Rashodi!R270+Rashodi!R271+Rashodi!R111+Rashodi!R93+Rashodi!R398+Rashodi!R406+Rashodi!R379+Rashodi!R37+Rashodi!R122+Rashodi!#REF!+Rashodi!#REF!+Rashodi!#REF!+Rashodi!#REF!+Rashodi!#REF!+Rashodi!#REF!+Rashodi!#REF!+Rashodi!#REF!</f>
        <v>#REF!</v>
      </c>
      <c r="I18" s="909">
        <f>Rashodi!S23+Rashodi!S53+Rashodi!S70+Rashodi!S92+Rashodi!S417+Rashodi!S432+Rashodi!S445+Rashodi!S457+Rashodi!S470+Rashodi!S484+Rashodi!S496+Rashodi!S270+Rashodi!S271+Rashodi!S111+Rashodi!S93+Rashodi!S398+Rashodi!S406+Rashodi!S379+Rashodi!S37+Rashodi!S122</f>
        <v>0</v>
      </c>
      <c r="J18" s="1244">
        <f t="shared" si="4"/>
        <v>16577946.15</v>
      </c>
    </row>
    <row r="19" spans="1:10" s="23" customFormat="1" ht="15" customHeight="1" thickBot="1">
      <c r="A19" s="897">
        <v>44</v>
      </c>
      <c r="B19" s="912" t="s">
        <v>39</v>
      </c>
      <c r="C19" s="911">
        <f>SUM(C20:C21)</f>
        <v>11000</v>
      </c>
      <c r="D19" s="911">
        <f aca="true" t="shared" si="5" ref="D19:I19">SUM(D20:D21)</f>
        <v>0</v>
      </c>
      <c r="E19" s="911">
        <f t="shared" si="5"/>
        <v>0</v>
      </c>
      <c r="F19" s="911">
        <f t="shared" si="5"/>
        <v>0</v>
      </c>
      <c r="G19" s="911">
        <f t="shared" si="5"/>
        <v>0</v>
      </c>
      <c r="H19" s="911">
        <f t="shared" si="5"/>
        <v>0</v>
      </c>
      <c r="I19" s="911">
        <f t="shared" si="5"/>
        <v>0</v>
      </c>
      <c r="J19" s="896">
        <f>SUM(C19:I19)</f>
        <v>11000</v>
      </c>
    </row>
    <row r="20" spans="1:10" ht="12.75">
      <c r="A20" s="900">
        <v>441</v>
      </c>
      <c r="B20" s="901" t="s">
        <v>40</v>
      </c>
      <c r="C20" s="902">
        <f>Rashodi!M433</f>
        <v>1000</v>
      </c>
      <c r="D20" s="902">
        <f>Rashodi!N433</f>
        <v>0</v>
      </c>
      <c r="E20" s="902">
        <f>Rashodi!O433</f>
        <v>0</v>
      </c>
      <c r="F20" s="902">
        <f>Rashodi!P433</f>
        <v>0</v>
      </c>
      <c r="G20" s="902">
        <f>Rashodi!Q433</f>
        <v>0</v>
      </c>
      <c r="H20" s="902">
        <f>Rashodi!R433</f>
        <v>0</v>
      </c>
      <c r="I20" s="902">
        <f>Rashodi!S433</f>
        <v>0</v>
      </c>
      <c r="J20" s="903">
        <f aca="true" t="shared" si="6" ref="J20:J37">C20+D20+E20+F20+G20+I20</f>
        <v>1000</v>
      </c>
    </row>
    <row r="21" spans="1:10" ht="13.5" thickBot="1">
      <c r="A21" s="913">
        <v>444</v>
      </c>
      <c r="B21" s="914" t="s">
        <v>208</v>
      </c>
      <c r="C21" s="915">
        <f>Rashodi!M380</f>
        <v>10000</v>
      </c>
      <c r="D21" s="915">
        <f>Rashodi!N380</f>
        <v>0</v>
      </c>
      <c r="E21" s="915">
        <f>Rashodi!O380</f>
        <v>0</v>
      </c>
      <c r="F21" s="915">
        <f>Rashodi!P380</f>
        <v>0</v>
      </c>
      <c r="G21" s="915">
        <f>Rashodi!Q380</f>
        <v>0</v>
      </c>
      <c r="H21" s="915">
        <f>Rashodi!R380</f>
        <v>0</v>
      </c>
      <c r="I21" s="915">
        <f>Rashodi!S380</f>
        <v>0</v>
      </c>
      <c r="J21" s="1244">
        <f t="shared" si="6"/>
        <v>10000</v>
      </c>
    </row>
    <row r="22" spans="1:10" s="23" customFormat="1" ht="15" customHeight="1" thickBot="1">
      <c r="A22" s="897">
        <v>45</v>
      </c>
      <c r="B22" s="917" t="s">
        <v>1279</v>
      </c>
      <c r="C22" s="911">
        <f>C23+C24</f>
        <v>20256600</v>
      </c>
      <c r="D22" s="911">
        <f aca="true" t="shared" si="7" ref="D22:I22">D23+D24</f>
        <v>0</v>
      </c>
      <c r="E22" s="911">
        <f t="shared" si="7"/>
        <v>0</v>
      </c>
      <c r="F22" s="911">
        <f t="shared" si="7"/>
        <v>2000000</v>
      </c>
      <c r="G22" s="911">
        <f t="shared" si="7"/>
        <v>20000000</v>
      </c>
      <c r="H22" s="911">
        <f t="shared" si="7"/>
        <v>0</v>
      </c>
      <c r="I22" s="911">
        <f t="shared" si="7"/>
        <v>0</v>
      </c>
      <c r="J22" s="896">
        <f>SUM(C22:I22)</f>
        <v>42256600</v>
      </c>
    </row>
    <row r="23" spans="1:10" ht="12.75">
      <c r="A23" s="1248">
        <v>451</v>
      </c>
      <c r="B23" s="1245" t="s">
        <v>1280</v>
      </c>
      <c r="C23" s="1246">
        <f>Rashodi!M282+Rashodi!M272+Rashodi!M316</f>
        <v>12256600</v>
      </c>
      <c r="D23" s="1246">
        <f>Rashodi!N282+Rashodi!N272+Rashodi!N316</f>
        <v>0</v>
      </c>
      <c r="E23" s="1246">
        <f>Rashodi!O282+Rashodi!O272+Rashodi!O316</f>
        <v>0</v>
      </c>
      <c r="F23" s="1246">
        <f>Rashodi!P282+Rashodi!P272+Rashodi!P316</f>
        <v>0</v>
      </c>
      <c r="G23" s="1246">
        <f>Rashodi!Q282+Rashodi!Q272+Rashodi!Q316</f>
        <v>20000000</v>
      </c>
      <c r="H23" s="1246">
        <f>Rashodi!R282+Rashodi!R272+Rashodi!R316</f>
        <v>0</v>
      </c>
      <c r="I23" s="1246">
        <f>Rashodi!S282+Rashodi!S272+Rashodi!S316</f>
        <v>0</v>
      </c>
      <c r="J23" s="903">
        <f t="shared" si="6"/>
        <v>32256600</v>
      </c>
    </row>
    <row r="24" spans="1:10" ht="13.5" thickBot="1">
      <c r="A24" s="1249">
        <v>454</v>
      </c>
      <c r="B24" s="1250" t="s">
        <v>1474</v>
      </c>
      <c r="C24" s="923">
        <f>Rashodi!M275+Rashodi!M340+Rashodi!M341+Rashodi!M332</f>
        <v>8000000</v>
      </c>
      <c r="D24" s="923">
        <f>Rashodi!N275+Rashodi!N340</f>
        <v>0</v>
      </c>
      <c r="E24" s="923">
        <f>Rashodi!O275+Rashodi!O340</f>
        <v>0</v>
      </c>
      <c r="F24" s="923">
        <f>Rashodi!P332</f>
        <v>2000000</v>
      </c>
      <c r="G24" s="923">
        <f>Rashodi!Q275+Rashodi!Q340</f>
        <v>0</v>
      </c>
      <c r="H24" s="923">
        <f>Rashodi!R275+Rashodi!R340</f>
        <v>0</v>
      </c>
      <c r="I24" s="923">
        <f>Rashodi!S275+Rashodi!S340</f>
        <v>0</v>
      </c>
      <c r="J24" s="1244">
        <f t="shared" si="6"/>
        <v>10000000</v>
      </c>
    </row>
    <row r="25" spans="1:10" s="23" customFormat="1" ht="15" customHeight="1" thickBot="1">
      <c r="A25" s="897">
        <v>46</v>
      </c>
      <c r="B25" s="917" t="s">
        <v>41</v>
      </c>
      <c r="C25" s="911">
        <f>SUM(C26:C28)</f>
        <v>89413490</v>
      </c>
      <c r="D25" s="911">
        <f aca="true" t="shared" si="8" ref="D25:I25">SUM(D26:D28)</f>
        <v>0</v>
      </c>
      <c r="E25" s="911">
        <f t="shared" si="8"/>
        <v>0</v>
      </c>
      <c r="F25" s="911">
        <f t="shared" si="8"/>
        <v>0</v>
      </c>
      <c r="G25" s="911">
        <f t="shared" si="8"/>
        <v>500000</v>
      </c>
      <c r="H25" s="911" t="e">
        <f t="shared" si="8"/>
        <v>#REF!</v>
      </c>
      <c r="I25" s="911">
        <f t="shared" si="8"/>
        <v>0</v>
      </c>
      <c r="J25" s="896">
        <f>I25+G25+F25+E25+D25+C25</f>
        <v>89913490</v>
      </c>
    </row>
    <row r="26" spans="1:10" ht="13.5" thickBot="1">
      <c r="A26" s="918">
        <v>463</v>
      </c>
      <c r="B26" s="1245" t="s">
        <v>42</v>
      </c>
      <c r="C26" s="1246">
        <f>Rashodi!M114+Rashodi!M146+Rashodi!M147+Rashodi!M148+Rashodi!M149+Rashodi!M150+Rashodi!M151+Rashodi!M152+Rashodi!M153+Rashodi!M154+Rashodi!M155+Rashodi!M156+Rashodi!M158+Rashodi!M161+Rashodi!M162+Rashodi!M164+Rashodi!M165+Rashodi!M166+Rashodi!M167+Rashodi!M168+Rashodi!M169+Rashodi!M171+Rashodi!M172+Rashodi!M173+Rashodi!M177+Rashodi!M179+Rashodi!M180+Rashodi!M181+Rashodi!M182+Rashodi!M183+Rashodi!M184+Rashodi!M185+Rashodi!M186+Rashodi!M187+Rashodi!M194+Rashodi!M195+Rashodi!M196+Rashodi!M197+Rashodi!M198+Rashodi!M199+Rashodi!M200+Rashodi!M201+Rashodi!M202+Rashodi!M203+Rashodi!M204+Rashodi!M208+Rashodi!M209+Rashodi!M211+Rashodi!M212+Rashodi!M213+Rashodi!M214+Rashodi!M215+Rashodi!M216+Rashodi!M217+Rashodi!M218+Rashodi!M219+Rashodi!M221+Rashodi!M223+Rashodi!M226+Rashodi!M227+Rashodi!M229+Rashodi!M230+Rashodi!M231+Rashodi!M189+Rashodi!M174+Rashodi!M190+Rashodi!M210+Rashodi!M228+Rashodi!M220+Rashodi!M361+Rashodi!M178+Rashodi!M157+Rashodi!M163+Rashodi!M188+Rashodi!M170</f>
        <v>70463490</v>
      </c>
      <c r="D26" s="1246">
        <f>Rashodi!N114+Rashodi!N146+Rashodi!N147+Rashodi!N148+Rashodi!N149+Rashodi!N150+Rashodi!N151+Rashodi!N152+Rashodi!N153+Rashodi!N154+Rashodi!N155+Rashodi!N156+Rashodi!N158+Rashodi!N161+Rashodi!N162+Rashodi!N164+Rashodi!N165+Rashodi!N166+Rashodi!N167+Rashodi!N168+Rashodi!N169+Rashodi!N171+Rashodi!N172+Rashodi!N173+Rashodi!N177+Rashodi!N179+Rashodi!N180+Rashodi!N181+Rashodi!N182+Rashodi!N183+Rashodi!N184+Rashodi!N185+Rashodi!N186+Rashodi!N187+Rashodi!N194+Rashodi!N195+Rashodi!N196+Rashodi!N197+Rashodi!N198+Rashodi!N199+Rashodi!N200+Rashodi!N201+Rashodi!N202+Rashodi!N203+Rashodi!N204+Rashodi!N208+Rashodi!N209+Rashodi!N211+Rashodi!N212+Rashodi!N213+Rashodi!N214+Rashodi!N215+Rashodi!N216+Rashodi!N217+Rashodi!N218+Rashodi!N219+Rashodi!N221+Rashodi!N223+Rashodi!N226+Rashodi!N227+Rashodi!N229+Rashodi!N230+Rashodi!N231+Rashodi!N189+Rashodi!N174+Rashodi!N190+Rashodi!N210+Rashodi!N228+Rashodi!N220+Rashodi!N361+Rashodi!N178</f>
        <v>0</v>
      </c>
      <c r="E26" s="1246">
        <f>Rashodi!O114+Rashodi!O146+Rashodi!O147+Rashodi!O148+Rashodi!O149+Rashodi!O150+Rashodi!O151+Rashodi!O152+Rashodi!O153+Rashodi!O154+Rashodi!O155+Rashodi!O156+Rashodi!O158+Rashodi!O161+Rashodi!O162+Rashodi!O164+Rashodi!O165+Rashodi!O166+Rashodi!O167+Rashodi!O168+Rashodi!O169+Rashodi!O171+Rashodi!O172+Rashodi!O173+Rashodi!O177+Rashodi!O179+Rashodi!O180+Rashodi!O181+Rashodi!O182+Rashodi!O183+Rashodi!O184+Rashodi!O185+Rashodi!O186+Rashodi!O187+Rashodi!O194+Rashodi!O195+Rashodi!O196+Rashodi!O197+Rashodi!O198+Rashodi!O199+Rashodi!O200+Rashodi!O201+Rashodi!O202+Rashodi!O203+Rashodi!O204+Rashodi!O208+Rashodi!O209+Rashodi!O211+Rashodi!O212+Rashodi!O213+Rashodi!O214+Rashodi!O215+Rashodi!O216+Rashodi!O217+Rashodi!O218+Rashodi!O219+Rashodi!O221+Rashodi!O223+Rashodi!O226+Rashodi!O227+Rashodi!O229+Rashodi!O230+Rashodi!O231+Rashodi!O189+Rashodi!O174+Rashodi!O190+Rashodi!O210+Rashodi!O228+Rashodi!O220+Rashodi!O361+Rashodi!O178</f>
        <v>0</v>
      </c>
      <c r="F26" s="1246">
        <f>Rashodi!P114+Rashodi!P146+Rashodi!P147+Rashodi!P148+Rashodi!P149+Rashodi!P150+Rashodi!P151+Rashodi!P152+Rashodi!P153+Rashodi!P154+Rashodi!P155+Rashodi!P156+Rashodi!P158+Rashodi!P161+Rashodi!P162+Rashodi!P164+Rashodi!P165+Rashodi!P166+Rashodi!P167+Rashodi!P168+Rashodi!P169+Rashodi!P171+Rashodi!P172+Rashodi!P173+Rashodi!P177+Rashodi!P179+Rashodi!P180+Rashodi!P181+Rashodi!P182+Rashodi!P183+Rashodi!P184+Rashodi!P185+Rashodi!P186+Rashodi!P187+Rashodi!P194+Rashodi!P195+Rashodi!P196+Rashodi!P197+Rashodi!P198+Rashodi!P199+Rashodi!P200+Rashodi!P201+Rashodi!P202+Rashodi!P203+Rashodi!P204+Rashodi!P208+Rashodi!P209+Rashodi!P211+Rashodi!P212+Rashodi!P213+Rashodi!P214+Rashodi!P215+Rashodi!P216+Rashodi!P217+Rashodi!P218+Rashodi!P219+Rashodi!P221+Rashodi!P223+Rashodi!P226+Rashodi!P227+Rashodi!P229+Rashodi!P230+Rashodi!P231+Rashodi!P189+Rashodi!P174+Rashodi!P190+Rashodi!P210+Rashodi!P228+Rashodi!P220+Rashodi!P361+Rashodi!P178</f>
        <v>0</v>
      </c>
      <c r="G26" s="1246">
        <f>Rashodi!Q114+Rashodi!Q146+Rashodi!Q147+Rashodi!Q148+Rashodi!Q149+Rashodi!Q150+Rashodi!Q151+Rashodi!Q152+Rashodi!Q153+Rashodi!Q154+Rashodi!Q155+Rashodi!Q156+Rashodi!Q158+Rashodi!Q161+Rashodi!Q162+Rashodi!Q164+Rashodi!Q165+Rashodi!Q166+Rashodi!Q167+Rashodi!Q168+Rashodi!Q169+Rashodi!Q171+Rashodi!Q172+Rashodi!Q173+Rashodi!Q177+Rashodi!Q179+Rashodi!Q180+Rashodi!Q181+Rashodi!Q182+Rashodi!Q183+Rashodi!Q184+Rashodi!Q185+Rashodi!Q186+Rashodi!Q187+Rashodi!Q194+Rashodi!Q195+Rashodi!Q196+Rashodi!Q197+Rashodi!Q198+Rashodi!Q199+Rashodi!Q200+Rashodi!Q201+Rashodi!Q202+Rashodi!Q203+Rashodi!Q204+Rashodi!Q208+Rashodi!Q209+Rashodi!Q211+Rashodi!Q212+Rashodi!Q213+Rashodi!Q214+Rashodi!Q215+Rashodi!Q216+Rashodi!Q217+Rashodi!Q218+Rashodi!Q219+Rashodi!Q221+Rashodi!Q223+Rashodi!Q226+Rashodi!Q227+Rashodi!Q229+Rashodi!Q230+Rashodi!Q231+Rashodi!Q189+Rashodi!Q174+Rashodi!Q190+Rashodi!Q210+Rashodi!Q228+Rashodi!Q220+Rashodi!Q361+Rashodi!Q178</f>
        <v>500000</v>
      </c>
      <c r="H26" s="1246" t="e">
        <f>Rashodi!R114+Rashodi!R146+Rashodi!R147+Rashodi!R148+Rashodi!R149+Rashodi!R150+Rashodi!R151+Rashodi!R152+Rashodi!R153+Rashodi!R154+Rashodi!R155+Rashodi!R156+Rashodi!#REF!+Rashodi!R158+Rashodi!R161+Rashodi!R162+Rashodi!#REF!+Rashodi!R164+Rashodi!R165+Rashodi!R166+Rashodi!R167+Rashodi!R168+Rashodi!R169+Rashodi!R171+Rashodi!R172+Rashodi!R173+Rashodi!R177+Rashodi!R179+Rashodi!R180+Rashodi!R181+Rashodi!R182+Rashodi!R183+Rashodi!R184+Rashodi!R185+Rashodi!R186+Rashodi!R187+Rashodi!R194+Rashodi!R195+Rashodi!R196+Rashodi!R197+Rashodi!R198+Rashodi!R199+Rashodi!R200+Rashodi!R201+Rashodi!R202+Rashodi!R203+Rashodi!R204+Rashodi!R208+Rashodi!R209+Rashodi!R211+Rashodi!R212+Rashodi!R213+Rashodi!R214+Rashodi!R215+Rashodi!R216+Rashodi!R217+Rashodi!R218+Rashodi!R219+Rashodi!R221+Rashodi!R223+Rashodi!R226+Rashodi!R227+Rashodi!R229+Rashodi!R230+Rashodi!R231+Rashodi!R189+Rashodi!R174+Rashodi!#REF!+Rashodi!R190+Rashodi!R210+Rashodi!R228+Rashodi!R220+Rashodi!#REF!+Rashodi!R361</f>
        <v>#REF!</v>
      </c>
      <c r="I26" s="1246">
        <f>Rashodi!S114+Rashodi!S146+Rashodi!S147+Rashodi!S148+Rashodi!S149+Rashodi!S150+Rashodi!S151+Rashodi!S152+Rashodi!S153+Rashodi!S154+Rashodi!S155+Rashodi!S156+Rashodi!S158+Rashodi!S161+Rashodi!S162+Rashodi!S164+Rashodi!S165+Rashodi!S166+Rashodi!S167+Rashodi!S168+Rashodi!S169+Rashodi!S171+Rashodi!S172+Rashodi!S173+Rashodi!S177+Rashodi!S179+Rashodi!S180+Rashodi!S181+Rashodi!S182+Rashodi!S183+Rashodi!S184+Rashodi!S185+Rashodi!S186+Rashodi!S187+Rashodi!S194+Rashodi!S195+Rashodi!S196+Rashodi!S197+Rashodi!S198+Rashodi!S199+Rashodi!S200+Rashodi!S201+Rashodi!S202+Rashodi!S203+Rashodi!S204+Rashodi!S208+Rashodi!S209+Rashodi!S211+Rashodi!S212+Rashodi!S213+Rashodi!S214+Rashodi!S215+Rashodi!S216+Rashodi!S217+Rashodi!S218+Rashodi!S219+Rashodi!S221+Rashodi!S223+Rashodi!S226+Rashodi!S227+Rashodi!S229+Rashodi!S230+Rashodi!S231+Rashodi!S189+Rashodi!S174+Rashodi!S190+Rashodi!S210+Rashodi!S228+Rashodi!S220+Rashodi!S361</f>
        <v>0</v>
      </c>
      <c r="J26" s="903">
        <f t="shared" si="6"/>
        <v>70963490</v>
      </c>
    </row>
    <row r="27" spans="1:10" ht="13.5" thickBot="1">
      <c r="A27" s="918">
        <v>464</v>
      </c>
      <c r="B27" s="905" t="s">
        <v>1257</v>
      </c>
      <c r="C27" s="906">
        <f>Rashodi!M250+Rashodi!M251+Rashodi!M254+Rashodi!M255+Rashodi!M256+Rashodi!M345+Rashodi!M252+Rashodi!M253+Rashodi!M257</f>
        <v>17800000</v>
      </c>
      <c r="D27" s="906">
        <f>Rashodi!N250+Rashodi!N251+Rashodi!N254+Rashodi!N255+Rashodi!N256+Rashodi!N345+Rashodi!N252+Rashodi!N253</f>
        <v>0</v>
      </c>
      <c r="E27" s="906">
        <f>Rashodi!O250+Rashodi!O251+Rashodi!O254+Rashodi!O255+Rashodi!O256+Rashodi!O345+Rashodi!O252+Rashodi!O253</f>
        <v>0</v>
      </c>
      <c r="F27" s="906">
        <f>Rashodi!P250+Rashodi!P251+Rashodi!P254+Rashodi!P255+Rashodi!P256+Rashodi!P345+Rashodi!P252+Rashodi!P253</f>
        <v>0</v>
      </c>
      <c r="G27" s="906">
        <f>Rashodi!Q250+Rashodi!Q251+Rashodi!Q254+Rashodi!Q255+Rashodi!Q256+Rashodi!Q345+Rashodi!Q252+Rashodi!Q253</f>
        <v>0</v>
      </c>
      <c r="H27" s="906">
        <f>Rashodi!R250+Rashodi!R251+Rashodi!R254+Rashodi!R255+Rashodi!R256+Rashodi!R345+Rashodi!R252+Rashodi!R253</f>
        <v>0</v>
      </c>
      <c r="I27" s="906">
        <f>Rashodi!S250+Rashodi!S251+Rashodi!S254+Rashodi!S255+Rashodi!S256+Rashodi!S345+Rashodi!S252+Rashodi!S253</f>
        <v>0</v>
      </c>
      <c r="J27" s="1243">
        <f t="shared" si="6"/>
        <v>17800000</v>
      </c>
    </row>
    <row r="28" spans="1:10" s="26" customFormat="1" ht="13.5" thickBot="1">
      <c r="A28" s="919">
        <v>465</v>
      </c>
      <c r="B28" s="1247" t="s">
        <v>209</v>
      </c>
      <c r="C28" s="923">
        <f>Rashodi!M95+Rashodi!M94</f>
        <v>1150000</v>
      </c>
      <c r="D28" s="923">
        <f>Rashodi!N95+Rashodi!N94</f>
        <v>0</v>
      </c>
      <c r="E28" s="923">
        <f>Rashodi!O95+Rashodi!O94</f>
        <v>0</v>
      </c>
      <c r="F28" s="923">
        <f>Rashodi!P95+Rashodi!P94</f>
        <v>0</v>
      </c>
      <c r="G28" s="923">
        <f>Rashodi!Q95+Rashodi!Q94</f>
        <v>0</v>
      </c>
      <c r="H28" s="923" t="e">
        <f>Rashodi!R95+Rashodi!#REF!+Rashodi!R94</f>
        <v>#REF!</v>
      </c>
      <c r="I28" s="923">
        <f>Rashodi!S95+Rashodi!S94</f>
        <v>0</v>
      </c>
      <c r="J28" s="1244">
        <f t="shared" si="6"/>
        <v>1150000</v>
      </c>
    </row>
    <row r="29" spans="1:10" s="23" customFormat="1" ht="15" customHeight="1" thickBot="1">
      <c r="A29" s="897">
        <v>47</v>
      </c>
      <c r="B29" s="912" t="s">
        <v>70</v>
      </c>
      <c r="C29" s="911">
        <f aca="true" t="shared" si="9" ref="C29:I29">SUM(C30)</f>
        <v>27972000</v>
      </c>
      <c r="D29" s="911">
        <f t="shared" si="9"/>
        <v>0</v>
      </c>
      <c r="E29" s="911">
        <f t="shared" si="9"/>
        <v>0</v>
      </c>
      <c r="F29" s="911">
        <f t="shared" si="9"/>
        <v>4056580</v>
      </c>
      <c r="G29" s="911">
        <f t="shared" si="9"/>
        <v>0</v>
      </c>
      <c r="H29" s="911" t="e">
        <f t="shared" si="9"/>
        <v>#REF!</v>
      </c>
      <c r="I29" s="911">
        <f t="shared" si="9"/>
        <v>0</v>
      </c>
      <c r="J29" s="896">
        <f>C29+D29+E29+F29+G29+I29</f>
        <v>32028580</v>
      </c>
    </row>
    <row r="30" spans="1:10" s="335" customFormat="1" ht="13.5" thickBot="1">
      <c r="A30" s="913">
        <v>472</v>
      </c>
      <c r="B30" s="914" t="s">
        <v>43</v>
      </c>
      <c r="C30" s="915">
        <f>Rashodi!M96+Rashodi!M234+Rashodi!M239+Rashodi!M243+Rashodi!M337+Rashodi!M336+Rashodi!M235+Rashodi!M236+Rashodi!M237+Rashodi!M238+Rashodi!M121+Rashodi!M246+Rashodi!M71</f>
        <v>27972000</v>
      </c>
      <c r="D30" s="915">
        <f>Rashodi!N96+Rashodi!N234+Rashodi!N239+Rashodi!N243+Rashodi!N337+Rashodi!N336+Rashodi!N235+Rashodi!N236+Rashodi!N237+Rashodi!N238+Rashodi!N121+Rashodi!N246</f>
        <v>0</v>
      </c>
      <c r="E30" s="915">
        <f>Rashodi!O96+Rashodi!O234+Rashodi!O239+Rashodi!O243+Rashodi!O337+Rashodi!O336+Rashodi!O235+Rashodi!O236+Rashodi!O237+Rashodi!O238+Rashodi!O121+Rashodi!O246</f>
        <v>0</v>
      </c>
      <c r="F30" s="915">
        <f>Rashodi!P96+Rashodi!P234+Rashodi!P239+Rashodi!P243+Rashodi!P337+Rashodi!P336+Rashodi!P235+Rashodi!P236+Rashodi!P237+Rashodi!P238+Rashodi!P121+Rashodi!P246</f>
        <v>4056580</v>
      </c>
      <c r="G30" s="915">
        <f>Rashodi!Q96+Rashodi!Q234+Rashodi!Q239+Rashodi!Q243+Rashodi!Q337+Rashodi!Q336+Rashodi!Q235+Rashodi!Q236+Rashodi!Q237+Rashodi!Q238+Rashodi!Q121+Rashodi!Q246</f>
        <v>0</v>
      </c>
      <c r="H30" s="915" t="e">
        <f>Rashodi!R96+Rashodi!R234+Rashodi!R239+Rashodi!R243+Rashodi!R337+Rashodi!R336+Rashodi!R235+Rashodi!R236+Rashodi!R237+Rashodi!R238+Rashodi!R121+Rashodi!#REF!</f>
        <v>#REF!</v>
      </c>
      <c r="I30" s="915">
        <f>Rashodi!S96+Rashodi!S234+Rashodi!S239+Rashodi!S243+Rashodi!S337+Rashodi!S336+Rashodi!S235+Rashodi!S236+Rashodi!S237+Rashodi!S238+Rashodi!S121</f>
        <v>0</v>
      </c>
      <c r="J30" s="916">
        <f t="shared" si="6"/>
        <v>32028580</v>
      </c>
    </row>
    <row r="31" spans="1:10" s="23" customFormat="1" ht="15" customHeight="1" thickBot="1">
      <c r="A31" s="897">
        <v>48</v>
      </c>
      <c r="B31" s="912" t="s">
        <v>44</v>
      </c>
      <c r="C31" s="911">
        <f>SUM(C32:C35)</f>
        <v>27734500</v>
      </c>
      <c r="D31" s="911">
        <f aca="true" t="shared" si="10" ref="D31:I31">SUM(D32:D35)</f>
        <v>3500</v>
      </c>
      <c r="E31" s="911">
        <f t="shared" si="10"/>
        <v>0</v>
      </c>
      <c r="F31" s="911">
        <f t="shared" si="10"/>
        <v>5000</v>
      </c>
      <c r="G31" s="911">
        <f t="shared" si="10"/>
        <v>900000</v>
      </c>
      <c r="H31" s="911" t="e">
        <f t="shared" si="10"/>
        <v>#REF!</v>
      </c>
      <c r="I31" s="911">
        <f t="shared" si="10"/>
        <v>0</v>
      </c>
      <c r="J31" s="896">
        <f>SUM(J32:J35)</f>
        <v>28643000</v>
      </c>
    </row>
    <row r="32" spans="1:10" ht="12.75">
      <c r="A32" s="900">
        <v>481</v>
      </c>
      <c r="B32" s="901" t="s">
        <v>45</v>
      </c>
      <c r="C32" s="902">
        <f>Rashodi!M24+Rashodi!M133+Rashodi!M134+Rashodi!M141+Rashodi!M342+Rashodi!M242+Rashodi!M287+Rashodi!M28+Rashodi!M98+Rashodi!M97+Rashodi!M142</f>
        <v>23076000</v>
      </c>
      <c r="D32" s="902">
        <f>Rashodi!N24+Rashodi!N133+Rashodi!N134+Rashodi!N141+Rashodi!N342+Rashodi!N242+Rashodi!N287+Rashodi!N28+Rashodi!N98+Rashodi!N97+Rashodi!N142</f>
        <v>0</v>
      </c>
      <c r="E32" s="902">
        <f>Rashodi!O24+Rashodi!O133+Rashodi!O134+Rashodi!O141+Rashodi!O342+Rashodi!O242+Rashodi!O287+Rashodi!O28+Rashodi!O98+Rashodi!O97+Rashodi!O142</f>
        <v>0</v>
      </c>
      <c r="F32" s="902">
        <f>Rashodi!P24+Rashodi!P133+Rashodi!P134+Rashodi!P141+Rashodi!P342+Rashodi!P242+Rashodi!P287+Rashodi!P28+Rashodi!P98+Rashodi!P97+Rashodi!P142</f>
        <v>0</v>
      </c>
      <c r="G32" s="902">
        <f>+Rashodi!Q28+Rashodi!Q98+Rashodi!Q97+Rashodi!Q142</f>
        <v>0</v>
      </c>
      <c r="H32" s="902" t="e">
        <f>Rashodi!R24+Rashodi!#REF!+Rashodi!R133+Rashodi!R134+Rashodi!R141+Rashodi!R342+Rashodi!R242+Rashodi!R287+Rashodi!#REF!+Rashodi!R28+Rashodi!R98+Rashodi!R97+Rashodi!R142</f>
        <v>#REF!</v>
      </c>
      <c r="I32" s="902">
        <f>Rashodi!S24+Rashodi!S133+Rashodi!S134+Rashodi!S141+Rashodi!S342+Rashodi!S242+Rashodi!S287+Rashodi!S28+Rashodi!S98+Rashodi!S97+Rashodi!S142</f>
        <v>0</v>
      </c>
      <c r="J32" s="903">
        <f t="shared" si="6"/>
        <v>23076000</v>
      </c>
    </row>
    <row r="33" spans="1:10" ht="12.75">
      <c r="A33" s="904">
        <v>482</v>
      </c>
      <c r="B33" s="905" t="s">
        <v>46</v>
      </c>
      <c r="C33" s="906">
        <f>Rashodi!M99+Rashodi!M446+Rashodi!M471+Rashodi!M497+Rashodi!M458+Rashodi!M418+Rashodi!M54+Rashodi!M273+Rashodi!M399+Rashodi!M381+Rashodi!M485+Rashodi!M434</f>
        <v>3857500</v>
      </c>
      <c r="D33" s="906">
        <f>Rashodi!N99+Rashodi!N446+Rashodi!N471+Rashodi!N497+Rashodi!N458+Rashodi!N418+Rashodi!N54+Rashodi!N273+Rashodi!N399+Rashodi!N381+Rashodi!N485</f>
        <v>3500</v>
      </c>
      <c r="E33" s="906">
        <f>Rashodi!O99+Rashodi!O446+Rashodi!O471+Rashodi!O497+Rashodi!O458+Rashodi!O418+Rashodi!O54+Rashodi!O273+Rashodi!O399+Rashodi!O381+Rashodi!O485</f>
        <v>0</v>
      </c>
      <c r="F33" s="906">
        <f>Rashodi!P99+Rashodi!P446+Rashodi!P471+Rashodi!P497+Rashodi!P458+Rashodi!P418+Rashodi!P54+Rashodi!P273+Rashodi!P399+Rashodi!P381+Rashodi!P485</f>
        <v>5000</v>
      </c>
      <c r="G33" s="906">
        <f>Rashodi!Q99+Rashodi!Q446+Rashodi!Q471+Rashodi!Q497+Rashodi!Q458+Rashodi!Q418+Rashodi!Q54+Rashodi!Q273+Rashodi!Q399+Rashodi!Q381+Rashodi!Q485</f>
        <v>900000</v>
      </c>
      <c r="H33" s="906">
        <f>Rashodi!R99+Rashodi!R446+Rashodi!R471+Rashodi!R497+Rashodi!R458+Rashodi!R418+Rashodi!R54+Rashodi!R273+Rashodi!R399+Rashodi!R381+Rashodi!R485</f>
        <v>0</v>
      </c>
      <c r="I33" s="906">
        <f>Rashodi!S99+Rashodi!S446+Rashodi!S471+Rashodi!S497+Rashodi!S458+Rashodi!S418+Rashodi!S54+Rashodi!S273+Rashodi!S399+Rashodi!S381+Rashodi!S485</f>
        <v>0</v>
      </c>
      <c r="J33" s="1243">
        <f t="shared" si="6"/>
        <v>4766000</v>
      </c>
    </row>
    <row r="34" spans="1:10" ht="12.75">
      <c r="A34" s="904">
        <v>483</v>
      </c>
      <c r="B34" s="905" t="s">
        <v>71</v>
      </c>
      <c r="C34" s="906">
        <f>Rashodi!M100</f>
        <v>400000</v>
      </c>
      <c r="D34" s="906">
        <f>Rashodi!N100</f>
        <v>0</v>
      </c>
      <c r="E34" s="906">
        <f>Rashodi!O100</f>
        <v>0</v>
      </c>
      <c r="F34" s="906">
        <f>Rashodi!P100</f>
        <v>0</v>
      </c>
      <c r="G34" s="906">
        <f>Rashodi!Q100</f>
        <v>0</v>
      </c>
      <c r="H34" s="906">
        <f>Rashodi!R100</f>
        <v>0</v>
      </c>
      <c r="I34" s="906">
        <f>Rashodi!S100</f>
        <v>0</v>
      </c>
      <c r="J34" s="1243">
        <f t="shared" si="6"/>
        <v>400000</v>
      </c>
    </row>
    <row r="35" spans="1:10" ht="13.5" thickBot="1">
      <c r="A35" s="913">
        <v>485</v>
      </c>
      <c r="B35" s="914" t="s">
        <v>74</v>
      </c>
      <c r="C35" s="915">
        <f>Rashodi!M101+Rashodi!M222</f>
        <v>401000</v>
      </c>
      <c r="D35" s="915">
        <f>Rashodi!N101+Rashodi!N222</f>
        <v>0</v>
      </c>
      <c r="E35" s="915">
        <f>Rashodi!O101+Rashodi!O222</f>
        <v>0</v>
      </c>
      <c r="F35" s="915">
        <f>Rashodi!P101+Rashodi!P222</f>
        <v>0</v>
      </c>
      <c r="G35" s="915">
        <f>Rashodi!Q101+Rashodi!Q222</f>
        <v>0</v>
      </c>
      <c r="H35" s="915">
        <f>Rashodi!R101+Rashodi!R222</f>
        <v>0</v>
      </c>
      <c r="I35" s="915">
        <f>Rashodi!S101+Rashodi!S222</f>
        <v>0</v>
      </c>
      <c r="J35" s="1244">
        <f t="shared" si="6"/>
        <v>401000</v>
      </c>
    </row>
    <row r="36" spans="1:10" s="23" customFormat="1" ht="15" customHeight="1" thickBot="1">
      <c r="A36" s="897">
        <v>49</v>
      </c>
      <c r="B36" s="912" t="s">
        <v>69</v>
      </c>
      <c r="C36" s="911">
        <f aca="true" t="shared" si="11" ref="C36:I36">SUM(C37)</f>
        <v>3500000</v>
      </c>
      <c r="D36" s="911">
        <f t="shared" si="11"/>
        <v>0</v>
      </c>
      <c r="E36" s="911">
        <f t="shared" si="11"/>
        <v>0</v>
      </c>
      <c r="F36" s="911">
        <f t="shared" si="11"/>
        <v>0</v>
      </c>
      <c r="G36" s="911">
        <f t="shared" si="11"/>
        <v>0</v>
      </c>
      <c r="H36" s="911">
        <f t="shared" si="11"/>
        <v>0</v>
      </c>
      <c r="I36" s="911">
        <f t="shared" si="11"/>
        <v>0</v>
      </c>
      <c r="J36" s="896">
        <f>SUM(C36:I36)</f>
        <v>3500000</v>
      </c>
    </row>
    <row r="37" spans="1:10" ht="13.5" thickBot="1">
      <c r="A37" s="913">
        <v>499</v>
      </c>
      <c r="B37" s="914" t="s">
        <v>47</v>
      </c>
      <c r="C37" s="915">
        <f>Rashodi!M126+Rashodi!M129</f>
        <v>3500000</v>
      </c>
      <c r="D37" s="915">
        <f>Rashodi!N126+Rashodi!N129</f>
        <v>0</v>
      </c>
      <c r="E37" s="915">
        <f>Rashodi!O126+Rashodi!O129</f>
        <v>0</v>
      </c>
      <c r="F37" s="915">
        <f>Rashodi!P126+Rashodi!P129</f>
        <v>0</v>
      </c>
      <c r="G37" s="915">
        <f>Rashodi!Q126+Rashodi!Q129</f>
        <v>0</v>
      </c>
      <c r="H37" s="915">
        <f>Rashodi!R126+Rashodi!R129</f>
        <v>0</v>
      </c>
      <c r="I37" s="915">
        <f>Rashodi!S126+Rashodi!S129</f>
        <v>0</v>
      </c>
      <c r="J37" s="916">
        <f t="shared" si="6"/>
        <v>3500000</v>
      </c>
    </row>
    <row r="38" spans="1:11" s="23" customFormat="1" ht="15" customHeight="1" thickBot="1">
      <c r="A38" s="897">
        <v>51</v>
      </c>
      <c r="B38" s="912" t="s">
        <v>48</v>
      </c>
      <c r="C38" s="911">
        <f>SUM(C39:C44)</f>
        <v>42225100</v>
      </c>
      <c r="D38" s="911">
        <f aca="true" t="shared" si="12" ref="D38:I38">SUM(D39:D44)</f>
        <v>29000</v>
      </c>
      <c r="E38" s="911">
        <f t="shared" si="12"/>
        <v>340000</v>
      </c>
      <c r="F38" s="911">
        <f t="shared" si="12"/>
        <v>42981600</v>
      </c>
      <c r="G38" s="911">
        <f t="shared" si="12"/>
        <v>38795142</v>
      </c>
      <c r="H38" s="911" t="e">
        <f t="shared" si="12"/>
        <v>#REF!</v>
      </c>
      <c r="I38" s="911">
        <f t="shared" si="12"/>
        <v>0</v>
      </c>
      <c r="J38" s="896">
        <f>SUM(J39:J44)</f>
        <v>124370842</v>
      </c>
      <c r="K38" s="256"/>
    </row>
    <row r="39" spans="1:10" ht="12.75">
      <c r="A39" s="900">
        <v>511</v>
      </c>
      <c r="B39" s="901" t="s">
        <v>49</v>
      </c>
      <c r="C39" s="902">
        <f>Rashodi!M320+Rashodi!M308+Rashodi!M115+Rashodi!M358+Rashodi!M331+Rashodi!M362+Rashodi!M327+Rashodi!M326+Rashodi!M325+Rashodi!M382</f>
        <v>28901000</v>
      </c>
      <c r="D39" s="902">
        <f>Rashodi!N320+Rashodi!N308+Rashodi!N115+Rashodi!N358+Rashodi!N331+Rashodi!N362+Rashodi!N325</f>
        <v>0</v>
      </c>
      <c r="E39" s="902">
        <f>Rashodi!O320+Rashodi!O308+Rashodi!O115+Rashodi!O358+Rashodi!O331+Rashodi!O362+Rashodi!O325</f>
        <v>0</v>
      </c>
      <c r="F39" s="902">
        <f>Rashodi!P320+Rashodi!P308+Rashodi!P115+Rashodi!P358+Rashodi!P331+Rashodi!P362+Rashodi!P325+Rashodi!P327</f>
        <v>42500000</v>
      </c>
      <c r="G39" s="902">
        <f>Rashodi!Q320+Rashodi!Q308+Rashodi!Q115+Rashodi!Q358+Rashodi!Q331+Rashodi!Q362+Rashodi!Q326+Rashodi!Q326</f>
        <v>35786871</v>
      </c>
      <c r="H39" s="902" t="e">
        <f>Rashodi!R320+Rashodi!R308+Rashodi!R115+Rashodi!R358+Rashodi!R331+Rashodi!#REF!+Rashodi!#REF!+Rashodi!#REF!+Rashodi!R362</f>
        <v>#REF!</v>
      </c>
      <c r="I39" s="902">
        <f>Rashodi!S320+Rashodi!S308+Rashodi!S115+Rashodi!S358+Rashodi!S331+Rashodi!S362</f>
        <v>0</v>
      </c>
      <c r="J39" s="902">
        <f aca="true" t="shared" si="13" ref="J39:J44">C39+D39+E39+F39+G39+I39</f>
        <v>107187871</v>
      </c>
    </row>
    <row r="40" spans="1:10" ht="12.75">
      <c r="A40" s="907">
        <v>512</v>
      </c>
      <c r="B40" s="905" t="s">
        <v>50</v>
      </c>
      <c r="C40" s="906">
        <f>Rashodi!M102+Rashodi!M472+Rashodi!M274+Rashodi!M103+Rashodi!M435+Rashodi!M123+Rashodi!M400+Rashodi!M383+Rashodi!M116+Rashodi!M363+Rashodi!M419+Rashodi!M303+Rashodi!M292</f>
        <v>11813100</v>
      </c>
      <c r="D40" s="906">
        <f>Rashodi!N102+Rashodi!N472+Rashodi!N274+Rashodi!N103+Rashodi!N435+Rashodi!N123+Rashodi!N400+Rashodi!N383+Rashodi!N116+Rashodi!N363+Rashodi!O419+Rashodi!N291+Rashodi!N303</f>
        <v>9000</v>
      </c>
      <c r="E40" s="906">
        <f>Rashodi!O102+Rashodi!O472+Rashodi!O274+Rashodi!O103+Rashodi!O435+Rashodi!O123+Rashodi!O400+Rashodi!O383+Rashodi!O116+Rashodi!O363+Rashodi!O419+Rashodi!O302</f>
        <v>340000</v>
      </c>
      <c r="F40" s="906">
        <f>Rashodi!P102+Rashodi!P472+Rashodi!P274+Rashodi!P103+Rashodi!P435+Rashodi!P123+Rashodi!P400+Rashodi!P383+Rashodi!P116+Rashodi!P363+Rashodi!P419+Rashodi!P308</f>
        <v>281600</v>
      </c>
      <c r="G40" s="906">
        <f>Rashodi!Q102+Rashodi!Q472+Rashodi!Q274+Rashodi!Q103+Rashodi!Q435+Rashodi!Q123+Rashodi!Q400+Rashodi!Q383+Rashodi!Q116+Rashodi!Q363+Rashodi!Q419+Rashodi!Q303+Rashodi!Q292</f>
        <v>3008271</v>
      </c>
      <c r="H40" s="906">
        <f>Rashodi!R102+Rashodi!R472+Rashodi!R274+Rashodi!R103+Rashodi!R435+Rashodi!R123+Rashodi!R400+Rashodi!R383+Rashodi!R116+Rashodi!R363</f>
        <v>0</v>
      </c>
      <c r="I40" s="906">
        <f>Rashodi!S102+Rashodi!S472+Rashodi!S274+Rashodi!S103+Rashodi!S435+Rashodi!S123+Rashodi!S400+Rashodi!S383+Rashodi!S116+Rashodi!S363+Rashodi!S419</f>
        <v>0</v>
      </c>
      <c r="J40" s="902">
        <f t="shared" si="13"/>
        <v>15451971</v>
      </c>
    </row>
    <row r="41" spans="1:10" ht="12.75">
      <c r="A41" s="907">
        <v>513</v>
      </c>
      <c r="B41" s="905" t="s">
        <v>851</v>
      </c>
      <c r="C41" s="906">
        <f>Rashodi!M459</f>
        <v>200000</v>
      </c>
      <c r="D41" s="906">
        <f>Rashodi!N459</f>
        <v>0</v>
      </c>
      <c r="E41" s="906">
        <f>Rashodi!O459</f>
        <v>0</v>
      </c>
      <c r="F41" s="906">
        <f>Rashodi!P459</f>
        <v>0</v>
      </c>
      <c r="G41" s="906">
        <f>Rashodi!Q459</f>
        <v>0</v>
      </c>
      <c r="H41" s="906">
        <f>Rashodi!R459</f>
        <v>0</v>
      </c>
      <c r="I41" s="906">
        <f>Rashodi!S459</f>
        <v>0</v>
      </c>
      <c r="J41" s="902">
        <f t="shared" si="13"/>
        <v>200000</v>
      </c>
    </row>
    <row r="42" spans="1:10" ht="12.75" hidden="1">
      <c r="A42" s="907">
        <v>514</v>
      </c>
      <c r="B42" s="920" t="s">
        <v>210</v>
      </c>
      <c r="C42" s="921">
        <v>0</v>
      </c>
      <c r="D42" s="921">
        <v>0</v>
      </c>
      <c r="E42" s="921">
        <v>0</v>
      </c>
      <c r="F42" s="921">
        <v>0</v>
      </c>
      <c r="G42" s="921">
        <v>0</v>
      </c>
      <c r="H42" s="921">
        <v>5</v>
      </c>
      <c r="I42" s="921">
        <v>0</v>
      </c>
      <c r="J42" s="902">
        <f t="shared" si="13"/>
        <v>0</v>
      </c>
    </row>
    <row r="43" spans="1:10" ht="12.75">
      <c r="A43" s="904">
        <v>515</v>
      </c>
      <c r="B43" s="905" t="s">
        <v>211</v>
      </c>
      <c r="C43" s="906">
        <f>Rashodi!M401+Rashodi!M104+Rashodi!M384</f>
        <v>811000</v>
      </c>
      <c r="D43" s="906">
        <f>Rashodi!N401+Rashodi!N104</f>
        <v>20000</v>
      </c>
      <c r="E43" s="906">
        <f>Rashodi!O401+Rashodi!O104</f>
        <v>0</v>
      </c>
      <c r="F43" s="906">
        <f>Rashodi!P401+Rashodi!P104</f>
        <v>200000</v>
      </c>
      <c r="G43" s="906">
        <f>Rashodi!Q401+Rashodi!Q104</f>
        <v>0</v>
      </c>
      <c r="H43" s="906" t="e">
        <f>Rashodi!R401+Rashodi!#REF!+Rashodi!R104</f>
        <v>#REF!</v>
      </c>
      <c r="I43" s="906">
        <f>Rashodi!S401+Rashodi!S104</f>
        <v>0</v>
      </c>
      <c r="J43" s="902">
        <f t="shared" si="13"/>
        <v>1031000</v>
      </c>
    </row>
    <row r="44" spans="1:10" ht="13.5" thickBot="1">
      <c r="A44" s="907">
        <v>541</v>
      </c>
      <c r="B44" s="922" t="s">
        <v>73</v>
      </c>
      <c r="C44" s="923">
        <f>Rashodi!M105</f>
        <v>500000</v>
      </c>
      <c r="D44" s="923">
        <f>Rashodi!N105</f>
        <v>0</v>
      </c>
      <c r="E44" s="923">
        <f>Rashodi!O105</f>
        <v>0</v>
      </c>
      <c r="F44" s="923">
        <f>Rashodi!P105</f>
        <v>0</v>
      </c>
      <c r="G44" s="923">
        <f>Rashodi!Q105</f>
        <v>0</v>
      </c>
      <c r="H44" s="923">
        <f>Rashodi!R105</f>
        <v>0</v>
      </c>
      <c r="I44" s="923">
        <f>Rashodi!S105</f>
        <v>0</v>
      </c>
      <c r="J44" s="902">
        <f t="shared" si="13"/>
        <v>500000</v>
      </c>
    </row>
    <row r="45" spans="1:10" s="23" customFormat="1" ht="15" customHeight="1" hidden="1" thickBot="1">
      <c r="A45" s="897">
        <v>62</v>
      </c>
      <c r="B45" s="924" t="s">
        <v>1154</v>
      </c>
      <c r="C45" s="925">
        <f aca="true" t="shared" si="14" ref="C45:I45">SUM(C46)</f>
        <v>0</v>
      </c>
      <c r="D45" s="925">
        <f t="shared" si="14"/>
        <v>0</v>
      </c>
      <c r="E45" s="925">
        <f t="shared" si="14"/>
        <v>0</v>
      </c>
      <c r="F45" s="925">
        <f t="shared" si="14"/>
        <v>0</v>
      </c>
      <c r="G45" s="925">
        <f t="shared" si="14"/>
        <v>0</v>
      </c>
      <c r="H45" s="925">
        <f t="shared" si="14"/>
        <v>0</v>
      </c>
      <c r="I45" s="925">
        <f t="shared" si="14"/>
        <v>0</v>
      </c>
      <c r="J45" s="896">
        <v>0</v>
      </c>
    </row>
    <row r="46" spans="1:10" ht="13.5" hidden="1" thickBot="1">
      <c r="A46" s="913">
        <v>621</v>
      </c>
      <c r="B46" s="926" t="s">
        <v>166</v>
      </c>
      <c r="C46" s="927"/>
      <c r="D46" s="927"/>
      <c r="E46" s="927"/>
      <c r="F46" s="927"/>
      <c r="G46" s="927"/>
      <c r="H46" s="927"/>
      <c r="I46" s="927"/>
      <c r="J46" s="916">
        <v>0</v>
      </c>
    </row>
    <row r="47" spans="1:10" ht="26.25" customHeight="1" thickBot="1">
      <c r="A47" s="1529" t="s">
        <v>1505</v>
      </c>
      <c r="B47" s="1530"/>
      <c r="C47" s="928">
        <f>C4</f>
        <v>483017969</v>
      </c>
      <c r="D47" s="928">
        <f aca="true" t="shared" si="15" ref="D47:I47">D4</f>
        <v>182000</v>
      </c>
      <c r="E47" s="928">
        <f t="shared" si="15"/>
        <v>610000</v>
      </c>
      <c r="F47" s="928">
        <f t="shared" si="15"/>
        <v>74225242.25</v>
      </c>
      <c r="G47" s="928">
        <f t="shared" si="15"/>
        <v>101708979</v>
      </c>
      <c r="H47" s="928" t="e">
        <f t="shared" si="15"/>
        <v>#REF!</v>
      </c>
      <c r="I47" s="928">
        <f t="shared" si="15"/>
        <v>427000</v>
      </c>
      <c r="J47" s="1112">
        <f>C47+D47+E47+F47+G47+I47</f>
        <v>660171190.25</v>
      </c>
    </row>
    <row r="48" spans="1:10" ht="12.75">
      <c r="A48" s="261"/>
      <c r="B48" s="262"/>
      <c r="C48" s="250"/>
      <c r="D48" s="251"/>
      <c r="E48" s="251"/>
      <c r="F48" s="251"/>
      <c r="G48" s="251"/>
      <c r="H48" s="251"/>
      <c r="I48" s="251"/>
      <c r="J48" s="24"/>
    </row>
    <row r="49" spans="1:10" ht="12.75">
      <c r="A49" s="263"/>
      <c r="B49" s="24"/>
      <c r="C49" s="251"/>
      <c r="D49" s="251"/>
      <c r="E49" s="251"/>
      <c r="F49" s="251"/>
      <c r="G49" s="251"/>
      <c r="H49" s="251"/>
      <c r="I49" s="251"/>
      <c r="J49" s="24"/>
    </row>
    <row r="50" spans="1:10" ht="12.75">
      <c r="A50" s="263"/>
      <c r="B50" s="24"/>
      <c r="C50" s="251"/>
      <c r="D50" s="251"/>
      <c r="E50" s="251"/>
      <c r="F50" s="251"/>
      <c r="G50" s="251"/>
      <c r="H50" s="251"/>
      <c r="I50" s="251"/>
      <c r="J50" s="264"/>
    </row>
    <row r="51" spans="1:10" ht="12.75">
      <c r="A51" s="263"/>
      <c r="B51" s="24"/>
      <c r="C51" s="251"/>
      <c r="D51" s="251"/>
      <c r="E51" s="250"/>
      <c r="F51" s="251"/>
      <c r="G51" s="251"/>
      <c r="H51" s="251"/>
      <c r="I51" s="251"/>
      <c r="J51" s="264"/>
    </row>
    <row r="52" spans="1:10" s="23" customFormat="1" ht="16.5" customHeight="1">
      <c r="A52" s="263"/>
      <c r="B52" s="24"/>
      <c r="C52" s="251"/>
      <c r="D52" s="251"/>
      <c r="E52" s="251"/>
      <c r="F52" s="250"/>
      <c r="G52" s="250"/>
      <c r="H52" s="250"/>
      <c r="I52" s="250"/>
      <c r="J52" s="262"/>
    </row>
    <row r="53" spans="1:10" ht="12.75">
      <c r="A53" s="263"/>
      <c r="B53" s="24"/>
      <c r="C53" s="251"/>
      <c r="D53" s="251"/>
      <c r="E53" s="251"/>
      <c r="F53" s="251"/>
      <c r="G53" s="251"/>
      <c r="H53" s="251"/>
      <c r="I53" s="251"/>
      <c r="J53" s="24"/>
    </row>
    <row r="54" spans="1:10" ht="12.75">
      <c r="A54" s="263"/>
      <c r="B54" s="24"/>
      <c r="C54" s="251"/>
      <c r="D54" s="251"/>
      <c r="E54" s="251"/>
      <c r="F54" s="251"/>
      <c r="G54" s="251"/>
      <c r="H54" s="251"/>
      <c r="I54" s="251"/>
      <c r="J54" s="264"/>
    </row>
    <row r="55" spans="1:10" ht="12.75">
      <c r="A55" s="261"/>
      <c r="B55" s="262"/>
      <c r="C55" s="250"/>
      <c r="D55" s="251"/>
      <c r="E55" s="251"/>
      <c r="F55" s="251"/>
      <c r="G55" s="251"/>
      <c r="H55" s="251"/>
      <c r="I55" s="251"/>
      <c r="J55" s="24"/>
    </row>
    <row r="56" spans="1:10" ht="12.75" customHeight="1">
      <c r="A56" s="263"/>
      <c r="B56" s="24"/>
      <c r="C56" s="251"/>
      <c r="D56" s="251"/>
      <c r="E56" s="251"/>
      <c r="F56" s="251"/>
      <c r="G56" s="251"/>
      <c r="H56" s="251"/>
      <c r="I56" s="251"/>
      <c r="J56" s="24"/>
    </row>
    <row r="57" spans="1:10" ht="12.75">
      <c r="A57" s="263"/>
      <c r="B57" s="24"/>
      <c r="C57" s="251"/>
      <c r="D57" s="250"/>
      <c r="E57" s="250"/>
      <c r="F57" s="251"/>
      <c r="G57" s="251"/>
      <c r="H57" s="251"/>
      <c r="I57" s="251"/>
      <c r="J57" s="24"/>
    </row>
    <row r="58" spans="1:10" s="23" customFormat="1" ht="12" customHeight="1">
      <c r="A58" s="263"/>
      <c r="B58" s="24"/>
      <c r="C58" s="251"/>
      <c r="D58" s="251"/>
      <c r="E58" s="251"/>
      <c r="F58" s="250"/>
      <c r="G58" s="250"/>
      <c r="H58" s="250"/>
      <c r="I58" s="250"/>
      <c r="J58" s="262"/>
    </row>
    <row r="59" spans="1:10" ht="12.75">
      <c r="A59" s="263"/>
      <c r="B59" s="24"/>
      <c r="C59" s="251"/>
      <c r="D59" s="251"/>
      <c r="E59" s="251"/>
      <c r="F59" s="251"/>
      <c r="G59" s="251"/>
      <c r="H59" s="251"/>
      <c r="I59" s="251"/>
      <c r="J59" s="24"/>
    </row>
    <row r="60" spans="1:10" s="23" customFormat="1" ht="12.75" customHeight="1">
      <c r="A60" s="263"/>
      <c r="B60" s="24"/>
      <c r="C60" s="251"/>
      <c r="D60" s="251"/>
      <c r="E60" s="251"/>
      <c r="F60" s="250"/>
      <c r="G60" s="250"/>
      <c r="H60" s="250"/>
      <c r="I60" s="250"/>
      <c r="J60" s="262"/>
    </row>
    <row r="61" spans="1:10" ht="12.75" customHeight="1">
      <c r="A61" s="263"/>
      <c r="B61" s="24"/>
      <c r="C61" s="251"/>
      <c r="D61" s="251"/>
      <c r="E61" s="251"/>
      <c r="F61" s="251"/>
      <c r="G61" s="251"/>
      <c r="H61" s="251"/>
      <c r="I61" s="251"/>
      <c r="J61" s="24"/>
    </row>
    <row r="62" spans="1:10" s="23" customFormat="1" ht="16.5" customHeight="1">
      <c r="A62" s="261"/>
      <c r="B62" s="262"/>
      <c r="C62" s="250"/>
      <c r="D62" s="251"/>
      <c r="E62" s="251"/>
      <c r="F62" s="250"/>
      <c r="G62" s="250"/>
      <c r="H62" s="250"/>
      <c r="I62" s="250"/>
      <c r="J62" s="262"/>
    </row>
    <row r="63" spans="1:10" ht="12.75">
      <c r="A63" s="263"/>
      <c r="B63" s="24"/>
      <c r="C63" s="251"/>
      <c r="D63" s="251"/>
      <c r="E63" s="251"/>
      <c r="F63" s="251"/>
      <c r="G63" s="251"/>
      <c r="H63" s="251"/>
      <c r="I63" s="251"/>
      <c r="J63" s="24"/>
    </row>
    <row r="64" spans="1:10" s="23" customFormat="1" ht="16.5" customHeight="1">
      <c r="A64" s="261"/>
      <c r="B64" s="262"/>
      <c r="C64" s="250"/>
      <c r="D64" s="250"/>
      <c r="E64" s="250"/>
      <c r="F64" s="250"/>
      <c r="G64" s="250"/>
      <c r="H64" s="250"/>
      <c r="I64" s="250"/>
      <c r="J64" s="262"/>
    </row>
    <row r="65" spans="1:10" ht="12.75">
      <c r="A65" s="263"/>
      <c r="B65" s="24"/>
      <c r="C65" s="251"/>
      <c r="D65" s="251"/>
      <c r="E65" s="251"/>
      <c r="F65" s="251"/>
      <c r="G65" s="251"/>
      <c r="H65" s="251"/>
      <c r="I65" s="251"/>
      <c r="J65" s="24"/>
    </row>
    <row r="66" spans="1:10" ht="12.75">
      <c r="A66" s="261"/>
      <c r="B66" s="262"/>
      <c r="C66" s="250"/>
      <c r="D66" s="251"/>
      <c r="E66" s="251"/>
      <c r="F66" s="251"/>
      <c r="G66" s="251"/>
      <c r="H66" s="251"/>
      <c r="I66" s="251"/>
      <c r="J66" s="24"/>
    </row>
    <row r="67" spans="1:10" ht="12.75">
      <c r="A67" s="263"/>
      <c r="B67" s="24"/>
      <c r="C67" s="251"/>
      <c r="D67" s="251"/>
      <c r="E67" s="251"/>
      <c r="F67" s="251"/>
      <c r="G67" s="251"/>
      <c r="H67" s="251"/>
      <c r="I67" s="251"/>
      <c r="J67" s="24"/>
    </row>
    <row r="68" spans="1:10" s="23" customFormat="1" ht="12.75" customHeight="1">
      <c r="A68" s="261"/>
      <c r="B68" s="262"/>
      <c r="C68" s="250"/>
      <c r="D68" s="251"/>
      <c r="E68" s="251"/>
      <c r="F68" s="250"/>
      <c r="G68" s="250"/>
      <c r="H68" s="250"/>
      <c r="I68" s="250"/>
      <c r="J68" s="262"/>
    </row>
    <row r="69" spans="1:10" ht="12.75">
      <c r="A69" s="263"/>
      <c r="B69" s="24"/>
      <c r="C69" s="251"/>
      <c r="D69" s="251"/>
      <c r="E69" s="251"/>
      <c r="F69" s="251"/>
      <c r="G69" s="251"/>
      <c r="H69" s="251"/>
      <c r="I69" s="251"/>
      <c r="J69" s="24"/>
    </row>
    <row r="70" spans="1:10" ht="12.75">
      <c r="A70" s="261"/>
      <c r="B70" s="262"/>
      <c r="C70" s="250"/>
      <c r="D70" s="250"/>
      <c r="E70" s="250"/>
      <c r="F70" s="251"/>
      <c r="G70" s="251"/>
      <c r="H70" s="251"/>
      <c r="I70" s="251"/>
      <c r="J70" s="24"/>
    </row>
    <row r="71" spans="1:10" ht="12.75">
      <c r="A71" s="263"/>
      <c r="B71" s="24"/>
      <c r="C71" s="251"/>
      <c r="D71" s="251"/>
      <c r="E71" s="251"/>
      <c r="F71" s="251"/>
      <c r="G71" s="251"/>
      <c r="H71" s="251"/>
      <c r="I71" s="251"/>
      <c r="J71" s="24"/>
    </row>
    <row r="72" spans="1:10" ht="11.25" customHeight="1">
      <c r="A72" s="263"/>
      <c r="B72" s="24"/>
      <c r="C72" s="251"/>
      <c r="D72" s="250"/>
      <c r="E72" s="250"/>
      <c r="F72" s="251"/>
      <c r="G72" s="251"/>
      <c r="H72" s="251"/>
      <c r="I72" s="251"/>
      <c r="J72" s="24"/>
    </row>
    <row r="73" spans="1:10" s="23" customFormat="1" ht="27.75" customHeight="1">
      <c r="A73" s="1525"/>
      <c r="B73" s="1525"/>
      <c r="C73" s="250"/>
      <c r="D73" s="251"/>
      <c r="E73" s="251"/>
      <c r="F73" s="250"/>
      <c r="G73" s="250"/>
      <c r="H73" s="250"/>
      <c r="I73" s="250"/>
      <c r="J73" s="262"/>
    </row>
    <row r="74" spans="1:10" s="23" customFormat="1" ht="12.75" customHeight="1">
      <c r="A74" s="261"/>
      <c r="B74" s="262"/>
      <c r="C74" s="250"/>
      <c r="D74" s="251"/>
      <c r="E74" s="251"/>
      <c r="F74" s="250"/>
      <c r="G74" s="250"/>
      <c r="H74" s="250"/>
      <c r="I74" s="250"/>
      <c r="J74" s="262"/>
    </row>
    <row r="75" spans="1:10" ht="12.75">
      <c r="A75" s="24"/>
      <c r="B75" s="24"/>
      <c r="C75" s="251"/>
      <c r="D75" s="250"/>
      <c r="E75" s="250"/>
      <c r="F75" s="251"/>
      <c r="G75" s="251"/>
      <c r="H75" s="251"/>
      <c r="I75" s="251"/>
      <c r="J75" s="24"/>
    </row>
    <row r="76" spans="1:10" ht="23.25" customHeight="1">
      <c r="A76" s="1525"/>
      <c r="B76" s="1525"/>
      <c r="C76" s="250"/>
      <c r="D76" s="251"/>
      <c r="E76" s="251"/>
      <c r="F76" s="43"/>
      <c r="G76" s="43"/>
      <c r="H76" s="43"/>
      <c r="I76" s="43"/>
      <c r="J76" s="22"/>
    </row>
    <row r="77" spans="1:10" ht="12.75" customHeight="1">
      <c r="A77" s="261"/>
      <c r="B77" s="262"/>
      <c r="C77" s="250"/>
      <c r="D77" s="251"/>
      <c r="E77" s="251"/>
      <c r="F77" s="43"/>
      <c r="G77" s="43"/>
      <c r="H77" s="43"/>
      <c r="I77" s="43"/>
      <c r="J77" s="22"/>
    </row>
    <row r="78" spans="1:10" ht="12.75" customHeight="1">
      <c r="A78" s="265"/>
      <c r="B78" s="24"/>
      <c r="C78" s="251"/>
      <c r="D78" s="251"/>
      <c r="E78" s="251"/>
      <c r="F78" s="43"/>
      <c r="G78" s="43"/>
      <c r="H78" s="43"/>
      <c r="I78" s="43"/>
      <c r="J78" s="22"/>
    </row>
    <row r="79" spans="1:10" ht="12.75" customHeight="1">
      <c r="A79" s="265"/>
      <c r="B79" s="24"/>
      <c r="C79" s="251"/>
      <c r="D79" s="251"/>
      <c r="E79" s="251"/>
      <c r="F79" s="43"/>
      <c r="G79" s="43"/>
      <c r="H79" s="43"/>
      <c r="I79" s="43"/>
      <c r="J79" s="22"/>
    </row>
    <row r="80" spans="1:10" ht="12.75" customHeight="1">
      <c r="A80" s="265"/>
      <c r="B80" s="24"/>
      <c r="C80" s="251"/>
      <c r="D80" s="251"/>
      <c r="E80" s="251"/>
      <c r="F80" s="43"/>
      <c r="G80" s="43"/>
      <c r="H80" s="43"/>
      <c r="I80" s="43"/>
      <c r="J80" s="22"/>
    </row>
    <row r="81" spans="1:10" ht="12.75">
      <c r="A81" s="24"/>
      <c r="B81" s="264"/>
      <c r="C81" s="251"/>
      <c r="D81" s="250"/>
      <c r="E81" s="250"/>
      <c r="F81" s="43"/>
      <c r="G81" s="43"/>
      <c r="H81" s="43"/>
      <c r="I81" s="43"/>
      <c r="J81" s="22"/>
    </row>
    <row r="82" spans="1:10" ht="12.75">
      <c r="A82" s="265"/>
      <c r="B82" s="24"/>
      <c r="C82" s="251"/>
      <c r="D82" s="250"/>
      <c r="E82" s="250"/>
      <c r="F82" s="43"/>
      <c r="G82" s="43"/>
      <c r="H82" s="43"/>
      <c r="I82" s="43"/>
      <c r="J82" s="22"/>
    </row>
    <row r="83" spans="1:10" ht="12.75">
      <c r="A83" s="265"/>
      <c r="B83" s="24"/>
      <c r="C83" s="251"/>
      <c r="D83" s="250"/>
      <c r="E83" s="250"/>
      <c r="F83" s="43"/>
      <c r="G83" s="43"/>
      <c r="H83" s="43"/>
      <c r="I83" s="43"/>
      <c r="J83" s="22"/>
    </row>
    <row r="84" spans="1:10" ht="12.75">
      <c r="A84" s="261"/>
      <c r="B84" s="262"/>
      <c r="C84" s="251"/>
      <c r="D84" s="250"/>
      <c r="E84" s="250"/>
      <c r="F84" s="43"/>
      <c r="G84" s="43"/>
      <c r="H84" s="43"/>
      <c r="I84" s="43"/>
      <c r="J84" s="22"/>
    </row>
    <row r="85" spans="1:10" ht="12.75">
      <c r="A85" s="265"/>
      <c r="B85" s="24"/>
      <c r="C85" s="251"/>
      <c r="D85" s="250"/>
      <c r="E85" s="250"/>
      <c r="F85" s="43"/>
      <c r="G85" s="43"/>
      <c r="H85" s="43"/>
      <c r="I85" s="43"/>
      <c r="J85" s="22"/>
    </row>
    <row r="86" spans="1:10" ht="12.75">
      <c r="A86" s="261"/>
      <c r="B86" s="262"/>
      <c r="C86" s="251"/>
      <c r="D86" s="250"/>
      <c r="E86" s="250"/>
      <c r="F86" s="43"/>
      <c r="G86" s="43"/>
      <c r="H86" s="43"/>
      <c r="I86" s="43"/>
      <c r="J86" s="22"/>
    </row>
    <row r="87" spans="1:10" ht="12.75">
      <c r="A87" s="24"/>
      <c r="B87" s="264"/>
      <c r="C87" s="251"/>
      <c r="D87" s="251"/>
      <c r="E87" s="251"/>
      <c r="F87" s="43"/>
      <c r="G87" s="43"/>
      <c r="H87" s="43"/>
      <c r="I87" s="43"/>
      <c r="J87" s="22"/>
    </row>
    <row r="88" spans="1:10" ht="12.75">
      <c r="A88" s="265"/>
      <c r="B88" s="24"/>
      <c r="C88" s="251"/>
      <c r="D88" s="251"/>
      <c r="E88" s="251"/>
      <c r="F88" s="43"/>
      <c r="G88" s="43"/>
      <c r="H88" s="43"/>
      <c r="I88" s="43"/>
      <c r="J88" s="22"/>
    </row>
    <row r="89" spans="1:10" ht="12.75">
      <c r="A89" s="261"/>
      <c r="B89" s="262"/>
      <c r="C89" s="250"/>
      <c r="D89" s="250"/>
      <c r="E89" s="250"/>
      <c r="F89" s="43"/>
      <c r="G89" s="43"/>
      <c r="H89" s="43"/>
      <c r="I89" s="43"/>
      <c r="J89" s="22"/>
    </row>
    <row r="90" spans="1:10" ht="12.75">
      <c r="A90" s="24"/>
      <c r="B90" s="24"/>
      <c r="C90" s="251"/>
      <c r="D90" s="251"/>
      <c r="E90" s="251"/>
      <c r="F90" s="43"/>
      <c r="G90" s="43"/>
      <c r="H90" s="43"/>
      <c r="I90" s="43"/>
      <c r="J90" s="22"/>
    </row>
    <row r="91" spans="1:10" ht="12.75">
      <c r="A91" s="24"/>
      <c r="B91" s="264"/>
      <c r="C91" s="251"/>
      <c r="D91" s="251"/>
      <c r="E91" s="251"/>
      <c r="F91" s="43"/>
      <c r="G91" s="43"/>
      <c r="H91" s="43"/>
      <c r="I91" s="43"/>
      <c r="J91" s="22"/>
    </row>
    <row r="92" spans="1:5" ht="12.75">
      <c r="A92" s="265"/>
      <c r="B92" s="24"/>
      <c r="C92" s="251"/>
      <c r="D92" s="251"/>
      <c r="E92" s="251"/>
    </row>
    <row r="93" spans="1:10" ht="25.5" customHeight="1">
      <c r="A93" s="1526"/>
      <c r="B93" s="1526"/>
      <c r="C93" s="250"/>
      <c r="D93" s="252"/>
      <c r="E93" s="251"/>
      <c r="J93" s="22"/>
    </row>
    <row r="94" spans="1:5" ht="12.75">
      <c r="A94" s="263"/>
      <c r="B94" s="24"/>
      <c r="C94" s="251"/>
      <c r="D94" s="251"/>
      <c r="E94" s="251"/>
    </row>
    <row r="95" spans="1:5" ht="12.75">
      <c r="A95" s="263"/>
      <c r="B95" s="24"/>
      <c r="C95" s="251"/>
      <c r="D95" s="251"/>
      <c r="E95" s="251"/>
    </row>
    <row r="96" spans="1:5" ht="12.75">
      <c r="A96" s="263"/>
      <c r="B96" s="24"/>
      <c r="C96" s="251"/>
      <c r="D96" s="251"/>
      <c r="E96" s="251"/>
    </row>
    <row r="97" spans="1:5" ht="12.75">
      <c r="A97" s="263"/>
      <c r="B97" s="24"/>
      <c r="C97" s="251"/>
      <c r="D97" s="251"/>
      <c r="E97" s="251"/>
    </row>
    <row r="98" spans="1:5" ht="12.75">
      <c r="A98" s="263"/>
      <c r="B98" s="24"/>
      <c r="C98" s="251"/>
      <c r="D98" s="251"/>
      <c r="E98" s="251"/>
    </row>
    <row r="99" spans="1:5" ht="12.75">
      <c r="A99" s="263"/>
      <c r="B99" s="24"/>
      <c r="C99" s="252"/>
      <c r="D99" s="251"/>
      <c r="E99" s="251"/>
    </row>
    <row r="100" spans="1:5" ht="12.75">
      <c r="A100" s="263"/>
      <c r="B100" s="24"/>
      <c r="C100" s="252"/>
      <c r="D100" s="251"/>
      <c r="E100" s="251"/>
    </row>
  </sheetData>
  <sheetProtection/>
  <mergeCells count="6">
    <mergeCell ref="A76:B76"/>
    <mergeCell ref="A93:B93"/>
    <mergeCell ref="A1:F1"/>
    <mergeCell ref="A4:B4"/>
    <mergeCell ref="A47:B47"/>
    <mergeCell ref="A73:B73"/>
  </mergeCells>
  <printOptions/>
  <pageMargins left="0.4724409448818898" right="0.31" top="0.15748031496062992" bottom="0.2755905511811024" header="0" footer="0.15748031496062992"/>
  <pageSetup horizontalDpi="600" verticalDpi="600" orientation="landscape" paperSize="10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G29"/>
  <sheetViews>
    <sheetView zoomScalePageLayoutView="0" workbookViewId="0" topLeftCell="A1">
      <selection activeCell="B6" sqref="B6:D29"/>
    </sheetView>
  </sheetViews>
  <sheetFormatPr defaultColWidth="9.140625" defaultRowHeight="12.75"/>
  <cols>
    <col min="1" max="2" width="9.140625" style="1" customWidth="1"/>
    <col min="3" max="3" width="40.57421875" style="1" customWidth="1"/>
    <col min="4" max="4" width="22.140625" style="1" customWidth="1"/>
    <col min="5" max="6" width="9.140625" style="1" customWidth="1"/>
    <col min="7" max="7" width="13.8515625" style="1" bestFit="1" customWidth="1"/>
    <col min="8" max="16384" width="9.140625" style="1" customWidth="1"/>
  </cols>
  <sheetData>
    <row r="5" ht="13.5" thickBot="1"/>
    <row r="6" spans="2:4" ht="26.25" thickBot="1">
      <c r="B6" s="2" t="s">
        <v>53</v>
      </c>
      <c r="C6" s="3" t="s">
        <v>54</v>
      </c>
      <c r="D6" s="4" t="s">
        <v>1554</v>
      </c>
    </row>
    <row r="7" spans="2:6" ht="30.75" customHeight="1" thickBot="1">
      <c r="B7" s="185">
        <v>32</v>
      </c>
      <c r="C7" s="186" t="s">
        <v>220</v>
      </c>
      <c r="D7" s="187">
        <f>'Prihodi-2022'!L153</f>
        <v>101708979</v>
      </c>
      <c r="E7" s="178"/>
      <c r="F7" s="179"/>
    </row>
    <row r="8" spans="2:6" ht="32.25" customHeight="1" hidden="1" thickBot="1">
      <c r="B8" s="185">
        <v>31</v>
      </c>
      <c r="C8" s="186" t="s">
        <v>221</v>
      </c>
      <c r="D8" s="187">
        <v>0</v>
      </c>
      <c r="E8" s="178"/>
      <c r="F8" s="179"/>
    </row>
    <row r="9" spans="2:4" ht="33" customHeight="1" thickBot="1">
      <c r="B9" s="5"/>
      <c r="C9" s="6" t="s">
        <v>55</v>
      </c>
      <c r="D9" s="7">
        <f>SUM(D10:D13)</f>
        <v>483017969</v>
      </c>
    </row>
    <row r="10" spans="2:4" ht="13.5" thickBot="1">
      <c r="B10" s="8">
        <v>71</v>
      </c>
      <c r="C10" s="9" t="s">
        <v>56</v>
      </c>
      <c r="D10" s="10">
        <f>SUM('Prihodi-2022'!L9,'Prihodi-2022'!L23,'Prihodi-2022'!L30,'Prihodi-2022'!L43,'Prihodi-2022'!L56,'Prihodi-2022'!L29)</f>
        <v>261116459</v>
      </c>
    </row>
    <row r="11" spans="2:4" ht="13.5" thickBot="1">
      <c r="B11" s="8">
        <v>73</v>
      </c>
      <c r="C11" s="9" t="s">
        <v>57</v>
      </c>
      <c r="D11" s="10">
        <f>SUM('Prihodi-2022'!L63)</f>
        <v>160771510</v>
      </c>
    </row>
    <row r="12" spans="2:4" ht="13.5" thickBot="1">
      <c r="B12" s="8">
        <v>74</v>
      </c>
      <c r="C12" s="9" t="s">
        <v>58</v>
      </c>
      <c r="D12" s="10">
        <f>SUM('Prihodi-2022'!L68,'Prihodi-2022'!L82,'Prihodi-2022'!L98,'Prihodi-2022'!L102,'Prihodi-2022'!L107)</f>
        <v>61070000</v>
      </c>
    </row>
    <row r="13" spans="2:4" ht="13.5" customHeight="1" thickBot="1">
      <c r="B13" s="693" t="s">
        <v>1286</v>
      </c>
      <c r="C13" s="694" t="s">
        <v>1287</v>
      </c>
      <c r="D13" s="11">
        <f>'Prihodi-2022'!L112</f>
        <v>60000</v>
      </c>
    </row>
    <row r="14" spans="2:4" ht="33" customHeight="1" thickBot="1">
      <c r="B14" s="12"/>
      <c r="C14" s="2" t="s">
        <v>59</v>
      </c>
      <c r="D14" s="13">
        <f>SUM(D15:D15)</f>
        <v>182000</v>
      </c>
    </row>
    <row r="15" spans="2:4" ht="13.5" thickBot="1">
      <c r="B15" s="8">
        <v>74</v>
      </c>
      <c r="C15" s="9" t="s">
        <v>58</v>
      </c>
      <c r="D15" s="10">
        <f>SUM('Prihodi-2022'!L125:L128)</f>
        <v>182000</v>
      </c>
    </row>
    <row r="16" spans="2:4" ht="38.25" customHeight="1" thickBot="1">
      <c r="B16" s="14"/>
      <c r="C16" s="6" t="s">
        <v>60</v>
      </c>
      <c r="D16" s="7">
        <f>D17</f>
        <v>610000</v>
      </c>
    </row>
    <row r="17" spans="2:4" ht="12.75">
      <c r="B17" s="15">
        <v>73</v>
      </c>
      <c r="C17" s="16" t="s">
        <v>57</v>
      </c>
      <c r="D17" s="17">
        <f>SUM('Prihodi-2022'!L133)</f>
        <v>610000</v>
      </c>
    </row>
    <row r="18" spans="2:4" ht="33" customHeight="1" thickBot="1">
      <c r="B18" s="152"/>
      <c r="C18" s="153" t="s">
        <v>61</v>
      </c>
      <c r="D18" s="154">
        <f>SUM(D19:D19)</f>
        <v>74225242.25</v>
      </c>
    </row>
    <row r="19" spans="2:4" ht="13.5" thickBot="1">
      <c r="B19" s="8">
        <v>73</v>
      </c>
      <c r="C19" s="9" t="s">
        <v>62</v>
      </c>
      <c r="D19" s="10">
        <f>SUM('Prihodi-2022'!L139)</f>
        <v>74225242.25</v>
      </c>
    </row>
    <row r="20" spans="2:6" ht="33" customHeight="1" thickBot="1">
      <c r="B20" s="5"/>
      <c r="C20" s="549" t="s">
        <v>1175</v>
      </c>
      <c r="D20" s="552">
        <f>D21</f>
        <v>427000</v>
      </c>
      <c r="E20" s="550"/>
      <c r="F20" s="551"/>
    </row>
    <row r="21" spans="2:4" ht="13.5" thickBot="1">
      <c r="B21" s="381" t="s">
        <v>1176</v>
      </c>
      <c r="C21" s="9" t="s">
        <v>58</v>
      </c>
      <c r="D21" s="10">
        <f>'Prihodi-2022'!L148</f>
        <v>427000</v>
      </c>
    </row>
    <row r="22" spans="2:4" ht="13.5" thickBot="1">
      <c r="B22" s="18"/>
      <c r="C22" s="19"/>
      <c r="D22" s="13"/>
    </row>
    <row r="23" spans="2:4" ht="13.5" thickBot="1">
      <c r="B23" s="20"/>
      <c r="C23" s="21" t="s">
        <v>63</v>
      </c>
      <c r="D23" s="7">
        <f>D9</f>
        <v>483017969</v>
      </c>
    </row>
    <row r="24" spans="2:4" ht="13.5" thickBot="1">
      <c r="B24" s="20"/>
      <c r="C24" s="21" t="s">
        <v>64</v>
      </c>
      <c r="D24" s="7">
        <f>D14</f>
        <v>182000</v>
      </c>
    </row>
    <row r="25" spans="2:4" ht="13.5" thickBot="1">
      <c r="B25" s="20"/>
      <c r="C25" s="21" t="s">
        <v>65</v>
      </c>
      <c r="D25" s="7">
        <f>'Prihodi-2022'!L158</f>
        <v>610000</v>
      </c>
    </row>
    <row r="26" spans="2:4" ht="13.5" thickBot="1">
      <c r="B26" s="20"/>
      <c r="C26" s="21" t="s">
        <v>66</v>
      </c>
      <c r="D26" s="7">
        <f>'Prihodi-2022'!L159</f>
        <v>74225242.25</v>
      </c>
    </row>
    <row r="27" spans="2:7" ht="13.5" thickBot="1">
      <c r="B27" s="18"/>
      <c r="C27" s="182" t="s">
        <v>1288</v>
      </c>
      <c r="D27" s="183">
        <f>'Prihodi-2022'!L160</f>
        <v>101708979</v>
      </c>
      <c r="E27" s="180"/>
      <c r="F27" s="180"/>
      <c r="G27" s="181"/>
    </row>
    <row r="28" spans="2:7" ht="13.5" thickBot="1">
      <c r="B28" s="20"/>
      <c r="C28" s="182" t="s">
        <v>1289</v>
      </c>
      <c r="D28" s="177">
        <f>'Prihodi-2022'!L161</f>
        <v>427000</v>
      </c>
      <c r="E28" s="180"/>
      <c r="F28" s="180"/>
      <c r="G28" s="180"/>
    </row>
    <row r="29" spans="2:4" ht="13.5" thickBot="1">
      <c r="B29" s="20"/>
      <c r="C29" s="21" t="s">
        <v>1486</v>
      </c>
      <c r="D29" s="7">
        <f>SUM(D23:D28)</f>
        <v>660171190.25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85">
      <selection activeCell="F143" sqref="A2:F143"/>
    </sheetView>
  </sheetViews>
  <sheetFormatPr defaultColWidth="9.140625" defaultRowHeight="12.75"/>
  <cols>
    <col min="1" max="1" width="10.00390625" style="305" customWidth="1"/>
    <col min="2" max="2" width="46.57421875" style="278" customWidth="1"/>
    <col min="3" max="3" width="18.7109375" style="278" customWidth="1"/>
    <col min="4" max="4" width="10.28125" style="648" customWidth="1"/>
    <col min="5" max="5" width="18.00390625" style="278" customWidth="1"/>
    <col min="6" max="6" width="16.7109375" style="278" customWidth="1"/>
    <col min="7" max="7" width="9.140625" style="278" customWidth="1"/>
    <col min="8" max="16" width="0" style="279" hidden="1" customWidth="1"/>
    <col min="17" max="20" width="0" style="278" hidden="1" customWidth="1"/>
    <col min="21" max="21" width="9.140625" style="278" customWidth="1"/>
    <col min="22" max="22" width="0" style="278" hidden="1" customWidth="1"/>
    <col min="23" max="16384" width="9.140625" style="278" customWidth="1"/>
  </cols>
  <sheetData>
    <row r="1" spans="1:6" ht="15" customHeight="1">
      <c r="A1" s="1531" t="s">
        <v>404</v>
      </c>
      <c r="B1" s="1531"/>
      <c r="C1" s="1531"/>
      <c r="D1" s="1531"/>
      <c r="E1" s="1531"/>
      <c r="F1" s="1531"/>
    </row>
    <row r="2" spans="1:6" ht="29.25" customHeight="1">
      <c r="A2" s="280" t="s">
        <v>405</v>
      </c>
      <c r="B2" s="280" t="s">
        <v>406</v>
      </c>
      <c r="C2" s="281" t="s">
        <v>15</v>
      </c>
      <c r="D2" s="658" t="s">
        <v>389</v>
      </c>
      <c r="E2" s="281" t="s">
        <v>388</v>
      </c>
      <c r="F2" s="281" t="s">
        <v>574</v>
      </c>
    </row>
    <row r="3" spans="1:6" ht="12.75">
      <c r="A3" s="282" t="s">
        <v>14</v>
      </c>
      <c r="B3" s="283">
        <v>2</v>
      </c>
      <c r="C3" s="284">
        <v>3</v>
      </c>
      <c r="D3" s="659"/>
      <c r="E3" s="284">
        <v>5</v>
      </c>
      <c r="F3" s="284">
        <v>6</v>
      </c>
    </row>
    <row r="4" spans="1:6" ht="12.75">
      <c r="A4" s="285" t="s">
        <v>21</v>
      </c>
      <c r="B4" s="286" t="s">
        <v>342</v>
      </c>
      <c r="C4" s="287">
        <f>SUM(C5:C13)</f>
        <v>58441300</v>
      </c>
      <c r="D4" s="660">
        <f>C4/483017969</f>
        <v>0.12099197907893981</v>
      </c>
      <c r="E4" s="287">
        <f>SUM(E5:E13)</f>
        <v>4056580</v>
      </c>
      <c r="F4" s="287">
        <f>C4+E4</f>
        <v>62497880</v>
      </c>
    </row>
    <row r="5" spans="1:6" ht="12.75" hidden="1">
      <c r="A5" s="288" t="s">
        <v>407</v>
      </c>
      <c r="B5" s="289" t="s">
        <v>408</v>
      </c>
      <c r="C5" s="290"/>
      <c r="D5" s="660">
        <f>C5/456198689</f>
        <v>0</v>
      </c>
      <c r="E5" s="290"/>
      <c r="F5" s="290">
        <f>SUM(E5,C5)</f>
        <v>0</v>
      </c>
    </row>
    <row r="6" spans="1:6" ht="12.75" hidden="1">
      <c r="A6" s="288" t="s">
        <v>409</v>
      </c>
      <c r="B6" s="289" t="s">
        <v>410</v>
      </c>
      <c r="C6" s="290"/>
      <c r="D6" s="660">
        <f>C6/456198689</f>
        <v>0</v>
      </c>
      <c r="E6" s="290"/>
      <c r="F6" s="290">
        <f>SUM(E6,C6)</f>
        <v>0</v>
      </c>
    </row>
    <row r="7" spans="1:6" ht="12.75" hidden="1">
      <c r="A7" s="288" t="s">
        <v>411</v>
      </c>
      <c r="B7" s="289" t="s">
        <v>412</v>
      </c>
      <c r="C7" s="290"/>
      <c r="D7" s="660">
        <f>C7/456198689</f>
        <v>0</v>
      </c>
      <c r="E7" s="290"/>
      <c r="F7" s="290">
        <f>SUM(E7,C7)</f>
        <v>0</v>
      </c>
    </row>
    <row r="8" spans="1:6" ht="12.75">
      <c r="A8" s="288" t="s">
        <v>22</v>
      </c>
      <c r="B8" s="289" t="s">
        <v>413</v>
      </c>
      <c r="C8" s="290">
        <f>Rashodi!M233</f>
        <v>11950000</v>
      </c>
      <c r="D8" s="1240">
        <f aca="true" t="shared" si="0" ref="D8:D71">C8/483017969</f>
        <v>0.02474028041801484</v>
      </c>
      <c r="E8" s="290">
        <f>Rashodi!T233</f>
        <v>1800000</v>
      </c>
      <c r="F8" s="290">
        <f aca="true" t="shared" si="1" ref="F8:F71">C8+E8</f>
        <v>13750000</v>
      </c>
    </row>
    <row r="9" spans="1:6" ht="12.75" hidden="1">
      <c r="A9" s="288" t="s">
        <v>276</v>
      </c>
      <c r="B9" s="289" t="s">
        <v>414</v>
      </c>
      <c r="C9" s="290"/>
      <c r="D9" s="1240">
        <f t="shared" si="0"/>
        <v>0</v>
      </c>
      <c r="E9" s="290"/>
      <c r="F9" s="290">
        <f t="shared" si="1"/>
        <v>0</v>
      </c>
    </row>
    <row r="10" spans="1:6" ht="12.75" hidden="1">
      <c r="A10" s="288" t="s">
        <v>415</v>
      </c>
      <c r="B10" s="289" t="s">
        <v>416</v>
      </c>
      <c r="C10" s="290"/>
      <c r="D10" s="1240">
        <f t="shared" si="0"/>
        <v>0</v>
      </c>
      <c r="E10" s="290"/>
      <c r="F10" s="290">
        <f t="shared" si="1"/>
        <v>0</v>
      </c>
    </row>
    <row r="11" spans="1:6" ht="25.5" hidden="1">
      <c r="A11" s="288" t="s">
        <v>417</v>
      </c>
      <c r="B11" s="289" t="s">
        <v>418</v>
      </c>
      <c r="C11" s="290"/>
      <c r="D11" s="1240">
        <f t="shared" si="0"/>
        <v>0</v>
      </c>
      <c r="E11" s="290"/>
      <c r="F11" s="290">
        <f t="shared" si="1"/>
        <v>0</v>
      </c>
    </row>
    <row r="12" spans="1:6" ht="12.75" hidden="1">
      <c r="A12" s="288" t="s">
        <v>419</v>
      </c>
      <c r="B12" s="289" t="s">
        <v>420</v>
      </c>
      <c r="C12" s="290"/>
      <c r="D12" s="1240">
        <f t="shared" si="0"/>
        <v>0</v>
      </c>
      <c r="E12" s="290"/>
      <c r="F12" s="290">
        <f t="shared" si="1"/>
        <v>0</v>
      </c>
    </row>
    <row r="13" spans="1:6" ht="25.5">
      <c r="A13" s="288" t="s">
        <v>21</v>
      </c>
      <c r="B13" s="289" t="s">
        <v>110</v>
      </c>
      <c r="C13" s="290">
        <f>Rashodi!M207+Rashodi!M225+Rashodi!M241+Rashodi!M246</f>
        <v>46491300</v>
      </c>
      <c r="D13" s="1240">
        <f t="shared" si="0"/>
        <v>0.09625169866092498</v>
      </c>
      <c r="E13" s="290">
        <f>Rashodi!T207+Rashodi!T225+Rashodi!T241+Rashodi!T246</f>
        <v>2256580</v>
      </c>
      <c r="F13" s="290">
        <f t="shared" si="1"/>
        <v>48747880</v>
      </c>
    </row>
    <row r="14" spans="1:6" ht="12.75">
      <c r="A14" s="291" t="s">
        <v>421</v>
      </c>
      <c r="B14" s="292" t="s">
        <v>343</v>
      </c>
      <c r="C14" s="287">
        <f>SUM(C15:C30)</f>
        <v>150010377</v>
      </c>
      <c r="D14" s="660">
        <f t="shared" si="0"/>
        <v>0.3105689366185878</v>
      </c>
      <c r="E14" s="287">
        <f>SUM(E15:E30)</f>
        <v>15819499.25</v>
      </c>
      <c r="F14" s="287">
        <f t="shared" si="1"/>
        <v>165829876.25</v>
      </c>
    </row>
    <row r="15" spans="1:6" ht="25.5">
      <c r="A15" s="293" t="s">
        <v>422</v>
      </c>
      <c r="B15" s="294" t="s">
        <v>423</v>
      </c>
      <c r="C15" s="290">
        <f>Rashodi!M10+Rashodi!M41+Rashodi!M58</f>
        <v>28686100</v>
      </c>
      <c r="D15" s="1240">
        <f t="shared" si="0"/>
        <v>0.05938930193298875</v>
      </c>
      <c r="E15" s="290">
        <f>Rashodi!T10+Rashodi!T41+Rashodi!T58</f>
        <v>268764.78</v>
      </c>
      <c r="F15" s="290">
        <f t="shared" si="1"/>
        <v>28954864.78</v>
      </c>
    </row>
    <row r="16" spans="1:6" ht="12.75" hidden="1">
      <c r="A16" s="293" t="s">
        <v>424</v>
      </c>
      <c r="B16" s="294" t="s">
        <v>344</v>
      </c>
      <c r="C16" s="290"/>
      <c r="D16" s="1240">
        <f t="shared" si="0"/>
        <v>0</v>
      </c>
      <c r="E16" s="290"/>
      <c r="F16" s="290">
        <f t="shared" si="1"/>
        <v>0</v>
      </c>
    </row>
    <row r="17" spans="1:6" ht="12.75" hidden="1">
      <c r="A17" s="293" t="s">
        <v>425</v>
      </c>
      <c r="B17" s="294" t="s">
        <v>345</v>
      </c>
      <c r="C17" s="290"/>
      <c r="D17" s="1240">
        <f t="shared" si="0"/>
        <v>0</v>
      </c>
      <c r="E17" s="290"/>
      <c r="F17" s="290">
        <f t="shared" si="1"/>
        <v>0</v>
      </c>
    </row>
    <row r="18" spans="1:6" ht="12.75" hidden="1">
      <c r="A18" s="293" t="s">
        <v>426</v>
      </c>
      <c r="B18" s="294" t="s">
        <v>346</v>
      </c>
      <c r="C18" s="290"/>
      <c r="D18" s="1240">
        <f t="shared" si="0"/>
        <v>0</v>
      </c>
      <c r="E18" s="290"/>
      <c r="F18" s="290">
        <f t="shared" si="1"/>
        <v>0</v>
      </c>
    </row>
    <row r="19" spans="1:6" ht="12.75" hidden="1">
      <c r="A19" s="293" t="s">
        <v>427</v>
      </c>
      <c r="B19" s="294" t="s">
        <v>428</v>
      </c>
      <c r="C19" s="290"/>
      <c r="D19" s="1240">
        <f t="shared" si="0"/>
        <v>0</v>
      </c>
      <c r="E19" s="290"/>
      <c r="F19" s="290">
        <f t="shared" si="1"/>
        <v>0</v>
      </c>
    </row>
    <row r="20" spans="1:6" ht="15" customHeight="1" hidden="1">
      <c r="A20" s="293" t="s">
        <v>429</v>
      </c>
      <c r="B20" s="294" t="s">
        <v>347</v>
      </c>
      <c r="C20" s="290"/>
      <c r="D20" s="1240">
        <f t="shared" si="0"/>
        <v>0</v>
      </c>
      <c r="E20" s="290"/>
      <c r="F20" s="290">
        <f t="shared" si="1"/>
        <v>0</v>
      </c>
    </row>
    <row r="21" spans="1:6" ht="25.5" hidden="1">
      <c r="A21" s="293" t="s">
        <v>430</v>
      </c>
      <c r="B21" s="294" t="s">
        <v>348</v>
      </c>
      <c r="C21" s="290"/>
      <c r="D21" s="1240">
        <f t="shared" si="0"/>
        <v>0</v>
      </c>
      <c r="E21" s="290"/>
      <c r="F21" s="290">
        <f t="shared" si="1"/>
        <v>0</v>
      </c>
    </row>
    <row r="22" spans="1:6" ht="12.75">
      <c r="A22" s="293" t="s">
        <v>75</v>
      </c>
      <c r="B22" s="294" t="s">
        <v>431</v>
      </c>
      <c r="C22" s="290">
        <f>Rashodi!M75+Rashodi!M107+Rashodi!M27</f>
        <v>102083741</v>
      </c>
      <c r="D22" s="1240">
        <f t="shared" si="0"/>
        <v>0.21134563836485346</v>
      </c>
      <c r="E22" s="290">
        <f>Rashodi!T75+Rashodi!T107+Rashodi!T27</f>
        <v>9752765.47</v>
      </c>
      <c r="F22" s="290">
        <f t="shared" si="1"/>
        <v>111836506.47</v>
      </c>
    </row>
    <row r="23" spans="1:6" ht="12.75" hidden="1">
      <c r="A23" s="293" t="s">
        <v>432</v>
      </c>
      <c r="B23" s="294" t="s">
        <v>349</v>
      </c>
      <c r="C23" s="290"/>
      <c r="D23" s="1240">
        <f t="shared" si="0"/>
        <v>0</v>
      </c>
      <c r="E23" s="290"/>
      <c r="F23" s="290">
        <f t="shared" si="1"/>
        <v>0</v>
      </c>
    </row>
    <row r="24" spans="1:6" ht="12.75" hidden="1">
      <c r="A24" s="293" t="s">
        <v>433</v>
      </c>
      <c r="B24" s="294" t="s">
        <v>350</v>
      </c>
      <c r="C24" s="290"/>
      <c r="D24" s="1240">
        <f t="shared" si="0"/>
        <v>0</v>
      </c>
      <c r="E24" s="290"/>
      <c r="F24" s="290">
        <f t="shared" si="1"/>
        <v>0</v>
      </c>
    </row>
    <row r="25" spans="1:6" ht="12.75" hidden="1">
      <c r="A25" s="293" t="s">
        <v>434</v>
      </c>
      <c r="B25" s="294" t="s">
        <v>351</v>
      </c>
      <c r="C25" s="290"/>
      <c r="D25" s="1240">
        <f t="shared" si="0"/>
        <v>0</v>
      </c>
      <c r="E25" s="290"/>
      <c r="F25" s="290">
        <f t="shared" si="1"/>
        <v>0</v>
      </c>
    </row>
    <row r="26" spans="1:6" ht="12.75" hidden="1">
      <c r="A26" s="293" t="s">
        <v>435</v>
      </c>
      <c r="B26" s="294" t="s">
        <v>436</v>
      </c>
      <c r="C26" s="290"/>
      <c r="D26" s="1240">
        <f t="shared" si="0"/>
        <v>0</v>
      </c>
      <c r="E26" s="290"/>
      <c r="F26" s="290">
        <f t="shared" si="1"/>
        <v>0</v>
      </c>
    </row>
    <row r="27" spans="1:6" ht="12.75" hidden="1">
      <c r="A27" s="293" t="s">
        <v>437</v>
      </c>
      <c r="B27" s="294" t="s">
        <v>438</v>
      </c>
      <c r="C27" s="290"/>
      <c r="D27" s="1240">
        <f t="shared" si="0"/>
        <v>0</v>
      </c>
      <c r="E27" s="290"/>
      <c r="F27" s="290">
        <f t="shared" si="1"/>
        <v>0</v>
      </c>
    </row>
    <row r="28" spans="1:6" ht="25.5">
      <c r="A28" s="293" t="s">
        <v>273</v>
      </c>
      <c r="B28" s="294" t="s">
        <v>439</v>
      </c>
      <c r="C28" s="290">
        <f>Rashodi!M411+Rashodi!M423+Rashodi!M439+Rashodi!M450+Rashodi!M463+Rashodi!M476+Rashodi!M489+Rashodi!M125+Rashodi!M128</f>
        <v>19240536</v>
      </c>
      <c r="D28" s="1240">
        <f t="shared" si="0"/>
        <v>0.03983399632074557</v>
      </c>
      <c r="E28" s="290">
        <f>Rashodi!T411+Rashodi!T423+Rashodi!T439+Rashodi!T450+Rashodi!T463+Rashodi!T476+Rashodi!T489+Rashodi!T125+Rashodi!T128</f>
        <v>5797969</v>
      </c>
      <c r="F28" s="290">
        <f t="shared" si="1"/>
        <v>25038505</v>
      </c>
    </row>
    <row r="29" spans="1:6" ht="12.75" hidden="1">
      <c r="A29" s="293" t="s">
        <v>440</v>
      </c>
      <c r="B29" s="294" t="s">
        <v>441</v>
      </c>
      <c r="C29" s="290"/>
      <c r="D29" s="660">
        <f t="shared" si="0"/>
        <v>0</v>
      </c>
      <c r="E29" s="290"/>
      <c r="F29" s="290">
        <f t="shared" si="1"/>
        <v>0</v>
      </c>
    </row>
    <row r="30" spans="1:6" ht="25.5" hidden="1">
      <c r="A30" s="293" t="s">
        <v>442</v>
      </c>
      <c r="B30" s="294" t="s">
        <v>352</v>
      </c>
      <c r="C30" s="290"/>
      <c r="D30" s="660">
        <f t="shared" si="0"/>
        <v>0</v>
      </c>
      <c r="E30" s="290"/>
      <c r="F30" s="290">
        <f t="shared" si="1"/>
        <v>0</v>
      </c>
    </row>
    <row r="31" spans="1:6" ht="12.75">
      <c r="A31" s="291" t="s">
        <v>1234</v>
      </c>
      <c r="B31" s="295" t="s">
        <v>1235</v>
      </c>
      <c r="C31" s="287">
        <f>C34</f>
        <v>1880000</v>
      </c>
      <c r="D31" s="660">
        <f t="shared" si="0"/>
        <v>0.0038921947435872723</v>
      </c>
      <c r="E31" s="287">
        <f>E34</f>
        <v>0</v>
      </c>
      <c r="F31" s="287">
        <f t="shared" si="1"/>
        <v>1880000</v>
      </c>
    </row>
    <row r="32" spans="1:6" ht="12.75" hidden="1">
      <c r="A32" s="293" t="s">
        <v>444</v>
      </c>
      <c r="B32" s="294" t="s">
        <v>445</v>
      </c>
      <c r="C32" s="290"/>
      <c r="D32" s="660">
        <f t="shared" si="0"/>
        <v>0</v>
      </c>
      <c r="E32" s="290"/>
      <c r="F32" s="290">
        <f t="shared" si="1"/>
        <v>0</v>
      </c>
    </row>
    <row r="33" spans="1:6" ht="12.75" hidden="1">
      <c r="A33" s="293" t="s">
        <v>446</v>
      </c>
      <c r="B33" s="294" t="s">
        <v>447</v>
      </c>
      <c r="C33" s="290"/>
      <c r="D33" s="660">
        <f t="shared" si="0"/>
        <v>0</v>
      </c>
      <c r="E33" s="290"/>
      <c r="F33" s="290">
        <f t="shared" si="1"/>
        <v>0</v>
      </c>
    </row>
    <row r="34" spans="1:6" ht="12.75">
      <c r="A34" s="637" t="s">
        <v>1236</v>
      </c>
      <c r="B34" s="638" t="s">
        <v>1237</v>
      </c>
      <c r="C34" s="290">
        <f>Rashodi!M118</f>
        <v>1880000</v>
      </c>
      <c r="D34" s="1240">
        <f t="shared" si="0"/>
        <v>0.0038921947435872723</v>
      </c>
      <c r="E34" s="290">
        <f>Rashodi!T118</f>
        <v>0</v>
      </c>
      <c r="F34" s="290">
        <f t="shared" si="1"/>
        <v>1880000</v>
      </c>
    </row>
    <row r="35" spans="1:6" ht="12.75" hidden="1">
      <c r="A35" s="293"/>
      <c r="B35" s="294"/>
      <c r="C35" s="290"/>
      <c r="D35" s="660">
        <f t="shared" si="0"/>
        <v>0</v>
      </c>
      <c r="E35" s="290"/>
      <c r="F35" s="290">
        <f t="shared" si="1"/>
        <v>0</v>
      </c>
    </row>
    <row r="36" spans="1:6" ht="12.75">
      <c r="A36" s="291" t="s">
        <v>443</v>
      </c>
      <c r="B36" s="295" t="s">
        <v>353</v>
      </c>
      <c r="C36" s="287">
        <f>SUM(C37:C42)</f>
        <v>671000</v>
      </c>
      <c r="D36" s="660">
        <f t="shared" si="0"/>
        <v>0.0013891822728441807</v>
      </c>
      <c r="E36" s="287">
        <f>SUM(E37:E42)</f>
        <v>0</v>
      </c>
      <c r="F36" s="287">
        <f t="shared" si="1"/>
        <v>671000</v>
      </c>
    </row>
    <row r="37" spans="1:6" ht="12.75" hidden="1">
      <c r="A37" s="293" t="s">
        <v>444</v>
      </c>
      <c r="B37" s="294" t="s">
        <v>445</v>
      </c>
      <c r="C37" s="290"/>
      <c r="D37" s="660">
        <f t="shared" si="0"/>
        <v>0</v>
      </c>
      <c r="E37" s="290"/>
      <c r="F37" s="290">
        <f t="shared" si="1"/>
        <v>0</v>
      </c>
    </row>
    <row r="38" spans="1:6" ht="12.75" hidden="1">
      <c r="A38" s="293" t="s">
        <v>446</v>
      </c>
      <c r="B38" s="294" t="s">
        <v>447</v>
      </c>
      <c r="C38" s="290"/>
      <c r="D38" s="660">
        <f t="shared" si="0"/>
        <v>0</v>
      </c>
      <c r="E38" s="290"/>
      <c r="F38" s="290">
        <f t="shared" si="1"/>
        <v>0</v>
      </c>
    </row>
    <row r="39" spans="1:6" ht="12.75">
      <c r="A39" s="293" t="s">
        <v>448</v>
      </c>
      <c r="B39" s="294" t="s">
        <v>449</v>
      </c>
      <c r="C39" s="290">
        <f>Rashodi!M32</f>
        <v>671000</v>
      </c>
      <c r="D39" s="1240">
        <f t="shared" si="0"/>
        <v>0.0013891822728441807</v>
      </c>
      <c r="E39" s="290">
        <f>Rashodi!T32</f>
        <v>0</v>
      </c>
      <c r="F39" s="290">
        <f t="shared" si="1"/>
        <v>671000</v>
      </c>
    </row>
    <row r="40" spans="1:6" ht="12.75" hidden="1">
      <c r="A40" s="293" t="s">
        <v>450</v>
      </c>
      <c r="B40" s="294" t="s">
        <v>451</v>
      </c>
      <c r="C40" s="290"/>
      <c r="D40" s="660">
        <f t="shared" si="0"/>
        <v>0</v>
      </c>
      <c r="E40" s="290"/>
      <c r="F40" s="290">
        <f t="shared" si="1"/>
        <v>0</v>
      </c>
    </row>
    <row r="41" spans="1:6" ht="12.75" hidden="1">
      <c r="A41" s="293" t="s">
        <v>452</v>
      </c>
      <c r="B41" s="294" t="s">
        <v>453</v>
      </c>
      <c r="C41" s="290"/>
      <c r="D41" s="660">
        <f t="shared" si="0"/>
        <v>0</v>
      </c>
      <c r="E41" s="290"/>
      <c r="F41" s="290">
        <f t="shared" si="1"/>
        <v>0</v>
      </c>
    </row>
    <row r="42" spans="1:6" ht="25.5" hidden="1">
      <c r="A42" s="293" t="s">
        <v>454</v>
      </c>
      <c r="B42" s="294" t="s">
        <v>455</v>
      </c>
      <c r="C42" s="290"/>
      <c r="D42" s="660">
        <f t="shared" si="0"/>
        <v>0</v>
      </c>
      <c r="E42" s="290"/>
      <c r="F42" s="290">
        <f t="shared" si="1"/>
        <v>0</v>
      </c>
    </row>
    <row r="43" spans="1:6" ht="12.75">
      <c r="A43" s="291" t="s">
        <v>456</v>
      </c>
      <c r="B43" s="292" t="s">
        <v>354</v>
      </c>
      <c r="C43" s="287">
        <f>SUM(C44:C82)</f>
        <v>33540000</v>
      </c>
      <c r="D43" s="660">
        <f t="shared" si="0"/>
        <v>0.06943841047867931</v>
      </c>
      <c r="E43" s="287">
        <f>SUM(E44:E82)</f>
        <v>92286871</v>
      </c>
      <c r="F43" s="287">
        <f t="shared" si="1"/>
        <v>125826871</v>
      </c>
    </row>
    <row r="44" spans="1:6" ht="25.5" hidden="1">
      <c r="A44" s="293" t="s">
        <v>390</v>
      </c>
      <c r="B44" s="296" t="s">
        <v>457</v>
      </c>
      <c r="C44" s="290"/>
      <c r="D44" s="660">
        <f t="shared" si="0"/>
        <v>0</v>
      </c>
      <c r="E44" s="290"/>
      <c r="F44" s="290">
        <f t="shared" si="1"/>
        <v>0</v>
      </c>
    </row>
    <row r="45" spans="1:6" ht="12.75" hidden="1">
      <c r="A45" s="293" t="s">
        <v>458</v>
      </c>
      <c r="B45" s="296" t="s">
        <v>355</v>
      </c>
      <c r="C45" s="290"/>
      <c r="D45" s="660">
        <f t="shared" si="0"/>
        <v>0</v>
      </c>
      <c r="E45" s="290"/>
      <c r="F45" s="290">
        <f t="shared" si="1"/>
        <v>0</v>
      </c>
    </row>
    <row r="46" spans="1:6" ht="12.75">
      <c r="A46" s="293" t="s">
        <v>459</v>
      </c>
      <c r="B46" s="296" t="s">
        <v>356</v>
      </c>
      <c r="C46" s="290">
        <f>Rashodi!M344</f>
        <v>1500000</v>
      </c>
      <c r="D46" s="1240">
        <f t="shared" si="0"/>
        <v>0.0031054745294579298</v>
      </c>
      <c r="E46" s="290">
        <f>Rashodi!T344</f>
        <v>0</v>
      </c>
      <c r="F46" s="290">
        <f t="shared" si="1"/>
        <v>1500000</v>
      </c>
    </row>
    <row r="47" spans="1:6" ht="12.75">
      <c r="A47" s="293" t="s">
        <v>391</v>
      </c>
      <c r="B47" s="294" t="s">
        <v>460</v>
      </c>
      <c r="C47" s="290">
        <f>Rashodi!M263</f>
        <v>5300000</v>
      </c>
      <c r="D47" s="1240">
        <f t="shared" si="0"/>
        <v>0.010972676670751353</v>
      </c>
      <c r="E47" s="290">
        <f>Rashodi!T263</f>
        <v>52000000</v>
      </c>
      <c r="F47" s="290">
        <f t="shared" si="1"/>
        <v>57300000</v>
      </c>
    </row>
    <row r="48" spans="1:6" ht="12.75" hidden="1">
      <c r="A48" s="293" t="s">
        <v>392</v>
      </c>
      <c r="B48" s="294" t="s">
        <v>357</v>
      </c>
      <c r="C48" s="290"/>
      <c r="D48" s="1240">
        <f t="shared" si="0"/>
        <v>0</v>
      </c>
      <c r="E48" s="290"/>
      <c r="F48" s="290">
        <f t="shared" si="1"/>
        <v>0</v>
      </c>
    </row>
    <row r="49" spans="1:6" ht="12.75" hidden="1">
      <c r="A49" s="293" t="s">
        <v>461</v>
      </c>
      <c r="B49" s="294" t="s">
        <v>358</v>
      </c>
      <c r="C49" s="290"/>
      <c r="D49" s="1240">
        <f t="shared" si="0"/>
        <v>0</v>
      </c>
      <c r="E49" s="290"/>
      <c r="F49" s="290">
        <f t="shared" si="1"/>
        <v>0</v>
      </c>
    </row>
    <row r="50" spans="1:6" ht="12.75" hidden="1">
      <c r="A50" s="293" t="s">
        <v>293</v>
      </c>
      <c r="B50" s="294" t="s">
        <v>359</v>
      </c>
      <c r="C50" s="290"/>
      <c r="D50" s="1240">
        <f t="shared" si="0"/>
        <v>0</v>
      </c>
      <c r="E50" s="290"/>
      <c r="F50" s="290">
        <f t="shared" si="1"/>
        <v>0</v>
      </c>
    </row>
    <row r="51" spans="1:6" ht="12.75" hidden="1">
      <c r="A51" s="293" t="s">
        <v>393</v>
      </c>
      <c r="B51" s="294" t="s">
        <v>462</v>
      </c>
      <c r="C51" s="290"/>
      <c r="D51" s="1240">
        <f t="shared" si="0"/>
        <v>0</v>
      </c>
      <c r="E51" s="290"/>
      <c r="F51" s="290">
        <f t="shared" si="1"/>
        <v>0</v>
      </c>
    </row>
    <row r="52" spans="1:6" ht="12.75" hidden="1">
      <c r="A52" s="293" t="s">
        <v>463</v>
      </c>
      <c r="B52" s="294" t="s">
        <v>360</v>
      </c>
      <c r="C52" s="290"/>
      <c r="D52" s="1240">
        <f t="shared" si="0"/>
        <v>0</v>
      </c>
      <c r="E52" s="290"/>
      <c r="F52" s="290">
        <f t="shared" si="1"/>
        <v>0</v>
      </c>
    </row>
    <row r="53" spans="1:6" ht="12.75" hidden="1">
      <c r="A53" s="293" t="s">
        <v>464</v>
      </c>
      <c r="B53" s="294" t="s">
        <v>361</v>
      </c>
      <c r="C53" s="290"/>
      <c r="D53" s="1240">
        <f t="shared" si="0"/>
        <v>0</v>
      </c>
      <c r="E53" s="290"/>
      <c r="F53" s="290">
        <f t="shared" si="1"/>
        <v>0</v>
      </c>
    </row>
    <row r="54" spans="1:6" ht="12.75" hidden="1">
      <c r="A54" s="293" t="s">
        <v>465</v>
      </c>
      <c r="B54" s="294" t="s">
        <v>362</v>
      </c>
      <c r="C54" s="290"/>
      <c r="D54" s="1240">
        <f t="shared" si="0"/>
        <v>0</v>
      </c>
      <c r="E54" s="290"/>
      <c r="F54" s="290">
        <f t="shared" si="1"/>
        <v>0</v>
      </c>
    </row>
    <row r="55" spans="1:6" ht="12.75" hidden="1">
      <c r="A55" s="293" t="s">
        <v>466</v>
      </c>
      <c r="B55" s="294" t="s">
        <v>363</v>
      </c>
      <c r="C55" s="290"/>
      <c r="D55" s="1240">
        <f t="shared" si="0"/>
        <v>0</v>
      </c>
      <c r="E55" s="290"/>
      <c r="F55" s="290">
        <f t="shared" si="1"/>
        <v>0</v>
      </c>
    </row>
    <row r="56" spans="1:6" ht="12.75" hidden="1">
      <c r="A56" s="293" t="s">
        <v>467</v>
      </c>
      <c r="B56" s="294" t="s">
        <v>364</v>
      </c>
      <c r="C56" s="290"/>
      <c r="D56" s="1240">
        <f t="shared" si="0"/>
        <v>0</v>
      </c>
      <c r="E56" s="290"/>
      <c r="F56" s="290">
        <f t="shared" si="1"/>
        <v>0</v>
      </c>
    </row>
    <row r="57" spans="1:6" ht="12.75" hidden="1">
      <c r="A57" s="293" t="s">
        <v>468</v>
      </c>
      <c r="B57" s="294" t="s">
        <v>365</v>
      </c>
      <c r="C57" s="290"/>
      <c r="D57" s="1240">
        <f t="shared" si="0"/>
        <v>0</v>
      </c>
      <c r="E57" s="290"/>
      <c r="F57" s="290">
        <f t="shared" si="1"/>
        <v>0</v>
      </c>
    </row>
    <row r="58" spans="1:6" ht="12.75" hidden="1">
      <c r="A58" s="293" t="s">
        <v>394</v>
      </c>
      <c r="B58" s="294" t="s">
        <v>469</v>
      </c>
      <c r="C58" s="290"/>
      <c r="D58" s="1240">
        <f t="shared" si="0"/>
        <v>0</v>
      </c>
      <c r="E58" s="290"/>
      <c r="F58" s="290">
        <f t="shared" si="1"/>
        <v>0</v>
      </c>
    </row>
    <row r="59" spans="1:6" ht="25.5" hidden="1">
      <c r="A59" s="293" t="s">
        <v>470</v>
      </c>
      <c r="B59" s="294" t="s">
        <v>366</v>
      </c>
      <c r="C59" s="290"/>
      <c r="D59" s="1240">
        <f t="shared" si="0"/>
        <v>0</v>
      </c>
      <c r="E59" s="290"/>
      <c r="F59" s="290">
        <f t="shared" si="1"/>
        <v>0</v>
      </c>
    </row>
    <row r="60" spans="1:6" ht="12.75" hidden="1">
      <c r="A60" s="293" t="s">
        <v>471</v>
      </c>
      <c r="B60" s="294" t="s">
        <v>367</v>
      </c>
      <c r="C60" s="290"/>
      <c r="D60" s="1240">
        <f t="shared" si="0"/>
        <v>0</v>
      </c>
      <c r="E60" s="290"/>
      <c r="F60" s="290">
        <f t="shared" si="1"/>
        <v>0</v>
      </c>
    </row>
    <row r="61" spans="1:6" ht="12.75" hidden="1">
      <c r="A61" s="293" t="s">
        <v>472</v>
      </c>
      <c r="B61" s="294" t="s">
        <v>368</v>
      </c>
      <c r="C61" s="290"/>
      <c r="D61" s="1240">
        <f t="shared" si="0"/>
        <v>0</v>
      </c>
      <c r="E61" s="290"/>
      <c r="F61" s="290">
        <f t="shared" si="1"/>
        <v>0</v>
      </c>
    </row>
    <row r="62" spans="1:6" ht="12.75" hidden="1">
      <c r="A62" s="293" t="s">
        <v>395</v>
      </c>
      <c r="B62" s="294" t="s">
        <v>473</v>
      </c>
      <c r="C62" s="290"/>
      <c r="D62" s="1240">
        <f t="shared" si="0"/>
        <v>0</v>
      </c>
      <c r="E62" s="290"/>
      <c r="F62" s="290">
        <f t="shared" si="1"/>
        <v>0</v>
      </c>
    </row>
    <row r="63" spans="1:6" ht="12.75">
      <c r="A63" s="288" t="s">
        <v>474</v>
      </c>
      <c r="B63" s="294" t="s">
        <v>369</v>
      </c>
      <c r="C63" s="290">
        <f>Rashodi!M348+Rashodi!M113+Rashodi!M359</f>
        <v>20240000</v>
      </c>
      <c r="D63" s="1240">
        <f t="shared" si="0"/>
        <v>0.041903202984152337</v>
      </c>
      <c r="E63" s="290">
        <f>Rashodi!T348+Rashodi!T113+Rashodi!T359</f>
        <v>40286871</v>
      </c>
      <c r="F63" s="290">
        <f t="shared" si="1"/>
        <v>60526871</v>
      </c>
    </row>
    <row r="64" spans="1:6" ht="12.75" hidden="1">
      <c r="A64" s="288" t="s">
        <v>403</v>
      </c>
      <c r="B64" s="294" t="s">
        <v>370</v>
      </c>
      <c r="C64" s="290"/>
      <c r="D64" s="1241">
        <f t="shared" si="0"/>
        <v>0</v>
      </c>
      <c r="E64" s="290"/>
      <c r="F64" s="290">
        <f t="shared" si="1"/>
        <v>0</v>
      </c>
    </row>
    <row r="65" spans="1:6" ht="12.75" hidden="1">
      <c r="A65" s="288" t="s">
        <v>475</v>
      </c>
      <c r="B65" s="294" t="s">
        <v>371</v>
      </c>
      <c r="C65" s="290"/>
      <c r="D65" s="1241">
        <f t="shared" si="0"/>
        <v>0</v>
      </c>
      <c r="E65" s="290"/>
      <c r="F65" s="290">
        <f t="shared" si="1"/>
        <v>0</v>
      </c>
    </row>
    <row r="66" spans="1:6" ht="12.75" hidden="1">
      <c r="A66" s="288" t="s">
        <v>476</v>
      </c>
      <c r="B66" s="294" t="s">
        <v>372</v>
      </c>
      <c r="C66" s="290"/>
      <c r="D66" s="1241">
        <f t="shared" si="0"/>
        <v>0</v>
      </c>
      <c r="E66" s="290"/>
      <c r="F66" s="290">
        <f t="shared" si="1"/>
        <v>0</v>
      </c>
    </row>
    <row r="67" spans="1:6" ht="12.75" hidden="1">
      <c r="A67" s="288" t="s">
        <v>477</v>
      </c>
      <c r="B67" s="294" t="s">
        <v>373</v>
      </c>
      <c r="C67" s="290"/>
      <c r="D67" s="1241">
        <f t="shared" si="0"/>
        <v>0</v>
      </c>
      <c r="E67" s="290"/>
      <c r="F67" s="290">
        <f t="shared" si="1"/>
        <v>0</v>
      </c>
    </row>
    <row r="68" spans="1:6" ht="12.75" hidden="1">
      <c r="A68" s="293" t="s">
        <v>396</v>
      </c>
      <c r="B68" s="294" t="s">
        <v>478</v>
      </c>
      <c r="C68" s="290"/>
      <c r="D68" s="1241">
        <f t="shared" si="0"/>
        <v>0</v>
      </c>
      <c r="E68" s="290"/>
      <c r="F68" s="290">
        <f t="shared" si="1"/>
        <v>0</v>
      </c>
    </row>
    <row r="69" spans="1:6" ht="12.75" hidden="1">
      <c r="A69" s="293" t="s">
        <v>397</v>
      </c>
      <c r="B69" s="294" t="s">
        <v>479</v>
      </c>
      <c r="C69" s="290"/>
      <c r="D69" s="1241">
        <f t="shared" si="0"/>
        <v>0</v>
      </c>
      <c r="E69" s="290"/>
      <c r="F69" s="290">
        <f t="shared" si="1"/>
        <v>0</v>
      </c>
    </row>
    <row r="70" spans="1:6" ht="12.75" hidden="1">
      <c r="A70" s="293" t="s">
        <v>480</v>
      </c>
      <c r="B70" s="294" t="s">
        <v>374</v>
      </c>
      <c r="C70" s="290"/>
      <c r="D70" s="1241">
        <f t="shared" si="0"/>
        <v>0</v>
      </c>
      <c r="E70" s="290"/>
      <c r="F70" s="290">
        <f t="shared" si="1"/>
        <v>0</v>
      </c>
    </row>
    <row r="71" spans="1:6" ht="12.75" hidden="1">
      <c r="A71" s="293" t="s">
        <v>481</v>
      </c>
      <c r="B71" s="294" t="s">
        <v>375</v>
      </c>
      <c r="C71" s="290"/>
      <c r="D71" s="1241">
        <f t="shared" si="0"/>
        <v>0</v>
      </c>
      <c r="E71" s="290"/>
      <c r="F71" s="290">
        <f t="shared" si="1"/>
        <v>0</v>
      </c>
    </row>
    <row r="72" spans="1:6" ht="12.75" hidden="1">
      <c r="A72" s="293" t="s">
        <v>482</v>
      </c>
      <c r="B72" s="294" t="s">
        <v>376</v>
      </c>
      <c r="C72" s="290"/>
      <c r="D72" s="1241">
        <f aca="true" t="shared" si="2" ref="D72:D135">C72/483017969</f>
        <v>0</v>
      </c>
      <c r="E72" s="290"/>
      <c r="F72" s="290">
        <f aca="true" t="shared" si="3" ref="F72:F135">C72+E72</f>
        <v>0</v>
      </c>
    </row>
    <row r="73" spans="1:6" ht="12.75" hidden="1">
      <c r="A73" s="293" t="s">
        <v>483</v>
      </c>
      <c r="B73" s="294" t="s">
        <v>377</v>
      </c>
      <c r="C73" s="290"/>
      <c r="D73" s="1241">
        <f t="shared" si="2"/>
        <v>0</v>
      </c>
      <c r="E73" s="290"/>
      <c r="F73" s="290">
        <f t="shared" si="3"/>
        <v>0</v>
      </c>
    </row>
    <row r="74" spans="1:6" ht="12.75" hidden="1">
      <c r="A74" s="293" t="s">
        <v>398</v>
      </c>
      <c r="B74" s="294" t="s">
        <v>484</v>
      </c>
      <c r="C74" s="290"/>
      <c r="D74" s="1241">
        <f t="shared" si="2"/>
        <v>0</v>
      </c>
      <c r="E74" s="290"/>
      <c r="F74" s="290">
        <f t="shared" si="3"/>
        <v>0</v>
      </c>
    </row>
    <row r="75" spans="1:6" ht="25.5" hidden="1">
      <c r="A75" s="293" t="s">
        <v>485</v>
      </c>
      <c r="B75" s="294" t="s">
        <v>378</v>
      </c>
      <c r="C75" s="290"/>
      <c r="D75" s="1241">
        <f t="shared" si="2"/>
        <v>0</v>
      </c>
      <c r="E75" s="290"/>
      <c r="F75" s="290">
        <f t="shared" si="3"/>
        <v>0</v>
      </c>
    </row>
    <row r="76" spans="1:6" ht="25.5" hidden="1">
      <c r="A76" s="293" t="s">
        <v>486</v>
      </c>
      <c r="B76" s="294" t="s">
        <v>379</v>
      </c>
      <c r="C76" s="290"/>
      <c r="D76" s="1241">
        <f t="shared" si="2"/>
        <v>0</v>
      </c>
      <c r="E76" s="290"/>
      <c r="F76" s="290">
        <f t="shared" si="3"/>
        <v>0</v>
      </c>
    </row>
    <row r="77" spans="1:6" ht="12.75" hidden="1">
      <c r="A77" s="293" t="s">
        <v>487</v>
      </c>
      <c r="B77" s="294" t="s">
        <v>380</v>
      </c>
      <c r="C77" s="290"/>
      <c r="D77" s="1241">
        <f t="shared" si="2"/>
        <v>0</v>
      </c>
      <c r="E77" s="290"/>
      <c r="F77" s="290">
        <f t="shared" si="3"/>
        <v>0</v>
      </c>
    </row>
    <row r="78" spans="1:6" ht="25.5" hidden="1">
      <c r="A78" s="293" t="s">
        <v>488</v>
      </c>
      <c r="B78" s="294" t="s">
        <v>381</v>
      </c>
      <c r="C78" s="290"/>
      <c r="D78" s="1241">
        <f t="shared" si="2"/>
        <v>0</v>
      </c>
      <c r="E78" s="290"/>
      <c r="F78" s="290">
        <f t="shared" si="3"/>
        <v>0</v>
      </c>
    </row>
    <row r="79" spans="1:6" ht="12.75" hidden="1">
      <c r="A79" s="293" t="s">
        <v>489</v>
      </c>
      <c r="B79" s="294" t="s">
        <v>382</v>
      </c>
      <c r="C79" s="290"/>
      <c r="D79" s="1241">
        <f t="shared" si="2"/>
        <v>0</v>
      </c>
      <c r="E79" s="290"/>
      <c r="F79" s="290">
        <f t="shared" si="3"/>
        <v>0</v>
      </c>
    </row>
    <row r="80" spans="1:6" ht="12.75" hidden="1">
      <c r="A80" s="293" t="s">
        <v>490</v>
      </c>
      <c r="B80" s="294" t="s">
        <v>383</v>
      </c>
      <c r="C80" s="290"/>
      <c r="D80" s="1241">
        <f t="shared" si="2"/>
        <v>0</v>
      </c>
      <c r="E80" s="290"/>
      <c r="F80" s="290">
        <f t="shared" si="3"/>
        <v>0</v>
      </c>
    </row>
    <row r="81" spans="1:6" ht="12.75" hidden="1">
      <c r="A81" s="293" t="s">
        <v>491</v>
      </c>
      <c r="B81" s="294" t="s">
        <v>384</v>
      </c>
      <c r="C81" s="290"/>
      <c r="D81" s="1241">
        <f t="shared" si="2"/>
        <v>0</v>
      </c>
      <c r="E81" s="290"/>
      <c r="F81" s="290">
        <f t="shared" si="3"/>
        <v>0</v>
      </c>
    </row>
    <row r="82" spans="1:6" ht="25.5">
      <c r="A82" s="293" t="s">
        <v>492</v>
      </c>
      <c r="B82" s="294" t="s">
        <v>385</v>
      </c>
      <c r="C82" s="290">
        <f>Rashodi!M339</f>
        <v>6500000</v>
      </c>
      <c r="D82" s="1240">
        <f t="shared" si="2"/>
        <v>0.013457056294317697</v>
      </c>
      <c r="E82" s="290">
        <f>Rashodi!T339</f>
        <v>0</v>
      </c>
      <c r="F82" s="290">
        <f t="shared" si="3"/>
        <v>6500000</v>
      </c>
    </row>
    <row r="83" spans="1:6" ht="12.75">
      <c r="A83" s="291" t="s">
        <v>493</v>
      </c>
      <c r="B83" s="295" t="s">
        <v>386</v>
      </c>
      <c r="C83" s="287">
        <f>SUM(C84:C89)</f>
        <v>41906700</v>
      </c>
      <c r="D83" s="660">
        <f t="shared" si="2"/>
        <v>0.08676012630908976</v>
      </c>
      <c r="E83" s="287">
        <f>SUM(E84:E89)</f>
        <v>0</v>
      </c>
      <c r="F83" s="287">
        <f t="shared" si="3"/>
        <v>41906700</v>
      </c>
    </row>
    <row r="84" spans="1:6" ht="12.75">
      <c r="A84" s="293" t="s">
        <v>399</v>
      </c>
      <c r="B84" s="294" t="s">
        <v>494</v>
      </c>
      <c r="C84" s="290">
        <f>Rashodi!M280</f>
        <v>10306600</v>
      </c>
      <c r="D84" s="1240">
        <f t="shared" si="2"/>
        <v>0.021337922523540734</v>
      </c>
      <c r="E84" s="290">
        <f>Rashodi!T280</f>
        <v>0</v>
      </c>
      <c r="F84" s="290">
        <f t="shared" si="3"/>
        <v>10306600</v>
      </c>
    </row>
    <row r="85" spans="1:6" ht="12.75">
      <c r="A85" s="637" t="s">
        <v>1317</v>
      </c>
      <c r="B85" s="638" t="s">
        <v>1318</v>
      </c>
      <c r="C85" s="290">
        <f>Rashodi!M290</f>
        <v>500100</v>
      </c>
      <c r="D85" s="1240">
        <f t="shared" si="2"/>
        <v>0.0010353652081212738</v>
      </c>
      <c r="E85" s="290">
        <f>Rashodi!T290</f>
        <v>0</v>
      </c>
      <c r="F85" s="290">
        <f t="shared" si="3"/>
        <v>500100</v>
      </c>
    </row>
    <row r="86" spans="1:6" ht="12.75" hidden="1">
      <c r="A86" s="293" t="s">
        <v>495</v>
      </c>
      <c r="B86" s="294" t="s">
        <v>496</v>
      </c>
      <c r="C86" s="290"/>
      <c r="D86" s="1240">
        <f t="shared" si="2"/>
        <v>0</v>
      </c>
      <c r="E86" s="290"/>
      <c r="F86" s="290">
        <f t="shared" si="3"/>
        <v>0</v>
      </c>
    </row>
    <row r="87" spans="1:6" ht="12.75">
      <c r="A87" s="293" t="s">
        <v>400</v>
      </c>
      <c r="B87" s="294" t="s">
        <v>497</v>
      </c>
      <c r="C87" s="290">
        <f>Rashodi!M299+Rashodi!M310</f>
        <v>25000000</v>
      </c>
      <c r="D87" s="1240">
        <f t="shared" si="2"/>
        <v>0.051757908824298836</v>
      </c>
      <c r="E87" s="290">
        <f>Rashodi!T299+Rashodi!T310</f>
        <v>0</v>
      </c>
      <c r="F87" s="290">
        <f t="shared" si="3"/>
        <v>25000000</v>
      </c>
    </row>
    <row r="88" spans="1:6" ht="12.75" hidden="1">
      <c r="A88" s="293" t="s">
        <v>498</v>
      </c>
      <c r="B88" s="294" t="s">
        <v>499</v>
      </c>
      <c r="C88" s="290"/>
      <c r="D88" s="1240">
        <f t="shared" si="2"/>
        <v>0</v>
      </c>
      <c r="E88" s="290"/>
      <c r="F88" s="290">
        <f t="shared" si="3"/>
        <v>0</v>
      </c>
    </row>
    <row r="89" spans="1:6" ht="25.5">
      <c r="A89" s="293" t="s">
        <v>500</v>
      </c>
      <c r="B89" s="294" t="s">
        <v>317</v>
      </c>
      <c r="C89" s="290">
        <f>Rashodi!M284</f>
        <v>6100000</v>
      </c>
      <c r="D89" s="1240">
        <f t="shared" si="2"/>
        <v>0.012628929753128916</v>
      </c>
      <c r="E89" s="290">
        <f>Rashodi!T284</f>
        <v>0</v>
      </c>
      <c r="F89" s="290">
        <f t="shared" si="3"/>
        <v>6100000</v>
      </c>
    </row>
    <row r="90" spans="1:6" ht="12.75">
      <c r="A90" s="729" t="s">
        <v>501</v>
      </c>
      <c r="B90" s="730" t="s">
        <v>502</v>
      </c>
      <c r="C90" s="728">
        <f>C91+C92+C93+C94</f>
        <v>41472000</v>
      </c>
      <c r="D90" s="660">
        <f t="shared" si="2"/>
        <v>0.08586015979045285</v>
      </c>
      <c r="E90" s="728">
        <f>E91+E92+E93+E94</f>
        <v>56100000</v>
      </c>
      <c r="F90" s="728">
        <f t="shared" si="3"/>
        <v>97572000</v>
      </c>
    </row>
    <row r="91" spans="1:6" ht="12.75">
      <c r="A91" s="293" t="s">
        <v>401</v>
      </c>
      <c r="B91" s="294" t="s">
        <v>503</v>
      </c>
      <c r="C91" s="290">
        <f>Rashodi!M335</f>
        <v>872000</v>
      </c>
      <c r="D91" s="1240">
        <f t="shared" si="2"/>
        <v>0.0018053158597915433</v>
      </c>
      <c r="E91" s="290">
        <f>Rashodi!T335</f>
        <v>0</v>
      </c>
      <c r="F91" s="290">
        <f t="shared" si="3"/>
        <v>872000</v>
      </c>
    </row>
    <row r="92" spans="1:6" ht="12.75">
      <c r="A92" s="293" t="s">
        <v>402</v>
      </c>
      <c r="B92" s="294" t="s">
        <v>504</v>
      </c>
      <c r="C92" s="290">
        <f>Rashodi!M330+Rashodi!M322+Rashodi!M319+Rashodi!M315+Rashodi!M276</f>
        <v>25600000</v>
      </c>
      <c r="D92" s="1240">
        <f t="shared" si="2"/>
        <v>0.053000098636082</v>
      </c>
      <c r="E92" s="290">
        <f>Rashodi!T330+Rashodi!T322+Rashodi!T319+Rashodi!T315+Rashodi!T276</f>
        <v>56100000</v>
      </c>
      <c r="F92" s="290">
        <f t="shared" si="3"/>
        <v>81700000</v>
      </c>
    </row>
    <row r="93" spans="1:6" ht="12.75">
      <c r="A93" s="293" t="s">
        <v>505</v>
      </c>
      <c r="B93" s="294" t="s">
        <v>506</v>
      </c>
      <c r="C93" s="290">
        <f>Rashodi!M305</f>
        <v>4200000</v>
      </c>
      <c r="D93" s="1240">
        <f t="shared" si="2"/>
        <v>0.008695328682482203</v>
      </c>
      <c r="E93" s="290">
        <f>Rashodi!T305</f>
        <v>0</v>
      </c>
      <c r="F93" s="290">
        <f t="shared" si="3"/>
        <v>4200000</v>
      </c>
    </row>
    <row r="94" spans="1:6" ht="12.75">
      <c r="A94" s="293" t="s">
        <v>507</v>
      </c>
      <c r="B94" s="294" t="s">
        <v>508</v>
      </c>
      <c r="C94" s="290">
        <f>Rashodi!M295</f>
        <v>10800000</v>
      </c>
      <c r="D94" s="1240">
        <f t="shared" si="2"/>
        <v>0.022359416612097095</v>
      </c>
      <c r="E94" s="290">
        <f>Rashodi!T295</f>
        <v>0</v>
      </c>
      <c r="F94" s="290">
        <f t="shared" si="3"/>
        <v>10800000</v>
      </c>
    </row>
    <row r="95" spans="1:6" ht="25.5" hidden="1">
      <c r="A95" s="293" t="s">
        <v>509</v>
      </c>
      <c r="B95" s="294" t="s">
        <v>510</v>
      </c>
      <c r="C95" s="290"/>
      <c r="D95" s="660">
        <f t="shared" si="2"/>
        <v>0</v>
      </c>
      <c r="E95" s="290"/>
      <c r="F95" s="290">
        <f t="shared" si="3"/>
        <v>0</v>
      </c>
    </row>
    <row r="96" spans="1:6" ht="12.75">
      <c r="A96" s="297">
        <v>700</v>
      </c>
      <c r="B96" s="298" t="s">
        <v>318</v>
      </c>
      <c r="C96" s="299">
        <f>SUM(C97:C113)</f>
        <v>16600000</v>
      </c>
      <c r="D96" s="660">
        <f t="shared" si="2"/>
        <v>0.034367251459334426</v>
      </c>
      <c r="E96" s="299">
        <f>SUM(E97:E113)</f>
        <v>0</v>
      </c>
      <c r="F96" s="299">
        <f t="shared" si="3"/>
        <v>16600000</v>
      </c>
    </row>
    <row r="97" spans="1:6" ht="12.75" hidden="1">
      <c r="A97" s="293" t="s">
        <v>511</v>
      </c>
      <c r="B97" s="294" t="s">
        <v>512</v>
      </c>
      <c r="C97" s="290"/>
      <c r="D97" s="660">
        <f t="shared" si="2"/>
        <v>0</v>
      </c>
      <c r="E97" s="290"/>
      <c r="F97" s="290">
        <f t="shared" si="3"/>
        <v>0</v>
      </c>
    </row>
    <row r="98" spans="1:6" ht="12.75" hidden="1">
      <c r="A98" s="293" t="s">
        <v>513</v>
      </c>
      <c r="B98" s="294" t="s">
        <v>319</v>
      </c>
      <c r="C98" s="290"/>
      <c r="D98" s="660">
        <f t="shared" si="2"/>
        <v>0</v>
      </c>
      <c r="E98" s="290"/>
      <c r="F98" s="290">
        <f t="shared" si="3"/>
        <v>0</v>
      </c>
    </row>
    <row r="99" spans="1:6" ht="12.75" hidden="1">
      <c r="A99" s="293" t="s">
        <v>514</v>
      </c>
      <c r="B99" s="294" t="s">
        <v>320</v>
      </c>
      <c r="C99" s="290"/>
      <c r="D99" s="660">
        <f t="shared" si="2"/>
        <v>0</v>
      </c>
      <c r="E99" s="290"/>
      <c r="F99" s="290">
        <f t="shared" si="3"/>
        <v>0</v>
      </c>
    </row>
    <row r="100" spans="1:6" ht="12.75" hidden="1">
      <c r="A100" s="293" t="s">
        <v>515</v>
      </c>
      <c r="B100" s="294" t="s">
        <v>321</v>
      </c>
      <c r="C100" s="290"/>
      <c r="D100" s="660">
        <f t="shared" si="2"/>
        <v>0</v>
      </c>
      <c r="E100" s="290"/>
      <c r="F100" s="290">
        <f t="shared" si="3"/>
        <v>0</v>
      </c>
    </row>
    <row r="101" spans="1:6" ht="12.75" hidden="1">
      <c r="A101" s="293" t="s">
        <v>516</v>
      </c>
      <c r="B101" s="294" t="s">
        <v>517</v>
      </c>
      <c r="C101" s="290"/>
      <c r="D101" s="660">
        <f t="shared" si="2"/>
        <v>0</v>
      </c>
      <c r="E101" s="290"/>
      <c r="F101" s="290">
        <f t="shared" si="3"/>
        <v>0</v>
      </c>
    </row>
    <row r="102" spans="1:6" ht="12.75">
      <c r="A102" s="293" t="s">
        <v>518</v>
      </c>
      <c r="B102" s="294" t="s">
        <v>322</v>
      </c>
      <c r="C102" s="290">
        <f>Rashodi!M259</f>
        <v>300000</v>
      </c>
      <c r="D102" s="1240">
        <f t="shared" si="2"/>
        <v>0.000621094905891586</v>
      </c>
      <c r="E102" s="290">
        <f>Rashodi!T259</f>
        <v>0</v>
      </c>
      <c r="F102" s="290">
        <f t="shared" si="3"/>
        <v>300000</v>
      </c>
    </row>
    <row r="103" spans="1:6" ht="12.75" hidden="1">
      <c r="A103" s="293" t="s">
        <v>519</v>
      </c>
      <c r="B103" s="294" t="s">
        <v>323</v>
      </c>
      <c r="C103" s="290"/>
      <c r="D103" s="1240">
        <f t="shared" si="2"/>
        <v>0</v>
      </c>
      <c r="E103" s="290"/>
      <c r="F103" s="290">
        <f t="shared" si="3"/>
        <v>0</v>
      </c>
    </row>
    <row r="104" spans="1:6" ht="12.75" hidden="1">
      <c r="A104" s="293" t="s">
        <v>520</v>
      </c>
      <c r="B104" s="294" t="s">
        <v>324</v>
      </c>
      <c r="C104" s="290"/>
      <c r="D104" s="1240">
        <f t="shared" si="2"/>
        <v>0</v>
      </c>
      <c r="E104" s="290"/>
      <c r="F104" s="290">
        <f t="shared" si="3"/>
        <v>0</v>
      </c>
    </row>
    <row r="105" spans="1:6" ht="12.75" hidden="1">
      <c r="A105" s="293" t="s">
        <v>521</v>
      </c>
      <c r="B105" s="294" t="s">
        <v>325</v>
      </c>
      <c r="C105" s="290"/>
      <c r="D105" s="1240">
        <f t="shared" si="2"/>
        <v>0</v>
      </c>
      <c r="E105" s="290"/>
      <c r="F105" s="290">
        <f t="shared" si="3"/>
        <v>0</v>
      </c>
    </row>
    <row r="106" spans="1:6" ht="12.75" hidden="1">
      <c r="A106" s="293" t="s">
        <v>522</v>
      </c>
      <c r="B106" s="294" t="s">
        <v>523</v>
      </c>
      <c r="C106" s="290"/>
      <c r="D106" s="1240">
        <f t="shared" si="2"/>
        <v>0</v>
      </c>
      <c r="E106" s="290"/>
      <c r="F106" s="290">
        <f t="shared" si="3"/>
        <v>0</v>
      </c>
    </row>
    <row r="107" spans="1:6" ht="12.75" hidden="1">
      <c r="A107" s="293" t="s">
        <v>524</v>
      </c>
      <c r="B107" s="294" t="s">
        <v>326</v>
      </c>
      <c r="C107" s="290"/>
      <c r="D107" s="1240">
        <f t="shared" si="2"/>
        <v>0</v>
      </c>
      <c r="E107" s="290"/>
      <c r="F107" s="290">
        <f t="shared" si="3"/>
        <v>0</v>
      </c>
    </row>
    <row r="108" spans="1:6" ht="12.75" hidden="1">
      <c r="A108" s="293" t="s">
        <v>525</v>
      </c>
      <c r="B108" s="294" t="s">
        <v>327</v>
      </c>
      <c r="C108" s="290"/>
      <c r="D108" s="1240">
        <f t="shared" si="2"/>
        <v>0</v>
      </c>
      <c r="E108" s="290"/>
      <c r="F108" s="290">
        <f t="shared" si="3"/>
        <v>0</v>
      </c>
    </row>
    <row r="109" spans="1:6" ht="12.75" hidden="1">
      <c r="A109" s="293" t="s">
        <v>526</v>
      </c>
      <c r="B109" s="294" t="s">
        <v>328</v>
      </c>
      <c r="C109" s="290"/>
      <c r="D109" s="1240">
        <f t="shared" si="2"/>
        <v>0</v>
      </c>
      <c r="E109" s="290"/>
      <c r="F109" s="290">
        <f t="shared" si="3"/>
        <v>0</v>
      </c>
    </row>
    <row r="110" spans="1:6" ht="12.75" hidden="1">
      <c r="A110" s="293" t="s">
        <v>527</v>
      </c>
      <c r="B110" s="294" t="s">
        <v>528</v>
      </c>
      <c r="C110" s="290"/>
      <c r="D110" s="1240">
        <f t="shared" si="2"/>
        <v>0</v>
      </c>
      <c r="E110" s="290"/>
      <c r="F110" s="290">
        <f t="shared" si="3"/>
        <v>0</v>
      </c>
    </row>
    <row r="111" spans="1:6" ht="12.75">
      <c r="A111" s="293" t="s">
        <v>529</v>
      </c>
      <c r="B111" s="294" t="s">
        <v>530</v>
      </c>
      <c r="C111" s="290">
        <f>Rashodi!M249</f>
        <v>16300000</v>
      </c>
      <c r="D111" s="1240">
        <f t="shared" si="2"/>
        <v>0.03374615655344284</v>
      </c>
      <c r="E111" s="290">
        <f>Rashodi!T249</f>
        <v>0</v>
      </c>
      <c r="F111" s="290">
        <f t="shared" si="3"/>
        <v>16300000</v>
      </c>
    </row>
    <row r="112" spans="1:6" ht="12.75" hidden="1">
      <c r="A112" s="293" t="s">
        <v>531</v>
      </c>
      <c r="B112" s="294" t="s">
        <v>532</v>
      </c>
      <c r="C112" s="290"/>
      <c r="D112" s="660">
        <f t="shared" si="2"/>
        <v>0</v>
      </c>
      <c r="E112" s="290"/>
      <c r="F112" s="290">
        <f t="shared" si="3"/>
        <v>0</v>
      </c>
    </row>
    <row r="113" spans="1:6" ht="12.75" hidden="1">
      <c r="A113" s="293" t="s">
        <v>67</v>
      </c>
      <c r="B113" s="294" t="s">
        <v>533</v>
      </c>
      <c r="C113" s="290"/>
      <c r="D113" s="660">
        <f t="shared" si="2"/>
        <v>0</v>
      </c>
      <c r="E113" s="290"/>
      <c r="F113" s="290">
        <f t="shared" si="3"/>
        <v>0</v>
      </c>
    </row>
    <row r="114" spans="1:6" ht="12.75">
      <c r="A114" s="291" t="s">
        <v>534</v>
      </c>
      <c r="B114" s="295" t="s">
        <v>329</v>
      </c>
      <c r="C114" s="287">
        <f>SUM(C115:C120)</f>
        <v>33367402</v>
      </c>
      <c r="D114" s="660">
        <f t="shared" si="2"/>
        <v>0.06908107801678906</v>
      </c>
      <c r="E114" s="287">
        <f>SUM(E115:E120)</f>
        <v>1098271</v>
      </c>
      <c r="F114" s="287">
        <f t="shared" si="3"/>
        <v>34465673</v>
      </c>
    </row>
    <row r="115" spans="1:6" ht="12.75">
      <c r="A115" s="293" t="s">
        <v>535</v>
      </c>
      <c r="B115" s="294" t="s">
        <v>536</v>
      </c>
      <c r="C115" s="290">
        <f>Rashodi!M140</f>
        <v>8201000</v>
      </c>
      <c r="D115" s="1240">
        <f t="shared" si="2"/>
        <v>0.016978664410722988</v>
      </c>
      <c r="E115" s="290">
        <f>Rashodi!T140</f>
        <v>0</v>
      </c>
      <c r="F115" s="290">
        <f t="shared" si="3"/>
        <v>8201000</v>
      </c>
    </row>
    <row r="116" spans="1:6" ht="12.75">
      <c r="A116" s="293" t="s">
        <v>537</v>
      </c>
      <c r="B116" s="294" t="s">
        <v>538</v>
      </c>
      <c r="C116" s="290">
        <f>Rashodi!M132+Rashodi!M403+Rashodi!M388</f>
        <v>20766402</v>
      </c>
      <c r="D116" s="1240">
        <f t="shared" si="2"/>
        <v>0.042993021652989474</v>
      </c>
      <c r="E116" s="290">
        <f>Rashodi!T132+Rashodi!T403+Rashodi!T388</f>
        <v>1098271</v>
      </c>
      <c r="F116" s="290">
        <f t="shared" si="3"/>
        <v>21864673</v>
      </c>
    </row>
    <row r="117" spans="1:6" ht="12.75">
      <c r="A117" s="293" t="s">
        <v>539</v>
      </c>
      <c r="B117" s="294" t="s">
        <v>540</v>
      </c>
      <c r="C117" s="290">
        <f>Rashodi!M136</f>
        <v>4400000</v>
      </c>
      <c r="D117" s="1240">
        <f t="shared" si="2"/>
        <v>0.009109391953076595</v>
      </c>
      <c r="E117" s="290">
        <f>Rashodi!T136</f>
        <v>0</v>
      </c>
      <c r="F117" s="290">
        <f t="shared" si="3"/>
        <v>4400000</v>
      </c>
    </row>
    <row r="118" spans="1:6" ht="12.75" hidden="1">
      <c r="A118" s="293" t="s">
        <v>541</v>
      </c>
      <c r="B118" s="294" t="s">
        <v>542</v>
      </c>
      <c r="C118" s="290"/>
      <c r="D118" s="660">
        <f t="shared" si="2"/>
        <v>0</v>
      </c>
      <c r="E118" s="290"/>
      <c r="F118" s="290">
        <f t="shared" si="3"/>
        <v>0</v>
      </c>
    </row>
    <row r="119" spans="1:6" ht="25.5" hidden="1">
      <c r="A119" s="293" t="s">
        <v>543</v>
      </c>
      <c r="B119" s="294" t="s">
        <v>544</v>
      </c>
      <c r="C119" s="290"/>
      <c r="D119" s="660">
        <f t="shared" si="2"/>
        <v>0</v>
      </c>
      <c r="E119" s="290"/>
      <c r="F119" s="290">
        <f t="shared" si="3"/>
        <v>0</v>
      </c>
    </row>
    <row r="120" spans="1:6" ht="25.5" hidden="1">
      <c r="A120" s="293" t="s">
        <v>545</v>
      </c>
      <c r="B120" s="294" t="s">
        <v>330</v>
      </c>
      <c r="C120" s="290"/>
      <c r="D120" s="660">
        <f t="shared" si="2"/>
        <v>0</v>
      </c>
      <c r="E120" s="290"/>
      <c r="F120" s="290">
        <f t="shared" si="3"/>
        <v>0</v>
      </c>
    </row>
    <row r="121" spans="1:6" ht="12.75">
      <c r="A121" s="300" t="s">
        <v>546</v>
      </c>
      <c r="B121" s="295" t="s">
        <v>331</v>
      </c>
      <c r="C121" s="287">
        <f>SUM(C122:C142)</f>
        <v>105129190</v>
      </c>
      <c r="D121" s="660">
        <f t="shared" si="2"/>
        <v>0.21765068123169554</v>
      </c>
      <c r="E121" s="287">
        <f>SUM(E122:E142)</f>
        <v>7792000</v>
      </c>
      <c r="F121" s="287">
        <f t="shared" si="3"/>
        <v>112921190</v>
      </c>
    </row>
    <row r="122" spans="1:6" ht="12.75" hidden="1">
      <c r="A122" s="293" t="s">
        <v>547</v>
      </c>
      <c r="B122" s="294" t="s">
        <v>548</v>
      </c>
      <c r="C122" s="290"/>
      <c r="D122" s="660">
        <f t="shared" si="2"/>
        <v>0</v>
      </c>
      <c r="E122" s="290"/>
      <c r="F122" s="290">
        <f t="shared" si="3"/>
        <v>0</v>
      </c>
    </row>
    <row r="123" spans="1:6" ht="12.75">
      <c r="A123" s="293" t="s">
        <v>549</v>
      </c>
      <c r="B123" s="294" t="s">
        <v>95</v>
      </c>
      <c r="C123" s="290">
        <f>Rashodi!M367</f>
        <v>64036000</v>
      </c>
      <c r="D123" s="1240">
        <f t="shared" si="2"/>
        <v>0.132574777978912</v>
      </c>
      <c r="E123" s="290">
        <f>Rashodi!T367</f>
        <v>7792000</v>
      </c>
      <c r="F123" s="290">
        <f t="shared" si="3"/>
        <v>71828000</v>
      </c>
    </row>
    <row r="124" spans="1:6" ht="12.75">
      <c r="A124" s="293" t="s">
        <v>387</v>
      </c>
      <c r="B124" s="294" t="s">
        <v>96</v>
      </c>
      <c r="C124" s="290">
        <f>Rashodi!M145+Rashodi!M160+Rashodi!M176</f>
        <v>35793190</v>
      </c>
      <c r="D124" s="1240">
        <f t="shared" si="2"/>
        <v>0.0741032265820322</v>
      </c>
      <c r="E124" s="290">
        <f>Rashodi!T145+Rashodi!T160+Rashodi!T176</f>
        <v>0</v>
      </c>
      <c r="F124" s="290">
        <f t="shared" si="3"/>
        <v>35793190</v>
      </c>
    </row>
    <row r="125" spans="1:6" ht="12.75" hidden="1">
      <c r="A125" s="293" t="s">
        <v>550</v>
      </c>
      <c r="B125" s="294" t="s">
        <v>332</v>
      </c>
      <c r="C125" s="290"/>
      <c r="D125" s="1240">
        <f t="shared" si="2"/>
        <v>0</v>
      </c>
      <c r="E125" s="290"/>
      <c r="F125" s="290">
        <f t="shared" si="3"/>
        <v>0</v>
      </c>
    </row>
    <row r="126" spans="1:6" ht="12.75" hidden="1">
      <c r="A126" s="293" t="s">
        <v>551</v>
      </c>
      <c r="B126" s="294" t="s">
        <v>333</v>
      </c>
      <c r="C126" s="290"/>
      <c r="D126" s="1240">
        <f t="shared" si="2"/>
        <v>0</v>
      </c>
      <c r="E126" s="290"/>
      <c r="F126" s="290">
        <f t="shared" si="3"/>
        <v>0</v>
      </c>
    </row>
    <row r="127" spans="1:6" ht="12.75" hidden="1">
      <c r="A127" s="293" t="s">
        <v>552</v>
      </c>
      <c r="B127" s="294" t="s">
        <v>334</v>
      </c>
      <c r="C127" s="290"/>
      <c r="D127" s="1240">
        <f t="shared" si="2"/>
        <v>0</v>
      </c>
      <c r="E127" s="290"/>
      <c r="F127" s="290">
        <f t="shared" si="3"/>
        <v>0</v>
      </c>
    </row>
    <row r="128" spans="1:6" ht="25.5" hidden="1">
      <c r="A128" s="293" t="s">
        <v>553</v>
      </c>
      <c r="B128" s="294" t="s">
        <v>335</v>
      </c>
      <c r="C128" s="290"/>
      <c r="D128" s="1240">
        <f t="shared" si="2"/>
        <v>0</v>
      </c>
      <c r="E128" s="290"/>
      <c r="F128" s="290">
        <f t="shared" si="3"/>
        <v>0</v>
      </c>
    </row>
    <row r="129" spans="1:6" ht="12.75">
      <c r="A129" s="293" t="s">
        <v>554</v>
      </c>
      <c r="B129" s="294" t="s">
        <v>555</v>
      </c>
      <c r="C129" s="290">
        <f>Rashodi!M193</f>
        <v>5300000</v>
      </c>
      <c r="D129" s="1240">
        <f t="shared" si="2"/>
        <v>0.010972676670751353</v>
      </c>
      <c r="E129" s="290">
        <f>Rashodi!T193</f>
        <v>0</v>
      </c>
      <c r="F129" s="290">
        <f t="shared" si="3"/>
        <v>5300000</v>
      </c>
    </row>
    <row r="130" spans="1:6" ht="12.75" hidden="1">
      <c r="A130" s="293" t="s">
        <v>556</v>
      </c>
      <c r="B130" s="294" t="s">
        <v>336</v>
      </c>
      <c r="C130" s="290"/>
      <c r="D130" s="660">
        <f t="shared" si="2"/>
        <v>0</v>
      </c>
      <c r="E130" s="290"/>
      <c r="F130" s="290">
        <f t="shared" si="3"/>
        <v>0</v>
      </c>
    </row>
    <row r="131" spans="1:6" ht="12.75" hidden="1">
      <c r="A131" s="293" t="s">
        <v>557</v>
      </c>
      <c r="B131" s="294" t="s">
        <v>337</v>
      </c>
      <c r="C131" s="290"/>
      <c r="D131" s="660">
        <f t="shared" si="2"/>
        <v>0</v>
      </c>
      <c r="E131" s="290"/>
      <c r="F131" s="290">
        <f t="shared" si="3"/>
        <v>0</v>
      </c>
    </row>
    <row r="132" spans="1:6" ht="12.75" hidden="1">
      <c r="A132" s="293" t="s">
        <v>558</v>
      </c>
      <c r="B132" s="294" t="s">
        <v>338</v>
      </c>
      <c r="C132" s="290"/>
      <c r="D132" s="660">
        <f t="shared" si="2"/>
        <v>0</v>
      </c>
      <c r="E132" s="290"/>
      <c r="F132" s="290">
        <f t="shared" si="3"/>
        <v>0</v>
      </c>
    </row>
    <row r="133" spans="1:6" ht="12.75" hidden="1">
      <c r="A133" s="293" t="s">
        <v>559</v>
      </c>
      <c r="B133" s="294" t="s">
        <v>560</v>
      </c>
      <c r="C133" s="290"/>
      <c r="D133" s="660">
        <f t="shared" si="2"/>
        <v>0</v>
      </c>
      <c r="E133" s="290"/>
      <c r="F133" s="290">
        <f t="shared" si="3"/>
        <v>0</v>
      </c>
    </row>
    <row r="134" spans="1:6" ht="12.75" hidden="1">
      <c r="A134" s="293" t="s">
        <v>561</v>
      </c>
      <c r="B134" s="294" t="s">
        <v>339</v>
      </c>
      <c r="C134" s="290"/>
      <c r="D134" s="660">
        <f t="shared" si="2"/>
        <v>0</v>
      </c>
      <c r="E134" s="290"/>
      <c r="F134" s="290">
        <f t="shared" si="3"/>
        <v>0</v>
      </c>
    </row>
    <row r="135" spans="1:6" ht="12.75" hidden="1">
      <c r="A135" s="293" t="s">
        <v>562</v>
      </c>
      <c r="B135" s="294" t="s">
        <v>340</v>
      </c>
      <c r="C135" s="290"/>
      <c r="D135" s="660">
        <f t="shared" si="2"/>
        <v>0</v>
      </c>
      <c r="E135" s="290"/>
      <c r="F135" s="290">
        <f t="shared" si="3"/>
        <v>0</v>
      </c>
    </row>
    <row r="136" spans="1:6" ht="12.75" hidden="1">
      <c r="A136" s="293" t="s">
        <v>563</v>
      </c>
      <c r="B136" s="294" t="s">
        <v>564</v>
      </c>
      <c r="C136" s="290"/>
      <c r="D136" s="660">
        <f aca="true" t="shared" si="4" ref="D136:D143">C136/483017969</f>
        <v>0</v>
      </c>
      <c r="E136" s="290"/>
      <c r="F136" s="290">
        <f aca="true" t="shared" si="5" ref="F136:F143">C136+E136</f>
        <v>0</v>
      </c>
    </row>
    <row r="137" spans="1:6" ht="12.75" hidden="1">
      <c r="A137" s="293" t="s">
        <v>565</v>
      </c>
      <c r="B137" s="294" t="s">
        <v>341</v>
      </c>
      <c r="C137" s="290"/>
      <c r="D137" s="660">
        <f t="shared" si="4"/>
        <v>0</v>
      </c>
      <c r="E137" s="290"/>
      <c r="F137" s="290">
        <f t="shared" si="5"/>
        <v>0</v>
      </c>
    </row>
    <row r="138" spans="1:6" ht="12.75" hidden="1">
      <c r="A138" s="293" t="s">
        <v>566</v>
      </c>
      <c r="B138" s="294" t="s">
        <v>567</v>
      </c>
      <c r="C138" s="290"/>
      <c r="D138" s="660">
        <f t="shared" si="4"/>
        <v>0</v>
      </c>
      <c r="E138" s="290"/>
      <c r="F138" s="290">
        <f t="shared" si="5"/>
        <v>0</v>
      </c>
    </row>
    <row r="139" spans="1:6" ht="12.75" hidden="1">
      <c r="A139" s="293" t="s">
        <v>568</v>
      </c>
      <c r="B139" s="294" t="s">
        <v>569</v>
      </c>
      <c r="C139" s="290"/>
      <c r="D139" s="660">
        <f t="shared" si="4"/>
        <v>0</v>
      </c>
      <c r="E139" s="290"/>
      <c r="F139" s="290">
        <f t="shared" si="5"/>
        <v>0</v>
      </c>
    </row>
    <row r="140" spans="1:6" ht="12.75" hidden="1">
      <c r="A140" s="293" t="s">
        <v>570</v>
      </c>
      <c r="B140" s="294" t="s">
        <v>571</v>
      </c>
      <c r="C140" s="290"/>
      <c r="D140" s="660">
        <f t="shared" si="4"/>
        <v>0</v>
      </c>
      <c r="E140" s="290"/>
      <c r="F140" s="290">
        <f t="shared" si="5"/>
        <v>0</v>
      </c>
    </row>
    <row r="141" spans="1:6" ht="12.75" hidden="1">
      <c r="A141" s="301" t="s">
        <v>572</v>
      </c>
      <c r="B141" s="289" t="s">
        <v>573</v>
      </c>
      <c r="C141" s="290"/>
      <c r="D141" s="660">
        <f t="shared" si="4"/>
        <v>0</v>
      </c>
      <c r="E141" s="290"/>
      <c r="F141" s="290">
        <f t="shared" si="5"/>
        <v>0</v>
      </c>
    </row>
    <row r="142" spans="1:6" ht="12.75" hidden="1">
      <c r="A142" s="1055" t="s">
        <v>68</v>
      </c>
      <c r="B142" s="1056" t="s">
        <v>109</v>
      </c>
      <c r="C142" s="1024"/>
      <c r="D142" s="660">
        <f t="shared" si="4"/>
        <v>0</v>
      </c>
      <c r="E142" s="1024"/>
      <c r="F142" s="1024">
        <f t="shared" si="5"/>
        <v>0</v>
      </c>
    </row>
    <row r="143" spans="1:6" ht="26.25" customHeight="1">
      <c r="A143" s="1057"/>
      <c r="B143" s="1058" t="s">
        <v>25</v>
      </c>
      <c r="C143" s="1025">
        <f>C121+C114+C96+C90+C83+C43+C36+C31+C14+C4</f>
        <v>483017969</v>
      </c>
      <c r="D143" s="1124">
        <f t="shared" si="4"/>
        <v>1</v>
      </c>
      <c r="E143" s="1025">
        <f>E121+E114+E96+E90+E83+E43+E36+E31+E14+E4</f>
        <v>177153221.25</v>
      </c>
      <c r="F143" s="1025">
        <f t="shared" si="5"/>
        <v>660171190.25</v>
      </c>
    </row>
    <row r="144" spans="1:6" ht="12.75">
      <c r="A144" s="302"/>
      <c r="B144" s="303"/>
      <c r="C144" s="304"/>
      <c r="D144" s="661"/>
      <c r="E144" s="304"/>
      <c r="F144" s="304"/>
    </row>
    <row r="145" ht="12.75">
      <c r="F145" s="331"/>
    </row>
    <row r="146" ht="12.75">
      <c r="C146" s="309"/>
    </row>
  </sheetData>
  <sheetProtection/>
  <mergeCells count="1">
    <mergeCell ref="A1:F1"/>
  </mergeCells>
  <conditionalFormatting sqref="C144 E144:F144">
    <cfRule type="cellIs" priority="1" dxfId="2" operator="notEqual" stopIfTrue="1">
      <formula>0</formula>
    </cfRule>
  </conditionalFormatting>
  <conditionalFormatting sqref="C144:F144">
    <cfRule type="cellIs" priority="2" dxfId="1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1"/>
  <sheetViews>
    <sheetView zoomScale="111" zoomScaleNormal="111" zoomScalePageLayoutView="0" workbookViewId="0" topLeftCell="A523">
      <selection activeCell="D614" sqref="D614"/>
    </sheetView>
  </sheetViews>
  <sheetFormatPr defaultColWidth="9.140625" defaultRowHeight="12.75"/>
  <cols>
    <col min="1" max="1" width="8.7109375" style="278" customWidth="1"/>
    <col min="2" max="2" width="11.7109375" style="278" customWidth="1"/>
    <col min="3" max="3" width="48.140625" style="307" customWidth="1"/>
    <col min="4" max="4" width="13.8515625" style="311" customWidth="1"/>
    <col min="5" max="5" width="13.28125" style="648" customWidth="1"/>
    <col min="6" max="6" width="12.7109375" style="1239" customWidth="1"/>
    <col min="7" max="7" width="13.57421875" style="311" customWidth="1"/>
    <col min="8" max="8" width="20.140625" style="278" customWidth="1"/>
    <col min="9" max="10" width="9.140625" style="278" customWidth="1"/>
    <col min="11" max="16384" width="9.140625" style="278" customWidth="1"/>
  </cols>
  <sheetData>
    <row r="1" spans="1:8" ht="15" customHeight="1">
      <c r="A1" s="1533" t="s">
        <v>808</v>
      </c>
      <c r="B1" s="1533"/>
      <c r="C1" s="1533"/>
      <c r="D1" s="1533"/>
      <c r="E1" s="1533"/>
      <c r="F1" s="1533"/>
      <c r="G1" s="1533"/>
      <c r="H1" s="1533"/>
    </row>
    <row r="2" spans="1:8" ht="15" customHeight="1">
      <c r="A2" s="1534" t="s">
        <v>807</v>
      </c>
      <c r="B2" s="1535"/>
      <c r="C2" s="1532" t="s">
        <v>853</v>
      </c>
      <c r="D2" s="1536" t="s">
        <v>15</v>
      </c>
      <c r="E2" s="1537" t="s">
        <v>11</v>
      </c>
      <c r="F2" s="1538" t="s">
        <v>12</v>
      </c>
      <c r="G2" s="1536" t="s">
        <v>13</v>
      </c>
      <c r="H2" s="1532" t="s">
        <v>855</v>
      </c>
    </row>
    <row r="3" spans="1:8" ht="42" customHeight="1">
      <c r="A3" s="929" t="s">
        <v>809</v>
      </c>
      <c r="B3" s="929" t="s">
        <v>852</v>
      </c>
      <c r="C3" s="1532"/>
      <c r="D3" s="1536"/>
      <c r="E3" s="1537"/>
      <c r="F3" s="1538"/>
      <c r="G3" s="1536"/>
      <c r="H3" s="1532"/>
    </row>
    <row r="4" spans="1:8" ht="12.75">
      <c r="A4" s="930" t="s">
        <v>14</v>
      </c>
      <c r="B4" s="930" t="s">
        <v>810</v>
      </c>
      <c r="C4" s="930" t="s">
        <v>315</v>
      </c>
      <c r="D4" s="931">
        <v>4</v>
      </c>
      <c r="E4" s="932"/>
      <c r="F4" s="1234">
        <v>6</v>
      </c>
      <c r="G4" s="931">
        <v>7</v>
      </c>
      <c r="H4" s="933">
        <v>8</v>
      </c>
    </row>
    <row r="5" spans="1:8" ht="12.75">
      <c r="A5" s="934" t="s">
        <v>291</v>
      </c>
      <c r="B5" s="935"/>
      <c r="C5" s="936" t="s">
        <v>1224</v>
      </c>
      <c r="D5" s="937">
        <f>SUM(D6:D16)</f>
        <v>19400000</v>
      </c>
      <c r="E5" s="938">
        <f>D5/483017969</f>
        <v>0.04016413724765589</v>
      </c>
      <c r="F5" s="1235">
        <f>SUM(F6:F16)</f>
        <v>54100000</v>
      </c>
      <c r="G5" s="937">
        <f>D5+F5</f>
        <v>73500000</v>
      </c>
      <c r="H5" s="939"/>
    </row>
    <row r="6" spans="1:8" ht="12.75">
      <c r="A6" s="933"/>
      <c r="B6" s="933" t="s">
        <v>304</v>
      </c>
      <c r="C6" s="940" t="s">
        <v>1225</v>
      </c>
      <c r="D6" s="941">
        <f>Rashodi!M318</f>
        <v>2000000</v>
      </c>
      <c r="E6" s="1242">
        <f aca="true" t="shared" si="0" ref="E6:E69">D6/483017969</f>
        <v>0.004140632705943907</v>
      </c>
      <c r="F6" s="1236">
        <f>Rashodi!T318</f>
        <v>3000000</v>
      </c>
      <c r="G6" s="941">
        <f aca="true" t="shared" si="1" ref="G6:G68">D6+F6</f>
        <v>5000000</v>
      </c>
      <c r="H6" s="942" t="s">
        <v>1150</v>
      </c>
    </row>
    <row r="7" spans="1:8" ht="12.75">
      <c r="A7" s="933"/>
      <c r="B7" s="933" t="s">
        <v>857</v>
      </c>
      <c r="C7" s="940" t="s">
        <v>1252</v>
      </c>
      <c r="D7" s="941">
        <f>Rashodi!M321</f>
        <v>17400000</v>
      </c>
      <c r="E7" s="1242">
        <f t="shared" si="0"/>
        <v>0.036023504541711986</v>
      </c>
      <c r="F7" s="1236">
        <f>Rashodi!T321</f>
        <v>51100000</v>
      </c>
      <c r="G7" s="941">
        <f t="shared" si="1"/>
        <v>68500000</v>
      </c>
      <c r="H7" s="942" t="s">
        <v>1150</v>
      </c>
    </row>
    <row r="8" spans="1:8" ht="12.75" hidden="1">
      <c r="A8" s="933"/>
      <c r="B8" s="933" t="s">
        <v>858</v>
      </c>
      <c r="C8" s="940">
        <f>_xlfn.IFERROR(VLOOKUP(B8,'[1]ПО КОРИСНИЦИМА'!$C$3:$J$11609,5,FALSE),"")</f>
      </c>
      <c r="D8" s="943"/>
      <c r="E8" s="938">
        <f t="shared" si="0"/>
        <v>0</v>
      </c>
      <c r="F8" s="1237"/>
      <c r="G8" s="941">
        <f t="shared" si="1"/>
        <v>0</v>
      </c>
      <c r="H8" s="942"/>
    </row>
    <row r="9" spans="1:8" ht="12.75" hidden="1">
      <c r="A9" s="933"/>
      <c r="B9" s="933" t="s">
        <v>859</v>
      </c>
      <c r="C9" s="940">
        <f>_xlfn.IFERROR(VLOOKUP(B9,'[1]ПО КОРИСНИЦИМА'!$C$3:$J$11609,5,FALSE),"")</f>
      </c>
      <c r="D9" s="943"/>
      <c r="E9" s="938">
        <f t="shared" si="0"/>
        <v>0</v>
      </c>
      <c r="F9" s="1237"/>
      <c r="G9" s="941">
        <f t="shared" si="1"/>
        <v>0</v>
      </c>
      <c r="H9" s="942"/>
    </row>
    <row r="10" spans="1:8" ht="12.75" hidden="1">
      <c r="A10" s="933"/>
      <c r="B10" s="933" t="s">
        <v>860</v>
      </c>
      <c r="C10" s="940">
        <f>_xlfn.IFERROR(VLOOKUP(B10,'[1]ПО КОРИСНИЦИМА'!$C$3:$J$11609,5,FALSE),"")</f>
      </c>
      <c r="D10" s="943"/>
      <c r="E10" s="938">
        <f t="shared" si="0"/>
        <v>0</v>
      </c>
      <c r="F10" s="1237"/>
      <c r="G10" s="941">
        <f t="shared" si="1"/>
        <v>0</v>
      </c>
      <c r="H10" s="942"/>
    </row>
    <row r="11" spans="1:8" ht="12.75" hidden="1">
      <c r="A11" s="933"/>
      <c r="B11" s="933" t="s">
        <v>861</v>
      </c>
      <c r="C11" s="940">
        <f>_xlfn.IFERROR(VLOOKUP(B11,'[1]ПО КОРИСНИЦИМА'!$C$3:$J$11609,5,FALSE),"")</f>
      </c>
      <c r="D11" s="943"/>
      <c r="E11" s="938">
        <f t="shared" si="0"/>
        <v>0</v>
      </c>
      <c r="F11" s="1237"/>
      <c r="G11" s="941">
        <f t="shared" si="1"/>
        <v>0</v>
      </c>
      <c r="H11" s="942"/>
    </row>
    <row r="12" spans="1:8" ht="12.75" hidden="1">
      <c r="A12" s="933"/>
      <c r="B12" s="933" t="s">
        <v>862</v>
      </c>
      <c r="C12" s="940">
        <f>_xlfn.IFERROR(VLOOKUP(B12,'[1]ПО КОРИСНИЦИМА'!$C$3:$J$11609,5,FALSE),"")</f>
      </c>
      <c r="D12" s="943"/>
      <c r="E12" s="938">
        <f t="shared" si="0"/>
        <v>0</v>
      </c>
      <c r="F12" s="1237"/>
      <c r="G12" s="941">
        <f t="shared" si="1"/>
        <v>0</v>
      </c>
      <c r="H12" s="942"/>
    </row>
    <row r="13" spans="1:8" ht="12.75" hidden="1">
      <c r="A13" s="933"/>
      <c r="B13" s="933" t="s">
        <v>863</v>
      </c>
      <c r="C13" s="940">
        <f>_xlfn.IFERROR(VLOOKUP(B13,'[1]ПО КОРИСНИЦИМА'!$C$3:$J$11609,5,FALSE),"")</f>
      </c>
      <c r="D13" s="943"/>
      <c r="E13" s="938">
        <f t="shared" si="0"/>
        <v>0</v>
      </c>
      <c r="F13" s="1237"/>
      <c r="G13" s="941">
        <f t="shared" si="1"/>
        <v>0</v>
      </c>
      <c r="H13" s="942"/>
    </row>
    <row r="14" spans="1:8" ht="12.75" hidden="1">
      <c r="A14" s="933"/>
      <c r="B14" s="933" t="s">
        <v>864</v>
      </c>
      <c r="C14" s="940">
        <f>_xlfn.IFERROR(VLOOKUP(B14,'[1]ПО КОРИСНИЦИМА'!$C$3:$J$11609,5,FALSE),"")</f>
      </c>
      <c r="D14" s="943"/>
      <c r="E14" s="938">
        <f t="shared" si="0"/>
        <v>0</v>
      </c>
      <c r="F14" s="1237"/>
      <c r="G14" s="941">
        <f t="shared" si="1"/>
        <v>0</v>
      </c>
      <c r="H14" s="942"/>
    </row>
    <row r="15" spans="1:8" ht="12.75" hidden="1">
      <c r="A15" s="933"/>
      <c r="B15" s="933" t="s">
        <v>865</v>
      </c>
      <c r="C15" s="940">
        <f>_xlfn.IFERROR(VLOOKUP(B15,'[1]ПО КОРИСНИЦИМА'!$C$3:$J$11609,5,FALSE),"")</f>
      </c>
      <c r="D15" s="943"/>
      <c r="E15" s="938">
        <f t="shared" si="0"/>
        <v>0</v>
      </c>
      <c r="F15" s="1237"/>
      <c r="G15" s="941">
        <f t="shared" si="1"/>
        <v>0</v>
      </c>
      <c r="H15" s="942"/>
    </row>
    <row r="16" spans="1:8" ht="12.75" hidden="1">
      <c r="A16" s="933"/>
      <c r="B16" s="933" t="s">
        <v>866</v>
      </c>
      <c r="C16" s="940">
        <f>_xlfn.IFERROR(VLOOKUP(B16,'[1]ПО КОРИСНИЦИМА'!$C$3:$J$11609,5,FALSE),"")</f>
      </c>
      <c r="D16" s="943"/>
      <c r="E16" s="938">
        <f t="shared" si="0"/>
        <v>0</v>
      </c>
      <c r="F16" s="1237"/>
      <c r="G16" s="941">
        <f t="shared" si="1"/>
        <v>0</v>
      </c>
      <c r="H16" s="942"/>
    </row>
    <row r="17" spans="1:8" ht="12.75" hidden="1">
      <c r="A17" s="933"/>
      <c r="B17" s="933" t="s">
        <v>867</v>
      </c>
      <c r="C17" s="940">
        <f>_xlfn.IFERROR(VLOOKUP(B17,'[1]ПО КОРИСНИЦИМА'!$C$3:$J$11609,5,FALSE),"")</f>
      </c>
      <c r="D17" s="943" t="e">
        <f>SUMIF('[1]ПО КОРИСНИЦИМА'!$G$3:$G$11609,"Свега за пројекат 1101-П10:",'[1]ПО КОРИСНИЦИМА'!$H$3:$H$11609)</f>
        <v>#VALUE!</v>
      </c>
      <c r="E17" s="938" t="e">
        <f t="shared" si="0"/>
        <v>#VALUE!</v>
      </c>
      <c r="F17" s="1237" t="e">
        <f>SUMIF('[1]ПО КОРИСНИЦИМА'!$G$3:$G$11609,"Свега за пројекат 1101-П10:",'[1]ПО КОРИСНИЦИМА'!$H$3:$H$11609)</f>
        <v>#VALUE!</v>
      </c>
      <c r="G17" s="941" t="e">
        <f t="shared" si="1"/>
        <v>#VALUE!</v>
      </c>
      <c r="H17" s="942"/>
    </row>
    <row r="18" spans="1:8" ht="12.75" hidden="1">
      <c r="A18" s="933"/>
      <c r="B18" s="933" t="s">
        <v>868</v>
      </c>
      <c r="C18" s="940">
        <f>_xlfn.IFERROR(VLOOKUP(B18,'[1]ПО КОРИСНИЦИМА'!$C$3:$J$11609,5,FALSE),"")</f>
      </c>
      <c r="D18" s="943" t="e">
        <f>SUMIF('[1]ПО КОРИСНИЦИМА'!$G$3:$G$11609,"Свега за пројекат 1101-П11:",'[1]ПО КОРИСНИЦИМА'!$H$3:$H$11609)</f>
        <v>#VALUE!</v>
      </c>
      <c r="E18" s="938" t="e">
        <f t="shared" si="0"/>
        <v>#VALUE!</v>
      </c>
      <c r="F18" s="1237" t="e">
        <f>SUMIF('[1]ПО КОРИСНИЦИМА'!$G$3:$G$11609,"Свега за пројекат 1101-П11:",'[1]ПО КОРИСНИЦИМА'!$H$3:$H$11609)</f>
        <v>#VALUE!</v>
      </c>
      <c r="G18" s="941" t="e">
        <f t="shared" si="1"/>
        <v>#VALUE!</v>
      </c>
      <c r="H18" s="942"/>
    </row>
    <row r="19" spans="1:8" ht="12.75" hidden="1">
      <c r="A19" s="933"/>
      <c r="B19" s="933" t="s">
        <v>869</v>
      </c>
      <c r="C19" s="940">
        <f>_xlfn.IFERROR(VLOOKUP(B19,'[1]ПО КОРИСНИЦИМА'!$C$3:$J$11609,5,FALSE),"")</f>
      </c>
      <c r="D19" s="943" t="e">
        <f>SUMIF('[1]ПО КОРИСНИЦИМА'!$G$3:$G$11609,"Свега за пројекат 1101-П12:",'[1]ПО КОРИСНИЦИМА'!$H$3:$H$11609)</f>
        <v>#VALUE!</v>
      </c>
      <c r="E19" s="938" t="e">
        <f t="shared" si="0"/>
        <v>#VALUE!</v>
      </c>
      <c r="F19" s="1237" t="e">
        <f>SUMIF('[1]ПО КОРИСНИЦИМА'!$G$3:$G$11609,"Свега за пројекат 1101-П12:",'[1]ПО КОРИСНИЦИМА'!$H$3:$H$11609)</f>
        <v>#VALUE!</v>
      </c>
      <c r="G19" s="941" t="e">
        <f t="shared" si="1"/>
        <v>#VALUE!</v>
      </c>
      <c r="H19" s="942"/>
    </row>
    <row r="20" spans="1:8" ht="12.75" hidden="1">
      <c r="A20" s="933"/>
      <c r="B20" s="933" t="s">
        <v>870</v>
      </c>
      <c r="C20" s="940">
        <f>_xlfn.IFERROR(VLOOKUP(B20,'[1]ПО КОРИСНИЦИМА'!$C$3:$J$11609,5,FALSE),"")</f>
      </c>
      <c r="D20" s="943" t="e">
        <f>SUMIF('[1]ПО КОРИСНИЦИМА'!$G$3:$G$11609,"Свега за пројекат 1101-П13:",'[1]ПО КОРИСНИЦИМА'!$H$3:$H$11609)</f>
        <v>#VALUE!</v>
      </c>
      <c r="E20" s="938" t="e">
        <f t="shared" si="0"/>
        <v>#VALUE!</v>
      </c>
      <c r="F20" s="1237" t="e">
        <f>SUMIF('[1]ПО КОРИСНИЦИМА'!$G$3:$G$11609,"Свега за пројекат 1101-П13:",'[1]ПО КОРИСНИЦИМА'!$H$3:$H$11609)</f>
        <v>#VALUE!</v>
      </c>
      <c r="G20" s="941" t="e">
        <f t="shared" si="1"/>
        <v>#VALUE!</v>
      </c>
      <c r="H20" s="942"/>
    </row>
    <row r="21" spans="1:8" ht="12.75" hidden="1">
      <c r="A21" s="933"/>
      <c r="B21" s="933" t="s">
        <v>871</v>
      </c>
      <c r="C21" s="940">
        <f>_xlfn.IFERROR(VLOOKUP(B21,'[1]ПО КОРИСНИЦИМА'!$C$3:$J$11609,5,FALSE),"")</f>
      </c>
      <c r="D21" s="943" t="e">
        <f>SUMIF('[1]ПО КОРИСНИЦИМА'!$G$3:$G$11609,"Свега за пројекат 1101-П14:",'[1]ПО КОРИСНИЦИМА'!$H$3:$H$11609)</f>
        <v>#VALUE!</v>
      </c>
      <c r="E21" s="938" t="e">
        <f t="shared" si="0"/>
        <v>#VALUE!</v>
      </c>
      <c r="F21" s="1237" t="e">
        <f>SUMIF('[1]ПО КОРИСНИЦИМА'!$G$3:$G$11609,"Свега за пројекат 1101-П14:",'[1]ПО КОРИСНИЦИМА'!$H$3:$H$11609)</f>
        <v>#VALUE!</v>
      </c>
      <c r="G21" s="941" t="e">
        <f t="shared" si="1"/>
        <v>#VALUE!</v>
      </c>
      <c r="H21" s="942"/>
    </row>
    <row r="22" spans="1:8" ht="12.75" hidden="1">
      <c r="A22" s="933"/>
      <c r="B22" s="933" t="s">
        <v>872</v>
      </c>
      <c r="C22" s="940">
        <f>_xlfn.IFERROR(VLOOKUP(B22,'[1]ПО КОРИСНИЦИМА'!$C$3:$J$11609,5,FALSE),"")</f>
      </c>
      <c r="D22" s="943" t="e">
        <f>SUMIF('[1]ПО КОРИСНИЦИМА'!$G$3:$G$11609,"Свега за пројекат 1101-П15:",'[1]ПО КОРИСНИЦИМА'!$H$3:$H$11609)</f>
        <v>#VALUE!</v>
      </c>
      <c r="E22" s="938" t="e">
        <f t="shared" si="0"/>
        <v>#VALUE!</v>
      </c>
      <c r="F22" s="1237" t="e">
        <f>SUMIF('[1]ПО КОРИСНИЦИМА'!$G$3:$G$11609,"Свега за пројекат 1101-П15:",'[1]ПО КОРИСНИЦИМА'!$H$3:$H$11609)</f>
        <v>#VALUE!</v>
      </c>
      <c r="G22" s="941" t="e">
        <f t="shared" si="1"/>
        <v>#VALUE!</v>
      </c>
      <c r="H22" s="942"/>
    </row>
    <row r="23" spans="1:8" ht="12.75" hidden="1">
      <c r="A23" s="933"/>
      <c r="B23" s="933" t="s">
        <v>873</v>
      </c>
      <c r="C23" s="940">
        <f>_xlfn.IFERROR(VLOOKUP(B23,'[1]ПО КОРИСНИЦИМА'!$C$3:$J$11609,5,FALSE),"")</f>
      </c>
      <c r="D23" s="943" t="e">
        <f>SUMIF('[1]ПО КОРИСНИЦИМА'!$G$3:$G$11609,"Свега за пројекат 1101-П16:",'[1]ПО КОРИСНИЦИМА'!$H$3:$H$11609)</f>
        <v>#VALUE!</v>
      </c>
      <c r="E23" s="938" t="e">
        <f t="shared" si="0"/>
        <v>#VALUE!</v>
      </c>
      <c r="F23" s="1237" t="e">
        <f>SUMIF('[1]ПО КОРИСНИЦИМА'!$G$3:$G$11609,"Свега за пројекат 1101-П16:",'[1]ПО КОРИСНИЦИМА'!$H$3:$H$11609)</f>
        <v>#VALUE!</v>
      </c>
      <c r="G23" s="941" t="e">
        <f t="shared" si="1"/>
        <v>#VALUE!</v>
      </c>
      <c r="H23" s="942"/>
    </row>
    <row r="24" spans="1:8" ht="12.75" hidden="1">
      <c r="A24" s="933"/>
      <c r="B24" s="933" t="s">
        <v>874</v>
      </c>
      <c r="C24" s="940">
        <f>_xlfn.IFERROR(VLOOKUP(B24,'[1]ПО КОРИСНИЦИМА'!$C$3:$J$11609,5,FALSE),"")</f>
      </c>
      <c r="D24" s="943" t="e">
        <f>SUMIF('[1]ПО КОРИСНИЦИМА'!$G$3:$G$11609,"Свега за пројекат 1101-П17:",'[1]ПО КОРИСНИЦИМА'!$H$3:$H$11609)</f>
        <v>#VALUE!</v>
      </c>
      <c r="E24" s="938" t="e">
        <f t="shared" si="0"/>
        <v>#VALUE!</v>
      </c>
      <c r="F24" s="1237" t="e">
        <f>SUMIF('[1]ПО КОРИСНИЦИМА'!$G$3:$G$11609,"Свега за пројекат 1101-П17:",'[1]ПО КОРИСНИЦИМА'!$H$3:$H$11609)</f>
        <v>#VALUE!</v>
      </c>
      <c r="G24" s="941" t="e">
        <f t="shared" si="1"/>
        <v>#VALUE!</v>
      </c>
      <c r="H24" s="942"/>
    </row>
    <row r="25" spans="1:8" ht="12.75" hidden="1">
      <c r="A25" s="933"/>
      <c r="B25" s="933" t="s">
        <v>875</v>
      </c>
      <c r="C25" s="940">
        <f>_xlfn.IFERROR(VLOOKUP(B25,'[1]ПО КОРИСНИЦИМА'!$C$3:$J$11609,5,FALSE),"")</f>
      </c>
      <c r="D25" s="943" t="e">
        <f>SUMIF('[1]ПО КОРИСНИЦИМА'!$G$3:$G$11609,"Свега за пројекат 1101-П18:",'[1]ПО КОРИСНИЦИМА'!$H$3:$H$11609)</f>
        <v>#VALUE!</v>
      </c>
      <c r="E25" s="938" t="e">
        <f t="shared" si="0"/>
        <v>#VALUE!</v>
      </c>
      <c r="F25" s="1237" t="e">
        <f>SUMIF('[1]ПО КОРИСНИЦИМА'!$G$3:$G$11609,"Свега за пројекат 1101-П18:",'[1]ПО КОРИСНИЦИМА'!$H$3:$H$11609)</f>
        <v>#VALUE!</v>
      </c>
      <c r="G25" s="941" t="e">
        <f t="shared" si="1"/>
        <v>#VALUE!</v>
      </c>
      <c r="H25" s="942"/>
    </row>
    <row r="26" spans="1:8" ht="12.75" hidden="1">
      <c r="A26" s="933"/>
      <c r="B26" s="933" t="s">
        <v>876</v>
      </c>
      <c r="C26" s="940">
        <f>_xlfn.IFERROR(VLOOKUP(B26,'[1]ПО КОРИСНИЦИМА'!$C$3:$J$11609,5,FALSE),"")</f>
      </c>
      <c r="D26" s="943" t="e">
        <f>SUMIF('[1]ПО КОРИСНИЦИМА'!$G$3:$G$11609,"Свега за пројекат 1101-П19:",'[1]ПО КОРИСНИЦИМА'!$H$3:$H$11609)</f>
        <v>#VALUE!</v>
      </c>
      <c r="E26" s="938" t="e">
        <f t="shared" si="0"/>
        <v>#VALUE!</v>
      </c>
      <c r="F26" s="1237" t="e">
        <f>SUMIF('[1]ПО КОРИСНИЦИМА'!$G$3:$G$11609,"Свега за пројекат 1101-П19:",'[1]ПО КОРИСНИЦИМА'!$H$3:$H$11609)</f>
        <v>#VALUE!</v>
      </c>
      <c r="G26" s="941" t="e">
        <f t="shared" si="1"/>
        <v>#VALUE!</v>
      </c>
      <c r="H26" s="942"/>
    </row>
    <row r="27" spans="1:8" ht="12.75" hidden="1">
      <c r="A27" s="933"/>
      <c r="B27" s="933" t="s">
        <v>877</v>
      </c>
      <c r="C27" s="940">
        <f>_xlfn.IFERROR(VLOOKUP(B27,'[1]ПО КОРИСНИЦИМА'!$C$3:$J$11609,5,FALSE),"")</f>
      </c>
      <c r="D27" s="943" t="e">
        <f>SUMIF('[1]ПО КОРИСНИЦИМА'!$G$3:$G$11609,"Свега за пројекат 1101-П20:",'[1]ПО КОРИСНИЦИМА'!$H$3:$H$11609)</f>
        <v>#VALUE!</v>
      </c>
      <c r="E27" s="938" t="e">
        <f t="shared" si="0"/>
        <v>#VALUE!</v>
      </c>
      <c r="F27" s="1237" t="e">
        <f>SUMIF('[1]ПО КОРИСНИЦИМА'!$G$3:$G$11609,"Свега за пројекат 1101-П20:",'[1]ПО КОРИСНИЦИМА'!$H$3:$H$11609)</f>
        <v>#VALUE!</v>
      </c>
      <c r="G27" s="941" t="e">
        <f t="shared" si="1"/>
        <v>#VALUE!</v>
      </c>
      <c r="H27" s="942"/>
    </row>
    <row r="28" spans="1:8" ht="12.75" hidden="1">
      <c r="A28" s="933"/>
      <c r="B28" s="933" t="s">
        <v>878</v>
      </c>
      <c r="C28" s="940">
        <f>_xlfn.IFERROR(VLOOKUP(B28,'[1]ПО КОРИСНИЦИМА'!$C$3:$J$11609,5,FALSE),"")</f>
      </c>
      <c r="D28" s="943" t="e">
        <f>SUMIF('[1]ПО КОРИСНИЦИМА'!$G$3:$G$11609,"Свега за пројекат 1101-П21:",'[1]ПО КОРИСНИЦИМА'!$H$3:$H$11609)</f>
        <v>#VALUE!</v>
      </c>
      <c r="E28" s="938" t="e">
        <f t="shared" si="0"/>
        <v>#VALUE!</v>
      </c>
      <c r="F28" s="1237" t="e">
        <f>SUMIF('[1]ПО КОРИСНИЦИМА'!$G$3:$G$11609,"Свега за пројекат 1101-П21:",'[1]ПО КОРИСНИЦИМА'!$H$3:$H$11609)</f>
        <v>#VALUE!</v>
      </c>
      <c r="G28" s="941" t="e">
        <f t="shared" si="1"/>
        <v>#VALUE!</v>
      </c>
      <c r="H28" s="942"/>
    </row>
    <row r="29" spans="1:8" ht="12.75" hidden="1">
      <c r="A29" s="933"/>
      <c r="B29" s="933" t="s">
        <v>879</v>
      </c>
      <c r="C29" s="940">
        <f>_xlfn.IFERROR(VLOOKUP(B29,'[1]ПО КОРИСНИЦИМА'!$C$3:$J$11609,5,FALSE),"")</f>
      </c>
      <c r="D29" s="943" t="e">
        <f>SUMIF('[1]ПО КОРИСНИЦИМА'!$G$3:$G$11609,"Свега за пројекат 1101-П22:",'[1]ПО КОРИСНИЦИМА'!$H$3:$H$11609)</f>
        <v>#VALUE!</v>
      </c>
      <c r="E29" s="938" t="e">
        <f t="shared" si="0"/>
        <v>#VALUE!</v>
      </c>
      <c r="F29" s="1237" t="e">
        <f>SUMIF('[1]ПО КОРИСНИЦИМА'!$G$3:$G$11609,"Свега за пројекат 1101-П22:",'[1]ПО КОРИСНИЦИМА'!$H$3:$H$11609)</f>
        <v>#VALUE!</v>
      </c>
      <c r="G29" s="941" t="e">
        <f t="shared" si="1"/>
        <v>#VALUE!</v>
      </c>
      <c r="H29" s="942"/>
    </row>
    <row r="30" spans="1:8" ht="12.75" hidden="1">
      <c r="A30" s="933"/>
      <c r="B30" s="933" t="s">
        <v>880</v>
      </c>
      <c r="C30" s="940">
        <f>_xlfn.IFERROR(VLOOKUP(B30,'[1]ПО КОРИСНИЦИМА'!$C$3:$J$11609,5,FALSE),"")</f>
      </c>
      <c r="D30" s="943" t="e">
        <f>SUMIF('[1]ПО КОРИСНИЦИМА'!$G$3:$G$11609,"Свега за пројекат 1101-П23:",'[1]ПО КОРИСНИЦИМА'!$H$3:$H$11609)</f>
        <v>#VALUE!</v>
      </c>
      <c r="E30" s="938" t="e">
        <f t="shared" si="0"/>
        <v>#VALUE!</v>
      </c>
      <c r="F30" s="1237" t="e">
        <f>SUMIF('[1]ПО КОРИСНИЦИМА'!$G$3:$G$11609,"Свега за пројекат 1101-П23:",'[1]ПО КОРИСНИЦИМА'!$H$3:$H$11609)</f>
        <v>#VALUE!</v>
      </c>
      <c r="G30" s="941" t="e">
        <f t="shared" si="1"/>
        <v>#VALUE!</v>
      </c>
      <c r="H30" s="942"/>
    </row>
    <row r="31" spans="1:8" ht="12.75" hidden="1">
      <c r="A31" s="933"/>
      <c r="B31" s="933" t="s">
        <v>881</v>
      </c>
      <c r="C31" s="940">
        <f>_xlfn.IFERROR(VLOOKUP(B31,'[1]ПО КОРИСНИЦИМА'!$C$3:$J$11609,5,FALSE),"")</f>
      </c>
      <c r="D31" s="943" t="e">
        <f>SUMIF('[1]ПО КОРИСНИЦИМА'!$G$3:$G$11609,"Свега за пројекат 1101-П24:",'[1]ПО КОРИСНИЦИМА'!$H$3:$H$11609)</f>
        <v>#VALUE!</v>
      </c>
      <c r="E31" s="938" t="e">
        <f t="shared" si="0"/>
        <v>#VALUE!</v>
      </c>
      <c r="F31" s="1237" t="e">
        <f>SUMIF('[1]ПО КОРИСНИЦИМА'!$G$3:$G$11609,"Свега за пројекат 1101-П24:",'[1]ПО КОРИСНИЦИМА'!$H$3:$H$11609)</f>
        <v>#VALUE!</v>
      </c>
      <c r="G31" s="941" t="e">
        <f t="shared" si="1"/>
        <v>#VALUE!</v>
      </c>
      <c r="H31" s="942"/>
    </row>
    <row r="32" spans="1:8" ht="12.75">
      <c r="A32" s="934" t="s">
        <v>1223</v>
      </c>
      <c r="B32" s="935"/>
      <c r="C32" s="936" t="s">
        <v>1146</v>
      </c>
      <c r="D32" s="937">
        <f>SUM(D33:D43)</f>
        <v>42200000</v>
      </c>
      <c r="E32" s="938">
        <f t="shared" si="0"/>
        <v>0.08736735009541644</v>
      </c>
      <c r="F32" s="1235">
        <f>SUM(F33:F43)</f>
        <v>0</v>
      </c>
      <c r="G32" s="937">
        <f t="shared" si="1"/>
        <v>42200000</v>
      </c>
      <c r="H32" s="939"/>
    </row>
    <row r="33" spans="1:8" ht="12.75">
      <c r="A33" s="933"/>
      <c r="B33" s="933" t="s">
        <v>1218</v>
      </c>
      <c r="C33" s="944" t="s">
        <v>1298</v>
      </c>
      <c r="D33" s="941">
        <f>Rashodi!M294</f>
        <v>10800000</v>
      </c>
      <c r="E33" s="1242">
        <f t="shared" si="0"/>
        <v>0.022359416612097095</v>
      </c>
      <c r="F33" s="1236">
        <f>Rashodi!T294</f>
        <v>0</v>
      </c>
      <c r="G33" s="941">
        <f t="shared" si="1"/>
        <v>10800000</v>
      </c>
      <c r="H33" s="942" t="s">
        <v>1150</v>
      </c>
    </row>
    <row r="34" spans="1:8" ht="12.75" hidden="1">
      <c r="A34" s="933"/>
      <c r="B34" s="933" t="s">
        <v>811</v>
      </c>
      <c r="C34" s="944" t="s">
        <v>812</v>
      </c>
      <c r="D34" s="941"/>
      <c r="E34" s="1242">
        <f t="shared" si="0"/>
        <v>0</v>
      </c>
      <c r="F34" s="1236"/>
      <c r="G34" s="941">
        <f t="shared" si="1"/>
        <v>0</v>
      </c>
      <c r="H34" s="942"/>
    </row>
    <row r="35" spans="1:8" ht="12.75" hidden="1">
      <c r="A35" s="933"/>
      <c r="B35" s="933" t="s">
        <v>813</v>
      </c>
      <c r="C35" s="944" t="s">
        <v>814</v>
      </c>
      <c r="D35" s="941"/>
      <c r="E35" s="1242">
        <f t="shared" si="0"/>
        <v>0</v>
      </c>
      <c r="F35" s="1236"/>
      <c r="G35" s="941">
        <f t="shared" si="1"/>
        <v>0</v>
      </c>
      <c r="H35" s="942"/>
    </row>
    <row r="36" spans="1:8" ht="12.75" hidden="1">
      <c r="A36" s="933"/>
      <c r="B36" s="933" t="s">
        <v>815</v>
      </c>
      <c r="C36" s="944" t="s">
        <v>816</v>
      </c>
      <c r="D36" s="941"/>
      <c r="E36" s="1242">
        <f t="shared" si="0"/>
        <v>0</v>
      </c>
      <c r="F36" s="1236"/>
      <c r="G36" s="941">
        <f t="shared" si="1"/>
        <v>0</v>
      </c>
      <c r="H36" s="942"/>
    </row>
    <row r="37" spans="1:8" ht="12.75" hidden="1">
      <c r="A37" s="933"/>
      <c r="B37" s="933" t="s">
        <v>817</v>
      </c>
      <c r="C37" s="944" t="s">
        <v>818</v>
      </c>
      <c r="D37" s="941"/>
      <c r="E37" s="1242">
        <f t="shared" si="0"/>
        <v>0</v>
      </c>
      <c r="F37" s="1236"/>
      <c r="G37" s="941">
        <f t="shared" si="1"/>
        <v>0</v>
      </c>
      <c r="H37" s="942"/>
    </row>
    <row r="38" spans="1:8" ht="12.75" hidden="1">
      <c r="A38" s="933"/>
      <c r="B38" s="933" t="s">
        <v>819</v>
      </c>
      <c r="C38" s="944" t="s">
        <v>575</v>
      </c>
      <c r="D38" s="941"/>
      <c r="E38" s="1242">
        <f t="shared" si="0"/>
        <v>0</v>
      </c>
      <c r="F38" s="1236"/>
      <c r="G38" s="941">
        <f t="shared" si="1"/>
        <v>0</v>
      </c>
      <c r="H38" s="942"/>
    </row>
    <row r="39" spans="1:8" ht="12.75">
      <c r="A39" s="933"/>
      <c r="B39" s="933" t="s">
        <v>1219</v>
      </c>
      <c r="C39" s="944" t="s">
        <v>1216</v>
      </c>
      <c r="D39" s="962">
        <f>Rashodi!M298</f>
        <v>20000000</v>
      </c>
      <c r="E39" s="1242">
        <f t="shared" si="0"/>
        <v>0.041406327059439064</v>
      </c>
      <c r="F39" s="969">
        <f>Rashodi!T298</f>
        <v>0</v>
      </c>
      <c r="G39" s="941">
        <f t="shared" si="1"/>
        <v>20000000</v>
      </c>
      <c r="H39" s="942" t="s">
        <v>1150</v>
      </c>
    </row>
    <row r="40" spans="1:8" ht="12.75">
      <c r="A40" s="933"/>
      <c r="B40" s="933" t="s">
        <v>1220</v>
      </c>
      <c r="C40" s="945" t="s">
        <v>1242</v>
      </c>
      <c r="D40" s="946">
        <f>Rashodi!M314</f>
        <v>2200000</v>
      </c>
      <c r="E40" s="1242">
        <f t="shared" si="0"/>
        <v>0.004554695976538297</v>
      </c>
      <c r="F40" s="946">
        <f>Rashodi!T314</f>
        <v>0</v>
      </c>
      <c r="G40" s="941">
        <f t="shared" si="1"/>
        <v>2200000</v>
      </c>
      <c r="H40" s="942" t="s">
        <v>1253</v>
      </c>
    </row>
    <row r="41" spans="1:8" ht="12.75">
      <c r="A41" s="933"/>
      <c r="B41" s="933" t="s">
        <v>1222</v>
      </c>
      <c r="C41" s="944" t="s">
        <v>1217</v>
      </c>
      <c r="D41" s="962">
        <f>Rashodi!M309</f>
        <v>5000000</v>
      </c>
      <c r="E41" s="1242">
        <f t="shared" si="0"/>
        <v>0.010351581764859766</v>
      </c>
      <c r="F41" s="969">
        <f>Rashodi!T309</f>
        <v>0</v>
      </c>
      <c r="G41" s="941">
        <f t="shared" si="1"/>
        <v>5000000</v>
      </c>
      <c r="H41" s="942" t="s">
        <v>1150</v>
      </c>
    </row>
    <row r="42" spans="1:8" ht="12.75">
      <c r="A42" s="933"/>
      <c r="B42" s="933" t="s">
        <v>1221</v>
      </c>
      <c r="C42" s="945" t="s">
        <v>1299</v>
      </c>
      <c r="D42" s="946">
        <f>Rashodi!M304</f>
        <v>4200000</v>
      </c>
      <c r="E42" s="1242">
        <f t="shared" si="0"/>
        <v>0.008695328682482203</v>
      </c>
      <c r="F42" s="946">
        <f>Rashodi!T304</f>
        <v>0</v>
      </c>
      <c r="G42" s="941">
        <f t="shared" si="1"/>
        <v>4200000</v>
      </c>
      <c r="H42" s="942" t="s">
        <v>1150</v>
      </c>
    </row>
    <row r="43" spans="1:8" ht="12.75" hidden="1">
      <c r="A43" s="933"/>
      <c r="B43" s="933" t="s">
        <v>820</v>
      </c>
      <c r="C43" s="944"/>
      <c r="D43" s="941"/>
      <c r="E43" s="938">
        <f t="shared" si="0"/>
        <v>0</v>
      </c>
      <c r="F43" s="1236"/>
      <c r="G43" s="941">
        <f t="shared" si="1"/>
        <v>0</v>
      </c>
      <c r="H43" s="942"/>
    </row>
    <row r="44" spans="1:8" ht="12.75" hidden="1">
      <c r="A44" s="933"/>
      <c r="B44" s="933" t="s">
        <v>821</v>
      </c>
      <c r="C44" s="944" t="s">
        <v>822</v>
      </c>
      <c r="D44" s="941"/>
      <c r="E44" s="938">
        <f t="shared" si="0"/>
        <v>0</v>
      </c>
      <c r="F44" s="1236"/>
      <c r="G44" s="941">
        <f t="shared" si="1"/>
        <v>0</v>
      </c>
      <c r="H44" s="942"/>
    </row>
    <row r="45" spans="1:8" ht="12.75" hidden="1">
      <c r="A45" s="933"/>
      <c r="B45" s="933"/>
      <c r="C45" s="944"/>
      <c r="D45" s="941"/>
      <c r="E45" s="938">
        <f t="shared" si="0"/>
        <v>0</v>
      </c>
      <c r="F45" s="1236"/>
      <c r="G45" s="941">
        <f t="shared" si="1"/>
        <v>0</v>
      </c>
      <c r="H45" s="942" t="s">
        <v>1150</v>
      </c>
    </row>
    <row r="46" spans="1:8" ht="12.75" hidden="1">
      <c r="A46" s="933"/>
      <c r="B46" s="933"/>
      <c r="C46" s="944"/>
      <c r="D46" s="941"/>
      <c r="E46" s="938">
        <f t="shared" si="0"/>
        <v>0</v>
      </c>
      <c r="F46" s="1236"/>
      <c r="G46" s="941">
        <f t="shared" si="1"/>
        <v>0</v>
      </c>
      <c r="H46" s="942" t="s">
        <v>1150</v>
      </c>
    </row>
    <row r="47" spans="1:8" ht="12.75" hidden="1">
      <c r="A47" s="933"/>
      <c r="B47" s="933"/>
      <c r="C47" s="944"/>
      <c r="D47" s="941"/>
      <c r="E47" s="938">
        <f t="shared" si="0"/>
        <v>0</v>
      </c>
      <c r="F47" s="1236"/>
      <c r="G47" s="941">
        <f t="shared" si="1"/>
        <v>0</v>
      </c>
      <c r="H47" s="942" t="s">
        <v>1150</v>
      </c>
    </row>
    <row r="48" spans="1:8" ht="12.75" hidden="1">
      <c r="A48" s="933"/>
      <c r="B48" s="933"/>
      <c r="C48" s="947"/>
      <c r="D48" s="943"/>
      <c r="E48" s="938">
        <f t="shared" si="0"/>
        <v>0</v>
      </c>
      <c r="F48" s="1237"/>
      <c r="G48" s="941">
        <f t="shared" si="1"/>
        <v>0</v>
      </c>
      <c r="H48" s="942" t="s">
        <v>1150</v>
      </c>
    </row>
    <row r="49" spans="1:8" ht="12.75" hidden="1">
      <c r="A49" s="933"/>
      <c r="B49" s="933" t="s">
        <v>882</v>
      </c>
      <c r="C49" s="940">
        <f>_xlfn.IFERROR(VLOOKUP(B49,'[1]ПО КОРИСНИЦИМА'!$C$3:$J$11609,5,FALSE),"")</f>
      </c>
      <c r="D49" s="943"/>
      <c r="E49" s="938">
        <f t="shared" si="0"/>
        <v>0</v>
      </c>
      <c r="F49" s="1237"/>
      <c r="G49" s="941">
        <f t="shared" si="1"/>
        <v>0</v>
      </c>
      <c r="H49" s="942"/>
    </row>
    <row r="50" spans="1:8" ht="12.75" hidden="1">
      <c r="A50" s="933"/>
      <c r="B50" s="933" t="s">
        <v>883</v>
      </c>
      <c r="C50" s="940">
        <f>_xlfn.IFERROR(VLOOKUP(B50,'[1]ПО КОРИСНИЦИМА'!$C$3:$J$11609,5,FALSE),"")</f>
      </c>
      <c r="D50" s="943"/>
      <c r="E50" s="938">
        <f t="shared" si="0"/>
        <v>0</v>
      </c>
      <c r="F50" s="1237"/>
      <c r="G50" s="941">
        <f t="shared" si="1"/>
        <v>0</v>
      </c>
      <c r="H50" s="942"/>
    </row>
    <row r="51" spans="1:8" ht="12.75" hidden="1">
      <c r="A51" s="933"/>
      <c r="B51" s="933" t="s">
        <v>884</v>
      </c>
      <c r="C51" s="940">
        <f>_xlfn.IFERROR(VLOOKUP(B51,'[1]ПО КОРИСНИЦИМА'!$C$3:$J$11609,5,FALSE),"")</f>
      </c>
      <c r="D51" s="943"/>
      <c r="E51" s="938">
        <f t="shared" si="0"/>
        <v>0</v>
      </c>
      <c r="F51" s="1237"/>
      <c r="G51" s="941">
        <f t="shared" si="1"/>
        <v>0</v>
      </c>
      <c r="H51" s="942"/>
    </row>
    <row r="52" spans="1:8" ht="12.75" hidden="1">
      <c r="A52" s="933"/>
      <c r="B52" s="933" t="s">
        <v>885</v>
      </c>
      <c r="C52" s="940">
        <f>_xlfn.IFERROR(VLOOKUP(B52,'[1]ПО КОРИСНИЦИМА'!$C$3:$J$11609,5,FALSE),"")</f>
      </c>
      <c r="D52" s="943"/>
      <c r="E52" s="938">
        <f t="shared" si="0"/>
        <v>0</v>
      </c>
      <c r="F52" s="1237"/>
      <c r="G52" s="941">
        <f t="shared" si="1"/>
        <v>0</v>
      </c>
      <c r="H52" s="942"/>
    </row>
    <row r="53" spans="1:8" ht="12.75" hidden="1">
      <c r="A53" s="933"/>
      <c r="B53" s="933" t="s">
        <v>886</v>
      </c>
      <c r="C53" s="940">
        <f>_xlfn.IFERROR(VLOOKUP(B53,'[1]ПО КОРИСНИЦИМА'!$C$3:$J$11609,5,FALSE),"")</f>
      </c>
      <c r="D53" s="943"/>
      <c r="E53" s="938">
        <f t="shared" si="0"/>
        <v>0</v>
      </c>
      <c r="F53" s="1237"/>
      <c r="G53" s="941">
        <f t="shared" si="1"/>
        <v>0</v>
      </c>
      <c r="H53" s="942"/>
    </row>
    <row r="54" spans="1:8" ht="12.75" hidden="1">
      <c r="A54" s="933"/>
      <c r="B54" s="933" t="s">
        <v>887</v>
      </c>
      <c r="C54" s="940">
        <f>_xlfn.IFERROR(VLOOKUP(B54,'[1]ПО КОРИСНИЦИМА'!$C$3:$J$11609,5,FALSE),"")</f>
      </c>
      <c r="D54" s="943"/>
      <c r="E54" s="938">
        <f t="shared" si="0"/>
        <v>0</v>
      </c>
      <c r="F54" s="1237"/>
      <c r="G54" s="941">
        <f t="shared" si="1"/>
        <v>0</v>
      </c>
      <c r="H54" s="942"/>
    </row>
    <row r="55" spans="1:8" ht="12.75" hidden="1">
      <c r="A55" s="933"/>
      <c r="B55" s="933" t="s">
        <v>888</v>
      </c>
      <c r="C55" s="940">
        <f>_xlfn.IFERROR(VLOOKUP(B55,'[1]ПО КОРИСНИЦИМА'!$C$3:$J$11609,5,FALSE),"")</f>
      </c>
      <c r="D55" s="943"/>
      <c r="E55" s="938">
        <f t="shared" si="0"/>
        <v>0</v>
      </c>
      <c r="F55" s="1237"/>
      <c r="G55" s="941">
        <f t="shared" si="1"/>
        <v>0</v>
      </c>
      <c r="H55" s="942"/>
    </row>
    <row r="56" spans="1:8" ht="12.75" hidden="1">
      <c r="A56" s="933"/>
      <c r="B56" s="933" t="s">
        <v>889</v>
      </c>
      <c r="C56" s="940">
        <f>_xlfn.IFERROR(VLOOKUP(B56,'[1]ПО КОРИСНИЦИМА'!$C$3:$J$11609,5,FALSE),"")</f>
      </c>
      <c r="D56" s="943"/>
      <c r="E56" s="938">
        <f t="shared" si="0"/>
        <v>0</v>
      </c>
      <c r="F56" s="1237"/>
      <c r="G56" s="941">
        <f t="shared" si="1"/>
        <v>0</v>
      </c>
      <c r="H56" s="942"/>
    </row>
    <row r="57" spans="1:8" ht="12.75" hidden="1">
      <c r="A57" s="933"/>
      <c r="B57" s="933" t="s">
        <v>890</v>
      </c>
      <c r="C57" s="940">
        <f>_xlfn.IFERROR(VLOOKUP(B57,'[1]ПО КОРИСНИЦИМА'!$C$3:$J$11609,5,FALSE),"")</f>
      </c>
      <c r="D57" s="943"/>
      <c r="E57" s="938">
        <f t="shared" si="0"/>
        <v>0</v>
      </c>
      <c r="F57" s="1237"/>
      <c r="G57" s="941">
        <f t="shared" si="1"/>
        <v>0</v>
      </c>
      <c r="H57" s="942"/>
    </row>
    <row r="58" spans="1:8" ht="12.75" hidden="1">
      <c r="A58" s="933"/>
      <c r="B58" s="933" t="s">
        <v>891</v>
      </c>
      <c r="C58" s="940">
        <f>_xlfn.IFERROR(VLOOKUP(B58,'[1]ПО КОРИСНИЦИМА'!$C$3:$J$11609,5,FALSE),"")</f>
      </c>
      <c r="D58" s="943"/>
      <c r="E58" s="938">
        <f t="shared" si="0"/>
        <v>0</v>
      </c>
      <c r="F58" s="1237"/>
      <c r="G58" s="941">
        <f t="shared" si="1"/>
        <v>0</v>
      </c>
      <c r="H58" s="942"/>
    </row>
    <row r="59" spans="1:8" ht="12.75" hidden="1">
      <c r="A59" s="933"/>
      <c r="B59" s="933" t="s">
        <v>892</v>
      </c>
      <c r="C59" s="940">
        <f>_xlfn.IFERROR(VLOOKUP(B59,'[1]ПО КОРИСНИЦИМА'!$C$3:$J$11609,5,FALSE),"")</f>
      </c>
      <c r="D59" s="943" t="e">
        <f>SUMIF('[1]ПО КОРИСНИЦИМА'!$G$3:$G$11609,"Свега за пројекат 0601-П12:",'[1]ПО КОРИСНИЦИМА'!$H$3:$H$11609)</f>
        <v>#VALUE!</v>
      </c>
      <c r="E59" s="938" t="e">
        <f t="shared" si="0"/>
        <v>#VALUE!</v>
      </c>
      <c r="F59" s="1237" t="e">
        <f>SUMIF('[1]ПО КОРИСНИЦИМА'!$G$3:$G$11609,"Свега за пројекат 0601-П12:",'[1]ПО КОРИСНИЦИМА'!$H$3:$H$11609)</f>
        <v>#VALUE!</v>
      </c>
      <c r="G59" s="941" t="e">
        <f t="shared" si="1"/>
        <v>#VALUE!</v>
      </c>
      <c r="H59" s="942"/>
    </row>
    <row r="60" spans="1:8" ht="12.75" hidden="1">
      <c r="A60" s="933"/>
      <c r="B60" s="933" t="s">
        <v>893</v>
      </c>
      <c r="C60" s="940">
        <f>_xlfn.IFERROR(VLOOKUP(B60,'[1]ПО КОРИСНИЦИМА'!$C$3:$J$11609,5,FALSE),"")</f>
      </c>
      <c r="D60" s="943" t="e">
        <f>SUMIF('[1]ПО КОРИСНИЦИМА'!$G$3:$G$11609,"Свега за пројекат 0601-П13:",'[1]ПО КОРИСНИЦИМА'!$H$3:$H$11609)</f>
        <v>#VALUE!</v>
      </c>
      <c r="E60" s="938" t="e">
        <f t="shared" si="0"/>
        <v>#VALUE!</v>
      </c>
      <c r="F60" s="1237" t="e">
        <f>SUMIF('[1]ПО КОРИСНИЦИМА'!$G$3:$G$11609,"Свега за пројекат 0601-П13:",'[1]ПО КОРИСНИЦИМА'!$H$3:$H$11609)</f>
        <v>#VALUE!</v>
      </c>
      <c r="G60" s="941" t="e">
        <f t="shared" si="1"/>
        <v>#VALUE!</v>
      </c>
      <c r="H60" s="942"/>
    </row>
    <row r="61" spans="1:8" ht="12.75" hidden="1">
      <c r="A61" s="933"/>
      <c r="B61" s="933" t="s">
        <v>894</v>
      </c>
      <c r="C61" s="940">
        <f>_xlfn.IFERROR(VLOOKUP(B61,'[1]ПО КОРИСНИЦИМА'!$C$3:$J$11609,5,FALSE),"")</f>
      </c>
      <c r="D61" s="943" t="e">
        <f>SUMIF('[1]ПО КОРИСНИЦИМА'!$G$3:$G$11609,"Свега за пројекат 0601-П14:",'[1]ПО КОРИСНИЦИМА'!$H$3:$H$11609)</f>
        <v>#VALUE!</v>
      </c>
      <c r="E61" s="938" t="e">
        <f t="shared" si="0"/>
        <v>#VALUE!</v>
      </c>
      <c r="F61" s="1237" t="e">
        <f>SUMIF('[1]ПО КОРИСНИЦИМА'!$G$3:$G$11609,"Свега за пројекат 0601-П14:",'[1]ПО КОРИСНИЦИМА'!$H$3:$H$11609)</f>
        <v>#VALUE!</v>
      </c>
      <c r="G61" s="941" t="e">
        <f t="shared" si="1"/>
        <v>#VALUE!</v>
      </c>
      <c r="H61" s="942"/>
    </row>
    <row r="62" spans="1:8" ht="12.75" hidden="1">
      <c r="A62" s="933"/>
      <c r="B62" s="933" t="s">
        <v>895</v>
      </c>
      <c r="C62" s="940">
        <f>_xlfn.IFERROR(VLOOKUP(B62,'[1]ПО КОРИСНИЦИМА'!$C$3:$J$11609,5,FALSE),"")</f>
      </c>
      <c r="D62" s="943" t="e">
        <f>SUMIF('[1]ПО КОРИСНИЦИМА'!$G$3:$G$11609,"Свега за пројекат 0601-П15:",'[1]ПО КОРИСНИЦИМА'!$H$3:$H$11609)</f>
        <v>#VALUE!</v>
      </c>
      <c r="E62" s="938" t="e">
        <f t="shared" si="0"/>
        <v>#VALUE!</v>
      </c>
      <c r="F62" s="1237" t="e">
        <f>SUMIF('[1]ПО КОРИСНИЦИМА'!$G$3:$G$11609,"Свега за пројекат 0601-П15:",'[1]ПО КОРИСНИЦИМА'!$H$3:$H$11609)</f>
        <v>#VALUE!</v>
      </c>
      <c r="G62" s="941" t="e">
        <f t="shared" si="1"/>
        <v>#VALUE!</v>
      </c>
      <c r="H62" s="942"/>
    </row>
    <row r="63" spans="1:8" ht="12.75" hidden="1">
      <c r="A63" s="933"/>
      <c r="B63" s="933" t="s">
        <v>896</v>
      </c>
      <c r="C63" s="940">
        <f>_xlfn.IFERROR(VLOOKUP(B63,'[1]ПО КОРИСНИЦИМА'!$C$3:$J$11609,5,FALSE),"")</f>
      </c>
      <c r="D63" s="943" t="e">
        <f>SUMIF('[1]ПО КОРИСНИЦИМА'!$G$3:$G$11609,"Свега за пројекат 0601-П16:",'[1]ПО КОРИСНИЦИМА'!$H$3:$H$11609)</f>
        <v>#VALUE!</v>
      </c>
      <c r="E63" s="938" t="e">
        <f t="shared" si="0"/>
        <v>#VALUE!</v>
      </c>
      <c r="F63" s="1237" t="e">
        <f>SUMIF('[1]ПО КОРИСНИЦИМА'!$G$3:$G$11609,"Свега за пројекат 0601-П16:",'[1]ПО КОРИСНИЦИМА'!$H$3:$H$11609)</f>
        <v>#VALUE!</v>
      </c>
      <c r="G63" s="941" t="e">
        <f t="shared" si="1"/>
        <v>#VALUE!</v>
      </c>
      <c r="H63" s="942"/>
    </row>
    <row r="64" spans="1:8" ht="12.75" hidden="1">
      <c r="A64" s="933"/>
      <c r="B64" s="933" t="s">
        <v>897</v>
      </c>
      <c r="C64" s="940">
        <f>_xlfn.IFERROR(VLOOKUP(B64,'[1]ПО КОРИСНИЦИМА'!$C$3:$J$11609,5,FALSE),"")</f>
      </c>
      <c r="D64" s="943" t="e">
        <f>SUMIF('[1]ПО КОРИСНИЦИМА'!$G$3:$G$11609,"Свега за пројекат 0601-П17:",'[1]ПО КОРИСНИЦИМА'!$H$3:$H$11609)</f>
        <v>#VALUE!</v>
      </c>
      <c r="E64" s="938" t="e">
        <f t="shared" si="0"/>
        <v>#VALUE!</v>
      </c>
      <c r="F64" s="1237" t="e">
        <f>SUMIF('[1]ПО КОРИСНИЦИМА'!$G$3:$G$11609,"Свега за пројекат 0601-П17:",'[1]ПО КОРИСНИЦИМА'!$H$3:$H$11609)</f>
        <v>#VALUE!</v>
      </c>
      <c r="G64" s="941" t="e">
        <f t="shared" si="1"/>
        <v>#VALUE!</v>
      </c>
      <c r="H64" s="942"/>
    </row>
    <row r="65" spans="1:8" ht="12.75" hidden="1">
      <c r="A65" s="933"/>
      <c r="B65" s="933" t="s">
        <v>898</v>
      </c>
      <c r="C65" s="940">
        <f>_xlfn.IFERROR(VLOOKUP(B65,'[1]ПО КОРИСНИЦИМА'!$C$3:$J$11609,5,FALSE),"")</f>
      </c>
      <c r="D65" s="943" t="e">
        <f>SUMIF('[1]ПО КОРИСНИЦИМА'!$G$3:$G$11609,"Свега за пројекат 0601-П18:",'[1]ПО КОРИСНИЦИМА'!$H$3:$H$11609)</f>
        <v>#VALUE!</v>
      </c>
      <c r="E65" s="938" t="e">
        <f t="shared" si="0"/>
        <v>#VALUE!</v>
      </c>
      <c r="F65" s="1237" t="e">
        <f>SUMIF('[1]ПО КОРИСНИЦИМА'!$G$3:$G$11609,"Свега за пројекат 0601-П18:",'[1]ПО КОРИСНИЦИМА'!$H$3:$H$11609)</f>
        <v>#VALUE!</v>
      </c>
      <c r="G65" s="941" t="e">
        <f t="shared" si="1"/>
        <v>#VALUE!</v>
      </c>
      <c r="H65" s="942"/>
    </row>
    <row r="66" spans="1:8" ht="12.75" hidden="1">
      <c r="A66" s="933"/>
      <c r="B66" s="933" t="s">
        <v>899</v>
      </c>
      <c r="C66" s="940">
        <f>_xlfn.IFERROR(VLOOKUP(B66,'[1]ПО КОРИСНИЦИМА'!$C$3:$J$11609,5,FALSE),"")</f>
      </c>
      <c r="D66" s="943" t="e">
        <f>SUMIF('[1]ПО КОРИСНИЦИМА'!$G$3:$G$11609,"Свега за пројекат 0601-П19:",'[1]ПО КОРИСНИЦИМА'!$H$3:$H$11609)</f>
        <v>#VALUE!</v>
      </c>
      <c r="E66" s="938" t="e">
        <f t="shared" si="0"/>
        <v>#VALUE!</v>
      </c>
      <c r="F66" s="1237" t="e">
        <f>SUMIF('[1]ПО КОРИСНИЦИМА'!$G$3:$G$11609,"Свега за пројекат 0601-П19:",'[1]ПО КОРИСНИЦИМА'!$H$3:$H$11609)</f>
        <v>#VALUE!</v>
      </c>
      <c r="G66" s="941" t="e">
        <f t="shared" si="1"/>
        <v>#VALUE!</v>
      </c>
      <c r="H66" s="942"/>
    </row>
    <row r="67" spans="1:8" ht="12.75" hidden="1">
      <c r="A67" s="933"/>
      <c r="B67" s="933" t="s">
        <v>900</v>
      </c>
      <c r="C67" s="940">
        <f>_xlfn.IFERROR(VLOOKUP(B67,'[1]ПО КОРИСНИЦИМА'!$C$3:$J$11609,5,FALSE),"")</f>
      </c>
      <c r="D67" s="943" t="e">
        <f>SUMIF('[1]ПО КОРИСНИЦИМА'!$G$3:$G$11609,"Свега за пројекат 0601-П20:",'[1]ПО КОРИСНИЦИМА'!$H$3:$H$11609)</f>
        <v>#VALUE!</v>
      </c>
      <c r="E67" s="938" t="e">
        <f t="shared" si="0"/>
        <v>#VALUE!</v>
      </c>
      <c r="F67" s="1237" t="e">
        <f>SUMIF('[1]ПО КОРИСНИЦИМА'!$G$3:$G$11609,"Свега за пројекат 0601-П20:",'[1]ПО КОРИСНИЦИМА'!$H$3:$H$11609)</f>
        <v>#VALUE!</v>
      </c>
      <c r="G67" s="941" t="e">
        <f t="shared" si="1"/>
        <v>#VALUE!</v>
      </c>
      <c r="H67" s="942"/>
    </row>
    <row r="68" spans="1:8" ht="12.75" hidden="1">
      <c r="A68" s="933"/>
      <c r="B68" s="933" t="s">
        <v>901</v>
      </c>
      <c r="C68" s="940">
        <f>_xlfn.IFERROR(VLOOKUP(B68,'[1]ПО КОРИСНИЦИМА'!$C$3:$J$11609,5,FALSE),"")</f>
      </c>
      <c r="D68" s="943" t="e">
        <f>SUMIF('[1]ПО КОРИСНИЦИМА'!$G$3:$G$11609,"Свега за пројекат 0601-П21:",'[1]ПО КОРИСНИЦИМА'!$H$3:$H$11609)</f>
        <v>#VALUE!</v>
      </c>
      <c r="E68" s="938" t="e">
        <f t="shared" si="0"/>
        <v>#VALUE!</v>
      </c>
      <c r="F68" s="1237" t="e">
        <f>SUMIF('[1]ПО КОРИСНИЦИМА'!$G$3:$G$11609,"Свега за пројекат 0601-П21:",'[1]ПО КОРИСНИЦИМА'!$H$3:$H$11609)</f>
        <v>#VALUE!</v>
      </c>
      <c r="G68" s="941" t="e">
        <f t="shared" si="1"/>
        <v>#VALUE!</v>
      </c>
      <c r="H68" s="942"/>
    </row>
    <row r="69" spans="1:8" ht="12.75" hidden="1">
      <c r="A69" s="933"/>
      <c r="B69" s="933" t="s">
        <v>902</v>
      </c>
      <c r="C69" s="940">
        <f>_xlfn.IFERROR(VLOOKUP(B69,'[1]ПО КОРИСНИЦИМА'!$C$3:$J$11609,5,FALSE),"")</f>
      </c>
      <c r="D69" s="943" t="e">
        <f>SUMIF('[1]ПО КОРИСНИЦИМА'!$G$3:$G$11609,"Свега за пројекат 0601-П22:",'[1]ПО КОРИСНИЦИМА'!$H$3:$H$11609)</f>
        <v>#VALUE!</v>
      </c>
      <c r="E69" s="938" t="e">
        <f t="shared" si="0"/>
        <v>#VALUE!</v>
      </c>
      <c r="F69" s="1237" t="e">
        <f>SUMIF('[1]ПО КОРИСНИЦИМА'!$G$3:$G$11609,"Свега за пројекат 0601-П22:",'[1]ПО КОРИСНИЦИМА'!$H$3:$H$11609)</f>
        <v>#VALUE!</v>
      </c>
      <c r="G69" s="941" t="e">
        <f aca="true" t="shared" si="2" ref="G69:G130">D69+F69</f>
        <v>#VALUE!</v>
      </c>
      <c r="H69" s="942"/>
    </row>
    <row r="70" spans="1:8" ht="12.75" hidden="1">
      <c r="A70" s="933"/>
      <c r="B70" s="933" t="s">
        <v>903</v>
      </c>
      <c r="C70" s="940">
        <f>_xlfn.IFERROR(VLOOKUP(B70,'[1]ПО КОРИСНИЦИМА'!$C$3:$J$11609,5,FALSE),"")</f>
      </c>
      <c r="D70" s="943" t="e">
        <f>SUMIF('[1]ПО КОРИСНИЦИМА'!$G$3:$G$11609,"Свега за пројекат 0601-П23:",'[1]ПО КОРИСНИЦИМА'!$H$3:$H$11609)</f>
        <v>#VALUE!</v>
      </c>
      <c r="E70" s="938" t="e">
        <f aca="true" t="shared" si="3" ref="E70:E133">D70/483017969</f>
        <v>#VALUE!</v>
      </c>
      <c r="F70" s="1237" t="e">
        <f>SUMIF('[1]ПО КОРИСНИЦИМА'!$G$3:$G$11609,"Свега за пројекат 0601-П23:",'[1]ПО КОРИСНИЦИМА'!$H$3:$H$11609)</f>
        <v>#VALUE!</v>
      </c>
      <c r="G70" s="941" t="e">
        <f t="shared" si="2"/>
        <v>#VALUE!</v>
      </c>
      <c r="H70" s="942"/>
    </row>
    <row r="71" spans="1:8" ht="12.75" hidden="1">
      <c r="A71" s="933"/>
      <c r="B71" s="933" t="s">
        <v>904</v>
      </c>
      <c r="C71" s="940">
        <f>_xlfn.IFERROR(VLOOKUP(B71,'[1]ПО КОРИСНИЦИМА'!$C$3:$J$11609,5,FALSE),"")</f>
      </c>
      <c r="D71" s="943" t="e">
        <f>SUMIF('[1]ПО КОРИСНИЦИМА'!$G$3:$G$11609,"Свега за пројекат 0601-П24:",'[1]ПО КОРИСНИЦИМА'!$H$3:$H$11609)</f>
        <v>#VALUE!</v>
      </c>
      <c r="E71" s="938" t="e">
        <f t="shared" si="3"/>
        <v>#VALUE!</v>
      </c>
      <c r="F71" s="1237" t="e">
        <f>SUMIF('[1]ПО КОРИСНИЦИМА'!$G$3:$G$11609,"Свега за пројекат 0601-П24:",'[1]ПО КОРИСНИЦИМА'!$H$3:$H$11609)</f>
        <v>#VALUE!</v>
      </c>
      <c r="G71" s="941" t="e">
        <f t="shared" si="2"/>
        <v>#VALUE!</v>
      </c>
      <c r="H71" s="942"/>
    </row>
    <row r="72" spans="1:8" ht="12.75" hidden="1">
      <c r="A72" s="933"/>
      <c r="B72" s="933" t="s">
        <v>905</v>
      </c>
      <c r="C72" s="940">
        <f>_xlfn.IFERROR(VLOOKUP(B72,'[1]ПО КОРИСНИЦИМА'!$C$3:$J$11609,5,FALSE),"")</f>
      </c>
      <c r="D72" s="943" t="e">
        <f>SUMIF('[1]ПО КОРИСНИЦИМА'!$G$3:$G$11609,"Свега за пројекат 0601-П25:",'[1]ПО КОРИСНИЦИМА'!$H$3:$H$11609)</f>
        <v>#VALUE!</v>
      </c>
      <c r="E72" s="938" t="e">
        <f t="shared" si="3"/>
        <v>#VALUE!</v>
      </c>
      <c r="F72" s="1237" t="e">
        <f>SUMIF('[1]ПО КОРИСНИЦИМА'!$G$3:$G$11609,"Свега за пројекат 0601-П25:",'[1]ПО КОРИСНИЦИМА'!$H$3:$H$11609)</f>
        <v>#VALUE!</v>
      </c>
      <c r="G72" s="941" t="e">
        <f t="shared" si="2"/>
        <v>#VALUE!</v>
      </c>
      <c r="H72" s="942"/>
    </row>
    <row r="73" spans="1:8" ht="12.75" hidden="1">
      <c r="A73" s="933"/>
      <c r="B73" s="933" t="s">
        <v>906</v>
      </c>
      <c r="C73" s="940">
        <f>_xlfn.IFERROR(VLOOKUP(B73,'[1]ПО КОРИСНИЦИМА'!$C$3:$J$11609,5,FALSE),"")</f>
      </c>
      <c r="D73" s="943" t="e">
        <f>SUMIF('[1]ПО КОРИСНИЦИМА'!$G$3:$G$11609,"Свега за пројекат 0601-П26:",'[1]ПО КОРИСНИЦИМА'!$H$3:$H$11609)</f>
        <v>#VALUE!</v>
      </c>
      <c r="E73" s="938" t="e">
        <f t="shared" si="3"/>
        <v>#VALUE!</v>
      </c>
      <c r="F73" s="1237" t="e">
        <f>SUMIF('[1]ПО КОРИСНИЦИМА'!$G$3:$G$11609,"Свега за пројекат 0601-П26:",'[1]ПО КОРИСНИЦИМА'!$H$3:$H$11609)</f>
        <v>#VALUE!</v>
      </c>
      <c r="G73" s="941" t="e">
        <f t="shared" si="2"/>
        <v>#VALUE!</v>
      </c>
      <c r="H73" s="942"/>
    </row>
    <row r="74" spans="1:8" ht="12.75" hidden="1">
      <c r="A74" s="933"/>
      <c r="B74" s="933" t="s">
        <v>907</v>
      </c>
      <c r="C74" s="940">
        <f>_xlfn.IFERROR(VLOOKUP(B74,'[1]ПО КОРИСНИЦИМА'!$C$3:$J$11609,5,FALSE),"")</f>
      </c>
      <c r="D74" s="943" t="e">
        <f>SUMIF('[1]ПО КОРИСНИЦИМА'!$G$3:$G$11609,"Свега за пројекат 0601-П27:",'[1]ПО КОРИСНИЦИМА'!$H$3:$H$11609)</f>
        <v>#VALUE!</v>
      </c>
      <c r="E74" s="938" t="e">
        <f t="shared" si="3"/>
        <v>#VALUE!</v>
      </c>
      <c r="F74" s="1237" t="e">
        <f>SUMIF('[1]ПО КОРИСНИЦИМА'!$G$3:$G$11609,"Свега за пројекат 0601-П27:",'[1]ПО КОРИСНИЦИМА'!$H$3:$H$11609)</f>
        <v>#VALUE!</v>
      </c>
      <c r="G74" s="941" t="e">
        <f t="shared" si="2"/>
        <v>#VALUE!</v>
      </c>
      <c r="H74" s="942"/>
    </row>
    <row r="75" spans="1:8" ht="12.75" hidden="1">
      <c r="A75" s="933"/>
      <c r="B75" s="933" t="s">
        <v>908</v>
      </c>
      <c r="C75" s="940">
        <f>_xlfn.IFERROR(VLOOKUP(B75,'[1]ПО КОРИСНИЦИМА'!$C$3:$J$11609,5,FALSE),"")</f>
      </c>
      <c r="D75" s="943" t="e">
        <f>SUMIF('[1]ПО КОРИСНИЦИМА'!$G$3:$G$11609,"Свега за пројекат 0601-П28:",'[1]ПО КОРИСНИЦИМА'!$H$3:$H$11609)</f>
        <v>#VALUE!</v>
      </c>
      <c r="E75" s="938" t="e">
        <f t="shared" si="3"/>
        <v>#VALUE!</v>
      </c>
      <c r="F75" s="1237" t="e">
        <f>SUMIF('[1]ПО КОРИСНИЦИМА'!$G$3:$G$11609,"Свега за пројекат 0601-П28:",'[1]ПО КОРИСНИЦИМА'!$H$3:$H$11609)</f>
        <v>#VALUE!</v>
      </c>
      <c r="G75" s="941" t="e">
        <f t="shared" si="2"/>
        <v>#VALUE!</v>
      </c>
      <c r="H75" s="942"/>
    </row>
    <row r="76" spans="1:8" ht="12.75" hidden="1">
      <c r="A76" s="933"/>
      <c r="B76" s="933" t="s">
        <v>909</v>
      </c>
      <c r="C76" s="940">
        <f>_xlfn.IFERROR(VLOOKUP(B76,'[1]ПО КОРИСНИЦИМА'!$C$3:$J$11609,5,FALSE),"")</f>
      </c>
      <c r="D76" s="943" t="e">
        <f>SUMIF('[1]ПО КОРИСНИЦИМА'!$G$3:$G$11609,"Свега за пројекат 0601-П29:",'[1]ПО КОРИСНИЦИМА'!$H$3:$H$11609)</f>
        <v>#VALUE!</v>
      </c>
      <c r="E76" s="938" t="e">
        <f t="shared" si="3"/>
        <v>#VALUE!</v>
      </c>
      <c r="F76" s="1237" t="e">
        <f>SUMIF('[1]ПО КОРИСНИЦИМА'!$G$3:$G$11609,"Свега за пројекат 0601-П29:",'[1]ПО КОРИСНИЦИМА'!$H$3:$H$11609)</f>
        <v>#VALUE!</v>
      </c>
      <c r="G76" s="941" t="e">
        <f t="shared" si="2"/>
        <v>#VALUE!</v>
      </c>
      <c r="H76" s="942"/>
    </row>
    <row r="77" spans="1:8" ht="12.75" hidden="1">
      <c r="A77" s="933"/>
      <c r="B77" s="933" t="s">
        <v>910</v>
      </c>
      <c r="C77" s="940">
        <f>_xlfn.IFERROR(VLOOKUP(B77,'[1]ПО КОРИСНИЦИМА'!$C$3:$J$11609,5,FALSE),"")</f>
      </c>
      <c r="D77" s="943" t="e">
        <f>SUMIF('[1]ПО КОРИСНИЦИМА'!$G$3:$G$11609,"Свега за пројекат 0601-П30:",'[1]ПО КОРИСНИЦИМА'!$H$3:$H$11609)</f>
        <v>#VALUE!</v>
      </c>
      <c r="E77" s="938" t="e">
        <f t="shared" si="3"/>
        <v>#VALUE!</v>
      </c>
      <c r="F77" s="1237" t="e">
        <f>SUMIF('[1]ПО КОРИСНИЦИМА'!$G$3:$G$11609,"Свега за пројекат 0601-П30:",'[1]ПО КОРИСНИЦИМА'!$H$3:$H$11609)</f>
        <v>#VALUE!</v>
      </c>
      <c r="G77" s="941" t="e">
        <f t="shared" si="2"/>
        <v>#VALUE!</v>
      </c>
      <c r="H77" s="942"/>
    </row>
    <row r="78" spans="1:8" ht="12.75" hidden="1">
      <c r="A78" s="933"/>
      <c r="B78" s="933" t="s">
        <v>911</v>
      </c>
      <c r="C78" s="940">
        <f>_xlfn.IFERROR(VLOOKUP(B78,'[1]ПО КОРИСНИЦИМА'!$C$3:$J$11609,5,FALSE),"")</f>
      </c>
      <c r="D78" s="943" t="e">
        <f>SUMIF('[1]ПО КОРИСНИЦИМА'!$G$3:$G$11609,"Свега за пројекат 0601-П31:",'[1]ПО КОРИСНИЦИМА'!$H$3:$H$11609)</f>
        <v>#VALUE!</v>
      </c>
      <c r="E78" s="938" t="e">
        <f t="shared" si="3"/>
        <v>#VALUE!</v>
      </c>
      <c r="F78" s="1237" t="e">
        <f>SUMIF('[1]ПО КОРИСНИЦИМА'!$G$3:$G$11609,"Свега за пројекат 0601-П31:",'[1]ПО КОРИСНИЦИМА'!$H$3:$H$11609)</f>
        <v>#VALUE!</v>
      </c>
      <c r="G78" s="941" t="e">
        <f t="shared" si="2"/>
        <v>#VALUE!</v>
      </c>
      <c r="H78" s="942"/>
    </row>
    <row r="79" spans="1:8" ht="12.75" hidden="1">
      <c r="A79" s="933"/>
      <c r="B79" s="933" t="s">
        <v>912</v>
      </c>
      <c r="C79" s="940">
        <f>_xlfn.IFERROR(VLOOKUP(B79,'[1]ПО КОРИСНИЦИМА'!$C$3:$J$11609,5,FALSE),"")</f>
      </c>
      <c r="D79" s="943" t="e">
        <f>SUMIF('[1]ПО КОРИСНИЦИМА'!$G$3:$G$11609,"Свега за пројекат 0601-П32:",'[1]ПО КОРИСНИЦИМА'!$H$3:$H$11609)</f>
        <v>#VALUE!</v>
      </c>
      <c r="E79" s="938" t="e">
        <f t="shared" si="3"/>
        <v>#VALUE!</v>
      </c>
      <c r="F79" s="1237" t="e">
        <f>SUMIF('[1]ПО КОРИСНИЦИМА'!$G$3:$G$11609,"Свега за пројекат 0601-П32:",'[1]ПО КОРИСНИЦИМА'!$H$3:$H$11609)</f>
        <v>#VALUE!</v>
      </c>
      <c r="G79" s="941" t="e">
        <f t="shared" si="2"/>
        <v>#VALUE!</v>
      </c>
      <c r="H79" s="942"/>
    </row>
    <row r="80" spans="1:8" ht="12.75" hidden="1">
      <c r="A80" s="933"/>
      <c r="B80" s="933" t="s">
        <v>913</v>
      </c>
      <c r="C80" s="940">
        <f>_xlfn.IFERROR(VLOOKUP(B80,'[1]ПО КОРИСНИЦИМА'!$C$3:$J$11609,5,FALSE),"")</f>
      </c>
      <c r="D80" s="943" t="e">
        <f>SUMIF('[1]ПО КОРИСНИЦИМА'!$G$3:$G$11609,"Свега за пројекат 0601-П33:",'[1]ПО КОРИСНИЦИМА'!$H$3:$H$11609)</f>
        <v>#VALUE!</v>
      </c>
      <c r="E80" s="938" t="e">
        <f t="shared" si="3"/>
        <v>#VALUE!</v>
      </c>
      <c r="F80" s="1237" t="e">
        <f>SUMIF('[1]ПО КОРИСНИЦИМА'!$G$3:$G$11609,"Свега за пројекат 0601-П33:",'[1]ПО КОРИСНИЦИМА'!$H$3:$H$11609)</f>
        <v>#VALUE!</v>
      </c>
      <c r="G80" s="941" t="e">
        <f t="shared" si="2"/>
        <v>#VALUE!</v>
      </c>
      <c r="H80" s="942"/>
    </row>
    <row r="81" spans="1:8" ht="12.75" hidden="1">
      <c r="A81" s="933"/>
      <c r="B81" s="933" t="s">
        <v>914</v>
      </c>
      <c r="C81" s="940">
        <f>_xlfn.IFERROR(VLOOKUP(B81,'[1]ПО КОРИСНИЦИМА'!$C$3:$J$11609,5,FALSE),"")</f>
      </c>
      <c r="D81" s="943" t="e">
        <f>SUMIF('[1]ПО КОРИСНИЦИМА'!$G$3:$G$11609,"Свега за пројекат 0601-П34:",'[1]ПО КОРИСНИЦИМА'!$H$3:$H$11609)</f>
        <v>#VALUE!</v>
      </c>
      <c r="E81" s="938" t="e">
        <f t="shared" si="3"/>
        <v>#VALUE!</v>
      </c>
      <c r="F81" s="1237" t="e">
        <f>SUMIF('[1]ПО КОРИСНИЦИМА'!$G$3:$G$11609,"Свега за пројекат 0601-П34:",'[1]ПО КОРИСНИЦИМА'!$H$3:$H$11609)</f>
        <v>#VALUE!</v>
      </c>
      <c r="G81" s="941" t="e">
        <f t="shared" si="2"/>
        <v>#VALUE!</v>
      </c>
      <c r="H81" s="942"/>
    </row>
    <row r="82" spans="1:8" ht="12.75" hidden="1">
      <c r="A82" s="933"/>
      <c r="B82" s="933" t="s">
        <v>915</v>
      </c>
      <c r="C82" s="940">
        <f>_xlfn.IFERROR(VLOOKUP(B82,'[1]ПО КОРИСНИЦИМА'!$C$3:$J$11609,5,FALSE),"")</f>
      </c>
      <c r="D82" s="943" t="e">
        <f>SUMIF('[1]ПО КОРИСНИЦИМА'!$G$3:$G$11609,"Свега за пројекат 0601-П35:",'[1]ПО КОРИСНИЦИМА'!$H$3:$H$11609)</f>
        <v>#VALUE!</v>
      </c>
      <c r="E82" s="938" t="e">
        <f t="shared" si="3"/>
        <v>#VALUE!</v>
      </c>
      <c r="F82" s="1237" t="e">
        <f>SUMIF('[1]ПО КОРИСНИЦИМА'!$G$3:$G$11609,"Свега за пројекат 0601-П35:",'[1]ПО КОРИСНИЦИМА'!$H$3:$H$11609)</f>
        <v>#VALUE!</v>
      </c>
      <c r="G82" s="941" t="e">
        <f t="shared" si="2"/>
        <v>#VALUE!</v>
      </c>
      <c r="H82" s="942"/>
    </row>
    <row r="83" spans="1:8" ht="12.75" hidden="1">
      <c r="A83" s="933"/>
      <c r="B83" s="933" t="s">
        <v>916</v>
      </c>
      <c r="C83" s="940">
        <f>_xlfn.IFERROR(VLOOKUP(B83,'[1]ПО КОРИСНИЦИМА'!$C$3:$J$11609,5,FALSE),"")</f>
      </c>
      <c r="D83" s="943" t="e">
        <f>SUMIF('[1]ПО КОРИСНИЦИМА'!$G$3:$G$11609,"Свега за пројекат 0601-П36:",'[1]ПО КОРИСНИЦИМА'!$H$3:$H$11609)</f>
        <v>#VALUE!</v>
      </c>
      <c r="E83" s="938" t="e">
        <f t="shared" si="3"/>
        <v>#VALUE!</v>
      </c>
      <c r="F83" s="1237" t="e">
        <f>SUMIF('[1]ПО КОРИСНИЦИМА'!$G$3:$G$11609,"Свега за пројекат 0601-П36:",'[1]ПО КОРИСНИЦИМА'!$H$3:$H$11609)</f>
        <v>#VALUE!</v>
      </c>
      <c r="G83" s="941" t="e">
        <f t="shared" si="2"/>
        <v>#VALUE!</v>
      </c>
      <c r="H83" s="942"/>
    </row>
    <row r="84" spans="1:8" ht="12.75" hidden="1">
      <c r="A84" s="933"/>
      <c r="B84" s="933" t="s">
        <v>917</v>
      </c>
      <c r="C84" s="940">
        <f>_xlfn.IFERROR(VLOOKUP(B84,'[1]ПО КОРИСНИЦИМА'!$C$3:$J$11609,5,FALSE),"")</f>
      </c>
      <c r="D84" s="943" t="e">
        <f>SUMIF('[1]ПО КОРИСНИЦИМА'!$G$3:$G$11609,"Свега за пројекат 0601-П37:",'[1]ПО КОРИСНИЦИМА'!$H$3:$H$11609)</f>
        <v>#VALUE!</v>
      </c>
      <c r="E84" s="938" t="e">
        <f t="shared" si="3"/>
        <v>#VALUE!</v>
      </c>
      <c r="F84" s="1237" t="e">
        <f>SUMIF('[1]ПО КОРИСНИЦИМА'!$G$3:$G$11609,"Свега за пројекат 0601-П37:",'[1]ПО КОРИСНИЦИМА'!$H$3:$H$11609)</f>
        <v>#VALUE!</v>
      </c>
      <c r="G84" s="941" t="e">
        <f t="shared" si="2"/>
        <v>#VALUE!</v>
      </c>
      <c r="H84" s="942"/>
    </row>
    <row r="85" spans="1:8" ht="12.75" hidden="1">
      <c r="A85" s="933"/>
      <c r="B85" s="933" t="s">
        <v>918</v>
      </c>
      <c r="C85" s="940">
        <f>_xlfn.IFERROR(VLOOKUP(B85,'[1]ПО КОРИСНИЦИМА'!$C$3:$J$11609,5,FALSE),"")</f>
      </c>
      <c r="D85" s="943" t="e">
        <f>SUMIF('[1]ПО КОРИСНИЦИМА'!$G$3:$G$11609,"Свега за пројекат 0601-П38:",'[1]ПО КОРИСНИЦИМА'!$H$3:$H$11609)</f>
        <v>#VALUE!</v>
      </c>
      <c r="E85" s="938" t="e">
        <f t="shared" si="3"/>
        <v>#VALUE!</v>
      </c>
      <c r="F85" s="1237" t="e">
        <f>SUMIF('[1]ПО КОРИСНИЦИМА'!$G$3:$G$11609,"Свега за пројекат 0601-П38:",'[1]ПО КОРИСНИЦИМА'!$H$3:$H$11609)</f>
        <v>#VALUE!</v>
      </c>
      <c r="G85" s="941" t="e">
        <f t="shared" si="2"/>
        <v>#VALUE!</v>
      </c>
      <c r="H85" s="942"/>
    </row>
    <row r="86" spans="1:8" ht="12.75" hidden="1">
      <c r="A86" s="933"/>
      <c r="B86" s="933" t="s">
        <v>919</v>
      </c>
      <c r="C86" s="940">
        <f>_xlfn.IFERROR(VLOOKUP(B86,'[1]ПО КОРИСНИЦИМА'!$C$3:$J$11609,5,FALSE),"")</f>
      </c>
      <c r="D86" s="943" t="e">
        <f>SUMIF('[1]ПО КОРИСНИЦИМА'!$G$3:$G$11609,"Свега за пројекат 0601-П39:",'[1]ПО КОРИСНИЦИМА'!$H$3:$H$11609)</f>
        <v>#VALUE!</v>
      </c>
      <c r="E86" s="938" t="e">
        <f t="shared" si="3"/>
        <v>#VALUE!</v>
      </c>
      <c r="F86" s="1237" t="e">
        <f>SUMIF('[1]ПО КОРИСНИЦИМА'!$G$3:$G$11609,"Свега за пројекат 0601-П39:",'[1]ПО КОРИСНИЦИМА'!$H$3:$H$11609)</f>
        <v>#VALUE!</v>
      </c>
      <c r="G86" s="941" t="e">
        <f t="shared" si="2"/>
        <v>#VALUE!</v>
      </c>
      <c r="H86" s="942"/>
    </row>
    <row r="87" spans="1:8" ht="12.75" hidden="1">
      <c r="A87" s="933"/>
      <c r="B87" s="933" t="s">
        <v>920</v>
      </c>
      <c r="C87" s="940">
        <f>_xlfn.IFERROR(VLOOKUP(B87,'[1]ПО КОРИСНИЦИМА'!$C$3:$J$11609,5,FALSE),"")</f>
      </c>
      <c r="D87" s="943" t="e">
        <f>SUMIF('[1]ПО КОРИСНИЦИМА'!$G$3:$G$11609,"Свега за пројекат 0601-П40:",'[1]ПО КОРИСНИЦИМА'!$H$3:$H$11609)</f>
        <v>#VALUE!</v>
      </c>
      <c r="E87" s="938" t="e">
        <f t="shared" si="3"/>
        <v>#VALUE!</v>
      </c>
      <c r="F87" s="1237" t="e">
        <f>SUMIF('[1]ПО КОРИСНИЦИМА'!$G$3:$G$11609,"Свега за пројекат 0601-П40:",'[1]ПО КОРИСНИЦИМА'!$H$3:$H$11609)</f>
        <v>#VALUE!</v>
      </c>
      <c r="G87" s="941" t="e">
        <f t="shared" si="2"/>
        <v>#VALUE!</v>
      </c>
      <c r="H87" s="942"/>
    </row>
    <row r="88" spans="1:8" ht="12.75" hidden="1">
      <c r="A88" s="933"/>
      <c r="B88" s="933" t="s">
        <v>921</v>
      </c>
      <c r="C88" s="940">
        <f>_xlfn.IFERROR(VLOOKUP(B88,'[1]ПО КОРИСНИЦИМА'!$C$3:$J$11609,5,FALSE),"")</f>
      </c>
      <c r="D88" s="943" t="e">
        <f>SUMIF('[1]ПО КОРИСНИЦИМА'!$G$3:$G$11609,"Свега за пројекат 0601-П41:",'[1]ПО КОРИСНИЦИМА'!$H$3:$H$11609)</f>
        <v>#VALUE!</v>
      </c>
      <c r="E88" s="938" t="e">
        <f t="shared" si="3"/>
        <v>#VALUE!</v>
      </c>
      <c r="F88" s="1237" t="e">
        <f>SUMIF('[1]ПО КОРИСНИЦИМА'!$G$3:$G$11609,"Свега за пројекат 0601-П41:",'[1]ПО КОРИСНИЦИМА'!$H$3:$H$11609)</f>
        <v>#VALUE!</v>
      </c>
      <c r="G88" s="941" t="e">
        <f t="shared" si="2"/>
        <v>#VALUE!</v>
      </c>
      <c r="H88" s="942"/>
    </row>
    <row r="89" spans="1:8" ht="12.75" hidden="1">
      <c r="A89" s="933"/>
      <c r="B89" s="933" t="s">
        <v>922</v>
      </c>
      <c r="C89" s="940">
        <f>_xlfn.IFERROR(VLOOKUP(B89,'[1]ПО КОРИСНИЦИМА'!$C$3:$J$11609,5,FALSE),"")</f>
      </c>
      <c r="D89" s="943" t="e">
        <f>SUMIF('[1]ПО КОРИСНИЦИМА'!$G$3:$G$11609,"Свега за пројекат 0601-П42:",'[1]ПО КОРИСНИЦИМА'!$H$3:$H$11609)</f>
        <v>#VALUE!</v>
      </c>
      <c r="E89" s="938" t="e">
        <f t="shared" si="3"/>
        <v>#VALUE!</v>
      </c>
      <c r="F89" s="1237" t="e">
        <f>SUMIF('[1]ПО КОРИСНИЦИМА'!$G$3:$G$11609,"Свега за пројекат 0601-П42:",'[1]ПО КОРИСНИЦИМА'!$H$3:$H$11609)</f>
        <v>#VALUE!</v>
      </c>
      <c r="G89" s="941" t="e">
        <f t="shared" si="2"/>
        <v>#VALUE!</v>
      </c>
      <c r="H89" s="942"/>
    </row>
    <row r="90" spans="1:8" ht="12.75" hidden="1">
      <c r="A90" s="933"/>
      <c r="B90" s="933" t="s">
        <v>923</v>
      </c>
      <c r="C90" s="940">
        <f>_xlfn.IFERROR(VLOOKUP(B90,'[1]ПО КОРИСНИЦИМА'!$C$3:$J$11609,5,FALSE),"")</f>
      </c>
      <c r="D90" s="943" t="e">
        <f>SUMIF('[1]ПО КОРИСНИЦИМА'!$G$3:$G$11609,"Свега за пројекат 0601-П43:",'[1]ПО КОРИСНИЦИМА'!$H$3:$H$11609)</f>
        <v>#VALUE!</v>
      </c>
      <c r="E90" s="938" t="e">
        <f t="shared" si="3"/>
        <v>#VALUE!</v>
      </c>
      <c r="F90" s="1237" t="e">
        <f>SUMIF('[1]ПО КОРИСНИЦИМА'!$G$3:$G$11609,"Свега за пројекат 0601-П43:",'[1]ПО КОРИСНИЦИМА'!$H$3:$H$11609)</f>
        <v>#VALUE!</v>
      </c>
      <c r="G90" s="941" t="e">
        <f t="shared" si="2"/>
        <v>#VALUE!</v>
      </c>
      <c r="H90" s="942"/>
    </row>
    <row r="91" spans="1:8" ht="12.75" hidden="1">
      <c r="A91" s="933"/>
      <c r="B91" s="933" t="s">
        <v>924</v>
      </c>
      <c r="C91" s="940">
        <f>_xlfn.IFERROR(VLOOKUP(B91,'[1]ПО КОРИСНИЦИМА'!$C$3:$J$11609,5,FALSE),"")</f>
      </c>
      <c r="D91" s="943" t="e">
        <f>SUMIF('[1]ПО КОРИСНИЦИМА'!$G$3:$G$11609,"Свега за пројекат 0601-П44:",'[1]ПО КОРИСНИЦИМА'!$H$3:$H$11609)</f>
        <v>#VALUE!</v>
      </c>
      <c r="E91" s="938" t="e">
        <f t="shared" si="3"/>
        <v>#VALUE!</v>
      </c>
      <c r="F91" s="1237" t="e">
        <f>SUMIF('[1]ПО КОРИСНИЦИМА'!$G$3:$G$11609,"Свега за пројекат 0601-П44:",'[1]ПО КОРИСНИЦИМА'!$H$3:$H$11609)</f>
        <v>#VALUE!</v>
      </c>
      <c r="G91" s="941" t="e">
        <f t="shared" si="2"/>
        <v>#VALUE!</v>
      </c>
      <c r="H91" s="942"/>
    </row>
    <row r="92" spans="1:8" ht="12.75" hidden="1">
      <c r="A92" s="933"/>
      <c r="B92" s="933" t="s">
        <v>925</v>
      </c>
      <c r="C92" s="940">
        <f>_xlfn.IFERROR(VLOOKUP(B92,'[1]ПО КОРИСНИЦИМА'!$C$3:$J$11609,5,FALSE),"")</f>
      </c>
      <c r="D92" s="943" t="e">
        <f>SUMIF('[1]ПО КОРИСНИЦИМА'!$G$3:$G$11609,"Свега за пројекат 0601-П45:",'[1]ПО КОРИСНИЦИМА'!$H$3:$H$11609)</f>
        <v>#VALUE!</v>
      </c>
      <c r="E92" s="938" t="e">
        <f t="shared" si="3"/>
        <v>#VALUE!</v>
      </c>
      <c r="F92" s="1237" t="e">
        <f>SUMIF('[1]ПО КОРИСНИЦИМА'!$G$3:$G$11609,"Свега за пројекат 0601-П45:",'[1]ПО КОРИСНИЦИМА'!$H$3:$H$11609)</f>
        <v>#VALUE!</v>
      </c>
      <c r="G92" s="941" t="e">
        <f t="shared" si="2"/>
        <v>#VALUE!</v>
      </c>
      <c r="H92" s="942"/>
    </row>
    <row r="93" spans="1:8" ht="12.75" hidden="1">
      <c r="A93" s="933"/>
      <c r="B93" s="933" t="s">
        <v>926</v>
      </c>
      <c r="C93" s="940">
        <f>_xlfn.IFERROR(VLOOKUP(B93,'[1]ПО КОРИСНИЦИМА'!$C$3:$J$11609,5,FALSE),"")</f>
      </c>
      <c r="D93" s="943" t="e">
        <f>SUMIF('[1]ПО КОРИСНИЦИМА'!$G$3:$G$11609,"Свега за пројекат 0601-П46:",'[1]ПО КОРИСНИЦИМА'!$H$3:$H$11609)</f>
        <v>#VALUE!</v>
      </c>
      <c r="E93" s="938" t="e">
        <f t="shared" si="3"/>
        <v>#VALUE!</v>
      </c>
      <c r="F93" s="1237" t="e">
        <f>SUMIF('[1]ПО КОРИСНИЦИМА'!$G$3:$G$11609,"Свега за пројекат 0601-П46:",'[1]ПО КОРИСНИЦИМА'!$H$3:$H$11609)</f>
        <v>#VALUE!</v>
      </c>
      <c r="G93" s="941" t="e">
        <f t="shared" si="2"/>
        <v>#VALUE!</v>
      </c>
      <c r="H93" s="942"/>
    </row>
    <row r="94" spans="1:8" ht="12.75" hidden="1">
      <c r="A94" s="933"/>
      <c r="B94" s="933" t="s">
        <v>927</v>
      </c>
      <c r="C94" s="940">
        <f>_xlfn.IFERROR(VLOOKUP(B94,'[1]ПО КОРИСНИЦИМА'!$C$3:$J$11609,5,FALSE),"")</f>
      </c>
      <c r="D94" s="943" t="e">
        <f>SUMIF('[1]ПО КОРИСНИЦИМА'!$G$3:$G$11609,"Свега за пројекат 0601-П47:",'[1]ПО КОРИСНИЦИМА'!$H$3:$H$11609)</f>
        <v>#VALUE!</v>
      </c>
      <c r="E94" s="938" t="e">
        <f t="shared" si="3"/>
        <v>#VALUE!</v>
      </c>
      <c r="F94" s="1237" t="e">
        <f>SUMIF('[1]ПО КОРИСНИЦИМА'!$G$3:$G$11609,"Свега за пројекат 0601-П47:",'[1]ПО КОРИСНИЦИМА'!$H$3:$H$11609)</f>
        <v>#VALUE!</v>
      </c>
      <c r="G94" s="941" t="e">
        <f t="shared" si="2"/>
        <v>#VALUE!</v>
      </c>
      <c r="H94" s="942"/>
    </row>
    <row r="95" spans="1:8" ht="12.75" hidden="1">
      <c r="A95" s="933"/>
      <c r="B95" s="933" t="s">
        <v>928</v>
      </c>
      <c r="C95" s="940">
        <f>_xlfn.IFERROR(VLOOKUP(B95,'[1]ПО КОРИСНИЦИМА'!$C$3:$J$11609,5,FALSE),"")</f>
      </c>
      <c r="D95" s="943" t="e">
        <f>SUMIF('[1]ПО КОРИСНИЦИМА'!$G$3:$G$11609,"Свега за пројекат 0601-П48:",'[1]ПО КОРИСНИЦИМА'!$H$3:$H$11609)</f>
        <v>#VALUE!</v>
      </c>
      <c r="E95" s="938" t="e">
        <f t="shared" si="3"/>
        <v>#VALUE!</v>
      </c>
      <c r="F95" s="1237" t="e">
        <f>SUMIF('[1]ПО КОРИСНИЦИМА'!$G$3:$G$11609,"Свега за пројекат 0601-П48:",'[1]ПО КОРИСНИЦИМА'!$H$3:$H$11609)</f>
        <v>#VALUE!</v>
      </c>
      <c r="G95" s="941" t="e">
        <f t="shared" si="2"/>
        <v>#VALUE!</v>
      </c>
      <c r="H95" s="942"/>
    </row>
    <row r="96" spans="1:8" ht="12.75" hidden="1">
      <c r="A96" s="933"/>
      <c r="B96" s="933" t="s">
        <v>929</v>
      </c>
      <c r="C96" s="940">
        <f>_xlfn.IFERROR(VLOOKUP(B96,'[1]ПО КОРИСНИЦИМА'!$C$3:$J$11609,5,FALSE),"")</f>
      </c>
      <c r="D96" s="943" t="e">
        <f>SUMIF('[1]ПО КОРИСНИЦИМА'!$G$3:$G$11609,"Свега за пројекат 0601-П49:",'[1]ПО КОРИСНИЦИМА'!$H$3:$H$11609)</f>
        <v>#VALUE!</v>
      </c>
      <c r="E96" s="938" t="e">
        <f t="shared" si="3"/>
        <v>#VALUE!</v>
      </c>
      <c r="F96" s="1237" t="e">
        <f>SUMIF('[1]ПО КОРИСНИЦИМА'!$G$3:$G$11609,"Свега за пројекат 0601-П49:",'[1]ПО КОРИСНИЦИМА'!$H$3:$H$11609)</f>
        <v>#VALUE!</v>
      </c>
      <c r="G96" s="941" t="e">
        <f t="shared" si="2"/>
        <v>#VALUE!</v>
      </c>
      <c r="H96" s="942"/>
    </row>
    <row r="97" spans="1:8" ht="12.75" hidden="1">
      <c r="A97" s="933"/>
      <c r="B97" s="933" t="s">
        <v>930</v>
      </c>
      <c r="C97" s="940">
        <f>_xlfn.IFERROR(VLOOKUP(B97,'[1]ПО КОРИСНИЦИМА'!$C$3:$J$11609,5,FALSE),"")</f>
      </c>
      <c r="D97" s="943" t="e">
        <f>SUMIF('[1]ПО КОРИСНИЦИМА'!$G$3:$G$11609,"Свега за пројекат 0601-П50:",'[1]ПО КОРИСНИЦИМА'!$H$3:$H$11609)</f>
        <v>#VALUE!</v>
      </c>
      <c r="E97" s="938" t="e">
        <f t="shared" si="3"/>
        <v>#VALUE!</v>
      </c>
      <c r="F97" s="1237" t="e">
        <f>SUMIF('[1]ПО КОРИСНИЦИМА'!$G$3:$G$11609,"Свега за пројекат 0601-П50:",'[1]ПО КОРИСНИЦИМА'!$H$3:$H$11609)</f>
        <v>#VALUE!</v>
      </c>
      <c r="G97" s="941" t="e">
        <f t="shared" si="2"/>
        <v>#VALUE!</v>
      </c>
      <c r="H97" s="942"/>
    </row>
    <row r="98" spans="1:8" ht="12.75">
      <c r="A98" s="934" t="s">
        <v>805</v>
      </c>
      <c r="B98" s="935"/>
      <c r="C98" s="936" t="s">
        <v>1147</v>
      </c>
      <c r="D98" s="937">
        <f>SUM(D99:D104)</f>
        <v>8872000</v>
      </c>
      <c r="E98" s="938">
        <f t="shared" si="3"/>
        <v>0.01836784668356717</v>
      </c>
      <c r="F98" s="1235">
        <f>SUM(F99:F104)</f>
        <v>0</v>
      </c>
      <c r="G98" s="937">
        <f t="shared" si="2"/>
        <v>8872000</v>
      </c>
      <c r="H98" s="939"/>
    </row>
    <row r="99" spans="1:8" ht="12.75" hidden="1">
      <c r="A99" s="933"/>
      <c r="B99" s="933" t="s">
        <v>823</v>
      </c>
      <c r="C99" s="944" t="s">
        <v>824</v>
      </c>
      <c r="D99" s="941"/>
      <c r="E99" s="938">
        <f t="shared" si="3"/>
        <v>0</v>
      </c>
      <c r="F99" s="1236"/>
      <c r="G99" s="941">
        <f t="shared" si="2"/>
        <v>0</v>
      </c>
      <c r="H99" s="942"/>
    </row>
    <row r="100" spans="1:8" ht="12.75" hidden="1">
      <c r="A100" s="933"/>
      <c r="B100" s="933" t="s">
        <v>825</v>
      </c>
      <c r="C100" s="944" t="s">
        <v>826</v>
      </c>
      <c r="D100" s="941"/>
      <c r="E100" s="938">
        <f t="shared" si="3"/>
        <v>0</v>
      </c>
      <c r="F100" s="1236"/>
      <c r="G100" s="941">
        <f t="shared" si="2"/>
        <v>0</v>
      </c>
      <c r="H100" s="942"/>
    </row>
    <row r="101" spans="1:8" ht="12.75" hidden="1">
      <c r="A101" s="933"/>
      <c r="B101" s="933" t="s">
        <v>827</v>
      </c>
      <c r="C101" s="944" t="s">
        <v>828</v>
      </c>
      <c r="D101" s="941"/>
      <c r="E101" s="938">
        <f t="shared" si="3"/>
        <v>0</v>
      </c>
      <c r="F101" s="1236"/>
      <c r="G101" s="941">
        <f t="shared" si="2"/>
        <v>0</v>
      </c>
      <c r="H101" s="942"/>
    </row>
    <row r="102" spans="1:8" ht="12.75">
      <c r="A102" s="933"/>
      <c r="B102" s="933" t="s">
        <v>823</v>
      </c>
      <c r="C102" s="944" t="s">
        <v>1226</v>
      </c>
      <c r="D102" s="941">
        <f>Rashodi!M343</f>
        <v>1500000</v>
      </c>
      <c r="E102" s="1242">
        <f t="shared" si="3"/>
        <v>0.0031054745294579298</v>
      </c>
      <c r="F102" s="1236">
        <f>Rashodi!T343</f>
        <v>0</v>
      </c>
      <c r="G102" s="941">
        <f t="shared" si="2"/>
        <v>1500000</v>
      </c>
      <c r="H102" s="942" t="s">
        <v>1150</v>
      </c>
    </row>
    <row r="103" spans="1:8" ht="12.75">
      <c r="A103" s="933"/>
      <c r="B103" s="933" t="s">
        <v>825</v>
      </c>
      <c r="C103" s="940" t="s">
        <v>1301</v>
      </c>
      <c r="D103" s="943">
        <f>Rashodi!M338</f>
        <v>6500000</v>
      </c>
      <c r="E103" s="1242">
        <f t="shared" si="3"/>
        <v>0.013457056294317697</v>
      </c>
      <c r="F103" s="1237">
        <f>Rashodi!T338</f>
        <v>0</v>
      </c>
      <c r="G103" s="941">
        <f t="shared" si="2"/>
        <v>6500000</v>
      </c>
      <c r="H103" s="942" t="s">
        <v>1150</v>
      </c>
    </row>
    <row r="104" spans="1:8" ht="22.5" customHeight="1">
      <c r="A104" s="933"/>
      <c r="B104" s="933" t="s">
        <v>932</v>
      </c>
      <c r="C104" s="948" t="s">
        <v>1264</v>
      </c>
      <c r="D104" s="943">
        <f>Rashodi!M334</f>
        <v>872000</v>
      </c>
      <c r="E104" s="1242">
        <f t="shared" si="3"/>
        <v>0.0018053158597915433</v>
      </c>
      <c r="F104" s="1237">
        <f>Rashodi!T334</f>
        <v>0</v>
      </c>
      <c r="G104" s="941">
        <f t="shared" si="2"/>
        <v>872000</v>
      </c>
      <c r="H104" s="942" t="s">
        <v>1150</v>
      </c>
    </row>
    <row r="105" spans="1:8" ht="12.75" hidden="1">
      <c r="A105" s="933"/>
      <c r="B105" s="933" t="s">
        <v>931</v>
      </c>
      <c r="C105" s="944"/>
      <c r="D105" s="943"/>
      <c r="E105" s="938">
        <f t="shared" si="3"/>
        <v>0</v>
      </c>
      <c r="F105" s="1237"/>
      <c r="G105" s="941">
        <f t="shared" si="2"/>
        <v>0</v>
      </c>
      <c r="H105" s="942"/>
    </row>
    <row r="106" spans="1:8" ht="12.75" hidden="1">
      <c r="A106" s="933"/>
      <c r="B106" s="933" t="s">
        <v>932</v>
      </c>
      <c r="C106" s="944"/>
      <c r="D106" s="943"/>
      <c r="E106" s="938">
        <f t="shared" si="3"/>
        <v>0</v>
      </c>
      <c r="F106" s="1237"/>
      <c r="G106" s="941">
        <f t="shared" si="2"/>
        <v>0</v>
      </c>
      <c r="H106" s="942"/>
    </row>
    <row r="107" spans="1:8" ht="12.75" hidden="1">
      <c r="A107" s="933"/>
      <c r="B107" s="933" t="s">
        <v>933</v>
      </c>
      <c r="C107" s="944"/>
      <c r="D107" s="943"/>
      <c r="E107" s="938">
        <f t="shared" si="3"/>
        <v>0</v>
      </c>
      <c r="F107" s="1237"/>
      <c r="G107" s="941">
        <f t="shared" si="2"/>
        <v>0</v>
      </c>
      <c r="H107" s="942"/>
    </row>
    <row r="108" spans="1:8" ht="12.75" hidden="1">
      <c r="A108" s="933"/>
      <c r="B108" s="933" t="s">
        <v>934</v>
      </c>
      <c r="C108" s="944"/>
      <c r="D108" s="943"/>
      <c r="E108" s="938">
        <f t="shared" si="3"/>
        <v>0</v>
      </c>
      <c r="F108" s="1237"/>
      <c r="G108" s="941">
        <f t="shared" si="2"/>
        <v>0</v>
      </c>
      <c r="H108" s="942"/>
    </row>
    <row r="109" spans="1:8" ht="12.75" hidden="1">
      <c r="A109" s="933"/>
      <c r="B109" s="933" t="s">
        <v>935</v>
      </c>
      <c r="C109" s="944"/>
      <c r="D109" s="943"/>
      <c r="E109" s="938">
        <f t="shared" si="3"/>
        <v>0</v>
      </c>
      <c r="F109" s="1237"/>
      <c r="G109" s="941">
        <f t="shared" si="2"/>
        <v>0</v>
      </c>
      <c r="H109" s="942"/>
    </row>
    <row r="110" spans="1:8" ht="12.75" hidden="1">
      <c r="A110" s="933"/>
      <c r="B110" s="933" t="s">
        <v>936</v>
      </c>
      <c r="C110" s="944"/>
      <c r="D110" s="943"/>
      <c r="E110" s="938">
        <f t="shared" si="3"/>
        <v>0</v>
      </c>
      <c r="F110" s="1237"/>
      <c r="G110" s="941">
        <f t="shared" si="2"/>
        <v>0</v>
      </c>
      <c r="H110" s="942"/>
    </row>
    <row r="111" spans="1:8" ht="12.75" hidden="1">
      <c r="A111" s="933"/>
      <c r="B111" s="933" t="s">
        <v>937</v>
      </c>
      <c r="C111" s="944"/>
      <c r="D111" s="943" t="e">
        <f>SUMIF('[1]ПО КОРИСНИЦИМА'!$G$3:$G$11609,"Свега за пројекат 1501-П10:",'[1]ПО КОРИСНИЦИМА'!$H$3:$H$11609)</f>
        <v>#VALUE!</v>
      </c>
      <c r="E111" s="938" t="e">
        <f t="shared" si="3"/>
        <v>#VALUE!</v>
      </c>
      <c r="F111" s="1237" t="e">
        <f>SUMIF('[1]ПО КОРИСНИЦИМА'!$G$3:$G$11609,"Свега за пројекат 1501-П10:",'[1]ПО КОРИСНИЦИМА'!$H$3:$H$11609)</f>
        <v>#VALUE!</v>
      </c>
      <c r="G111" s="941" t="e">
        <f t="shared" si="2"/>
        <v>#VALUE!</v>
      </c>
      <c r="H111" s="942"/>
    </row>
    <row r="112" spans="1:8" ht="12.75" hidden="1">
      <c r="A112" s="933"/>
      <c r="B112" s="933" t="s">
        <v>938</v>
      </c>
      <c r="C112" s="944"/>
      <c r="D112" s="943" t="e">
        <f>SUMIF('[1]ПО КОРИСНИЦИМА'!$G$3:$G$11609,"Свега за пројекат 1501-П11:",'[1]ПО КОРИСНИЦИМА'!$H$3:$H$11609)</f>
        <v>#VALUE!</v>
      </c>
      <c r="E112" s="938" t="e">
        <f t="shared" si="3"/>
        <v>#VALUE!</v>
      </c>
      <c r="F112" s="1237" t="e">
        <f>SUMIF('[1]ПО КОРИСНИЦИМА'!$G$3:$G$11609,"Свега за пројекат 1501-П11:",'[1]ПО КОРИСНИЦИМА'!$H$3:$H$11609)</f>
        <v>#VALUE!</v>
      </c>
      <c r="G112" s="941" t="e">
        <f t="shared" si="2"/>
        <v>#VALUE!</v>
      </c>
      <c r="H112" s="942"/>
    </row>
    <row r="113" spans="1:8" ht="12.75" hidden="1">
      <c r="A113" s="933"/>
      <c r="B113" s="933" t="s">
        <v>939</v>
      </c>
      <c r="C113" s="944"/>
      <c r="D113" s="943" t="e">
        <f>SUMIF('[1]ПО КОРИСНИЦИМА'!$G$3:$G$11609,"Свега за пројекат 1501-П12:",'[1]ПО КОРИСНИЦИМА'!$H$3:$H$11609)</f>
        <v>#VALUE!</v>
      </c>
      <c r="E113" s="938" t="e">
        <f t="shared" si="3"/>
        <v>#VALUE!</v>
      </c>
      <c r="F113" s="1237" t="e">
        <f>SUMIF('[1]ПО КОРИСНИЦИМА'!$G$3:$G$11609,"Свега за пројекат 1501-П12:",'[1]ПО КОРИСНИЦИМА'!$H$3:$H$11609)</f>
        <v>#VALUE!</v>
      </c>
      <c r="G113" s="941" t="e">
        <f t="shared" si="2"/>
        <v>#VALUE!</v>
      </c>
      <c r="H113" s="942"/>
    </row>
    <row r="114" spans="1:8" ht="12.75" hidden="1">
      <c r="A114" s="933"/>
      <c r="B114" s="933" t="s">
        <v>940</v>
      </c>
      <c r="C114" s="944"/>
      <c r="D114" s="943" t="e">
        <f>SUMIF('[1]ПО КОРИСНИЦИМА'!$G$3:$G$11609,"Свега за пројекат 1501-П13:",'[1]ПО КОРИСНИЦИМА'!$H$3:$H$11609)</f>
        <v>#VALUE!</v>
      </c>
      <c r="E114" s="938" t="e">
        <f t="shared" si="3"/>
        <v>#VALUE!</v>
      </c>
      <c r="F114" s="1237" t="e">
        <f>SUMIF('[1]ПО КОРИСНИЦИМА'!$G$3:$G$11609,"Свега за пројекат 1501-П13:",'[1]ПО КОРИСНИЦИМА'!$H$3:$H$11609)</f>
        <v>#VALUE!</v>
      </c>
      <c r="G114" s="941" t="e">
        <f t="shared" si="2"/>
        <v>#VALUE!</v>
      </c>
      <c r="H114" s="942"/>
    </row>
    <row r="115" spans="1:8" ht="12.75" hidden="1">
      <c r="A115" s="933"/>
      <c r="B115" s="933" t="s">
        <v>941</v>
      </c>
      <c r="C115" s="944"/>
      <c r="D115" s="943" t="e">
        <f>SUMIF('[1]ПО КОРИСНИЦИМА'!$G$3:$G$11609,"Свега за пројекат 1501-П14:",'[1]ПО КОРИСНИЦИМА'!$H$3:$H$11609)</f>
        <v>#VALUE!</v>
      </c>
      <c r="E115" s="938" t="e">
        <f t="shared" si="3"/>
        <v>#VALUE!</v>
      </c>
      <c r="F115" s="1237" t="e">
        <f>SUMIF('[1]ПО КОРИСНИЦИМА'!$G$3:$G$11609,"Свега за пројекат 1501-П14:",'[1]ПО КОРИСНИЦИМА'!$H$3:$H$11609)</f>
        <v>#VALUE!</v>
      </c>
      <c r="G115" s="941" t="e">
        <f t="shared" si="2"/>
        <v>#VALUE!</v>
      </c>
      <c r="H115" s="942"/>
    </row>
    <row r="116" spans="1:8" ht="12.75" hidden="1">
      <c r="A116" s="933"/>
      <c r="B116" s="933" t="s">
        <v>942</v>
      </c>
      <c r="C116" s="944"/>
      <c r="D116" s="943" t="e">
        <f>SUMIF('[1]ПО КОРИСНИЦИМА'!$G$3:$G$11609,"Свега за пројекат 1501-П15:",'[1]ПО КОРИСНИЦИМА'!$H$3:$H$11609)</f>
        <v>#VALUE!</v>
      </c>
      <c r="E116" s="938" t="e">
        <f t="shared" si="3"/>
        <v>#VALUE!</v>
      </c>
      <c r="F116" s="1237" t="e">
        <f>SUMIF('[1]ПО КОРИСНИЦИМА'!$G$3:$G$11609,"Свега за пројекат 1501-П15:",'[1]ПО КОРИСНИЦИМА'!$H$3:$H$11609)</f>
        <v>#VALUE!</v>
      </c>
      <c r="G116" s="941" t="e">
        <f t="shared" si="2"/>
        <v>#VALUE!</v>
      </c>
      <c r="H116" s="942"/>
    </row>
    <row r="117" spans="1:8" ht="12.75" hidden="1">
      <c r="A117" s="933"/>
      <c r="B117" s="933" t="s">
        <v>943</v>
      </c>
      <c r="C117" s="944"/>
      <c r="D117" s="943" t="e">
        <f>SUMIF('[1]ПО КОРИСНИЦИМА'!$G$3:$G$11609,"Свега за пројекат 1501-П16:",'[1]ПО КОРИСНИЦИМА'!$H$3:$H$11609)</f>
        <v>#VALUE!</v>
      </c>
      <c r="E117" s="938" t="e">
        <f t="shared" si="3"/>
        <v>#VALUE!</v>
      </c>
      <c r="F117" s="1237" t="e">
        <f>SUMIF('[1]ПО КОРИСНИЦИМА'!$G$3:$G$11609,"Свега за пројекат 1501-П16:",'[1]ПО КОРИСНИЦИМА'!$H$3:$H$11609)</f>
        <v>#VALUE!</v>
      </c>
      <c r="G117" s="941" t="e">
        <f t="shared" si="2"/>
        <v>#VALUE!</v>
      </c>
      <c r="H117" s="942"/>
    </row>
    <row r="118" spans="1:8" ht="12.75" hidden="1">
      <c r="A118" s="933"/>
      <c r="B118" s="933" t="s">
        <v>944</v>
      </c>
      <c r="C118" s="944"/>
      <c r="D118" s="943" t="e">
        <f>SUMIF('[1]ПО КОРИСНИЦИМА'!$G$3:$G$11609,"Свега за пројекат 1501-П17:",'[1]ПО КОРИСНИЦИМА'!$H$3:$H$11609)</f>
        <v>#VALUE!</v>
      </c>
      <c r="E118" s="938" t="e">
        <f t="shared" si="3"/>
        <v>#VALUE!</v>
      </c>
      <c r="F118" s="1237" t="e">
        <f>SUMIF('[1]ПО КОРИСНИЦИМА'!$G$3:$G$11609,"Свега за пројекат 1501-П17:",'[1]ПО КОРИСНИЦИМА'!$H$3:$H$11609)</f>
        <v>#VALUE!</v>
      </c>
      <c r="G118" s="941" t="e">
        <f t="shared" si="2"/>
        <v>#VALUE!</v>
      </c>
      <c r="H118" s="942"/>
    </row>
    <row r="119" spans="1:8" ht="12.75" hidden="1">
      <c r="A119" s="933"/>
      <c r="B119" s="933" t="s">
        <v>945</v>
      </c>
      <c r="C119" s="944"/>
      <c r="D119" s="943" t="e">
        <f>SUMIF('[1]ПО КОРИСНИЦИМА'!$G$3:$G$11609,"Свега за пројекат 1501-П18:",'[1]ПО КОРИСНИЦИМА'!$H$3:$H$11609)</f>
        <v>#VALUE!</v>
      </c>
      <c r="E119" s="938" t="e">
        <f t="shared" si="3"/>
        <v>#VALUE!</v>
      </c>
      <c r="F119" s="1237" t="e">
        <f>SUMIF('[1]ПО КОРИСНИЦИМА'!$G$3:$G$11609,"Свега за пројекат 1501-П18:",'[1]ПО КОРИСНИЦИМА'!$H$3:$H$11609)</f>
        <v>#VALUE!</v>
      </c>
      <c r="G119" s="941" t="e">
        <f t="shared" si="2"/>
        <v>#VALUE!</v>
      </c>
      <c r="H119" s="942"/>
    </row>
    <row r="120" spans="1:8" ht="12.75" hidden="1">
      <c r="A120" s="933"/>
      <c r="B120" s="933" t="s">
        <v>946</v>
      </c>
      <c r="C120" s="944"/>
      <c r="D120" s="943" t="e">
        <f>SUMIF('[1]ПО КОРИСНИЦИМА'!$G$3:$G$11609,"Свега за пројекат 1501-П19:",'[1]ПО КОРИСНИЦИМА'!$H$3:$H$11609)</f>
        <v>#VALUE!</v>
      </c>
      <c r="E120" s="938" t="e">
        <f t="shared" si="3"/>
        <v>#VALUE!</v>
      </c>
      <c r="F120" s="1237" t="e">
        <f>SUMIF('[1]ПО КОРИСНИЦИМА'!$G$3:$G$11609,"Свега за пројекат 1501-П19:",'[1]ПО КОРИСНИЦИМА'!$H$3:$H$11609)</f>
        <v>#VALUE!</v>
      </c>
      <c r="G120" s="941" t="e">
        <f t="shared" si="2"/>
        <v>#VALUE!</v>
      </c>
      <c r="H120" s="942"/>
    </row>
    <row r="121" spans="1:8" ht="12.75" hidden="1">
      <c r="A121" s="933"/>
      <c r="B121" s="933" t="s">
        <v>947</v>
      </c>
      <c r="C121" s="944"/>
      <c r="D121" s="943" t="e">
        <f>SUMIF('[1]ПО КОРИСНИЦИМА'!$G$3:$G$11609,"Свега за пројекат 1501-П20:",'[1]ПО КОРИСНИЦИМА'!$H$3:$H$11609)</f>
        <v>#VALUE!</v>
      </c>
      <c r="E121" s="938" t="e">
        <f t="shared" si="3"/>
        <v>#VALUE!</v>
      </c>
      <c r="F121" s="1237" t="e">
        <f>SUMIF('[1]ПО КОРИСНИЦИМА'!$G$3:$G$11609,"Свега за пројекат 1501-П20:",'[1]ПО КОРИСНИЦИМА'!$H$3:$H$11609)</f>
        <v>#VALUE!</v>
      </c>
      <c r="G121" s="941" t="e">
        <f t="shared" si="2"/>
        <v>#VALUE!</v>
      </c>
      <c r="H121" s="942"/>
    </row>
    <row r="122" spans="1:8" ht="12.75" hidden="1">
      <c r="A122" s="933"/>
      <c r="B122" s="933" t="s">
        <v>948</v>
      </c>
      <c r="C122" s="944"/>
      <c r="D122" s="943" t="e">
        <f>SUMIF('[1]ПО КОРИСНИЦИМА'!$G$3:$G$11609,"Свега за пројекат 1501-П21:",'[1]ПО КОРИСНИЦИМА'!$H$3:$H$11609)</f>
        <v>#VALUE!</v>
      </c>
      <c r="E122" s="938" t="e">
        <f t="shared" si="3"/>
        <v>#VALUE!</v>
      </c>
      <c r="F122" s="1237" t="e">
        <f>SUMIF('[1]ПО КОРИСНИЦИМА'!$G$3:$G$11609,"Свега за пројекат 1501-П21:",'[1]ПО КОРИСНИЦИМА'!$H$3:$H$11609)</f>
        <v>#VALUE!</v>
      </c>
      <c r="G122" s="941" t="e">
        <f t="shared" si="2"/>
        <v>#VALUE!</v>
      </c>
      <c r="H122" s="942"/>
    </row>
    <row r="123" spans="1:8" ht="12.75" hidden="1">
      <c r="A123" s="933"/>
      <c r="B123" s="933" t="s">
        <v>949</v>
      </c>
      <c r="C123" s="944"/>
      <c r="D123" s="943" t="e">
        <f>SUMIF('[1]ПО КОРИСНИЦИМА'!$G$3:$G$11609,"Свега за пројекат 1501-П22:",'[1]ПО КОРИСНИЦИМА'!$H$3:$H$11609)</f>
        <v>#VALUE!</v>
      </c>
      <c r="E123" s="938" t="e">
        <f t="shared" si="3"/>
        <v>#VALUE!</v>
      </c>
      <c r="F123" s="1237" t="e">
        <f>SUMIF('[1]ПО КОРИСНИЦИМА'!$G$3:$G$11609,"Свега за пројекат 1501-П22:",'[1]ПО КОРИСНИЦИМА'!$H$3:$H$11609)</f>
        <v>#VALUE!</v>
      </c>
      <c r="G123" s="941" t="e">
        <f t="shared" si="2"/>
        <v>#VALUE!</v>
      </c>
      <c r="H123" s="942"/>
    </row>
    <row r="124" spans="1:8" ht="12.75" hidden="1">
      <c r="A124" s="933"/>
      <c r="B124" s="933" t="s">
        <v>950</v>
      </c>
      <c r="C124" s="944"/>
      <c r="D124" s="943" t="e">
        <f>SUMIF('[1]ПО КОРИСНИЦИМА'!$G$3:$G$11609,"Свега за пројекат 1501-П23:",'[1]ПО КОРИСНИЦИМА'!$H$3:$H$11609)</f>
        <v>#VALUE!</v>
      </c>
      <c r="E124" s="938" t="e">
        <f t="shared" si="3"/>
        <v>#VALUE!</v>
      </c>
      <c r="F124" s="1237" t="e">
        <f>SUMIF('[1]ПО КОРИСНИЦИМА'!$G$3:$G$11609,"Свега за пројекат 1501-П23:",'[1]ПО КОРИСНИЦИМА'!$H$3:$H$11609)</f>
        <v>#VALUE!</v>
      </c>
      <c r="G124" s="941" t="e">
        <f t="shared" si="2"/>
        <v>#VALUE!</v>
      </c>
      <c r="H124" s="942"/>
    </row>
    <row r="125" spans="1:8" ht="12.75" hidden="1">
      <c r="A125" s="933"/>
      <c r="B125" s="933" t="s">
        <v>951</v>
      </c>
      <c r="C125" s="944"/>
      <c r="D125" s="943" t="e">
        <f>SUMIF('[1]ПО КОРИСНИЦИМА'!$G$3:$G$11609,"Свега за пројекат 1501-П24:",'[1]ПО КОРИСНИЦИМА'!$H$3:$H$11609)</f>
        <v>#VALUE!</v>
      </c>
      <c r="E125" s="938" t="e">
        <f t="shared" si="3"/>
        <v>#VALUE!</v>
      </c>
      <c r="F125" s="1237" t="e">
        <f>SUMIF('[1]ПО КОРИСНИЦИМА'!$G$3:$G$11609,"Свега за пројекат 1501-П24:",'[1]ПО КОРИСНИЦИМА'!$H$3:$H$11609)</f>
        <v>#VALUE!</v>
      </c>
      <c r="G125" s="941" t="e">
        <f t="shared" si="2"/>
        <v>#VALUE!</v>
      </c>
      <c r="H125" s="942"/>
    </row>
    <row r="126" spans="1:8" s="306" customFormat="1" ht="12.75" customHeight="1" hidden="1">
      <c r="A126" s="934" t="s">
        <v>806</v>
      </c>
      <c r="B126" s="935"/>
      <c r="C126" s="936" t="s">
        <v>1148</v>
      </c>
      <c r="D126" s="937">
        <f>SUM(D127:D142)</f>
        <v>0</v>
      </c>
      <c r="E126" s="938">
        <f t="shared" si="3"/>
        <v>0</v>
      </c>
      <c r="F126" s="1235">
        <f>SUM(F127:F142)</f>
        <v>0</v>
      </c>
      <c r="G126" s="937">
        <f t="shared" si="2"/>
        <v>0</v>
      </c>
      <c r="H126" s="949"/>
    </row>
    <row r="127" spans="1:8" ht="12.75" customHeight="1" hidden="1">
      <c r="A127" s="933"/>
      <c r="B127" s="950" t="s">
        <v>835</v>
      </c>
      <c r="C127" s="951" t="s">
        <v>829</v>
      </c>
      <c r="D127" s="941"/>
      <c r="E127" s="938">
        <f t="shared" si="3"/>
        <v>0</v>
      </c>
      <c r="F127" s="1236"/>
      <c r="G127" s="941">
        <f t="shared" si="2"/>
        <v>0</v>
      </c>
      <c r="H127" s="942"/>
    </row>
    <row r="128" spans="1:8" ht="12.75" customHeight="1" hidden="1">
      <c r="A128" s="933"/>
      <c r="B128" s="952" t="s">
        <v>856</v>
      </c>
      <c r="C128" s="951" t="s">
        <v>830</v>
      </c>
      <c r="D128" s="941"/>
      <c r="E128" s="938">
        <f t="shared" si="3"/>
        <v>0</v>
      </c>
      <c r="F128" s="1236"/>
      <c r="G128" s="941">
        <f t="shared" si="2"/>
        <v>0</v>
      </c>
      <c r="H128" s="942"/>
    </row>
    <row r="129" spans="1:8" ht="12.75" customHeight="1" hidden="1">
      <c r="A129" s="952"/>
      <c r="B129" s="933" t="s">
        <v>952</v>
      </c>
      <c r="C129" s="940">
        <f>_xlfn.IFERROR(VLOOKUP(B129,'[1]ПО КОРИСНИЦИМА'!$C$3:$J$11609,5,FALSE),"")</f>
      </c>
      <c r="D129" s="943"/>
      <c r="E129" s="938">
        <f t="shared" si="3"/>
        <v>0</v>
      </c>
      <c r="F129" s="1237"/>
      <c r="G129" s="941">
        <f t="shared" si="2"/>
        <v>0</v>
      </c>
      <c r="H129" s="942"/>
    </row>
    <row r="130" spans="1:8" ht="12.75" customHeight="1" hidden="1">
      <c r="A130" s="952"/>
      <c r="B130" s="933" t="s">
        <v>953</v>
      </c>
      <c r="C130" s="940">
        <f>_xlfn.IFERROR(VLOOKUP(B130,'[1]ПО КОРИСНИЦИМА'!$C$3:$J$11609,5,FALSE),"")</f>
      </c>
      <c r="D130" s="943"/>
      <c r="E130" s="938">
        <f t="shared" si="3"/>
        <v>0</v>
      </c>
      <c r="F130" s="1237"/>
      <c r="G130" s="941">
        <f t="shared" si="2"/>
        <v>0</v>
      </c>
      <c r="H130" s="942"/>
    </row>
    <row r="131" spans="1:8" ht="12.75" customHeight="1" hidden="1">
      <c r="A131" s="952"/>
      <c r="B131" s="933" t="s">
        <v>954</v>
      </c>
      <c r="C131" s="940">
        <f>_xlfn.IFERROR(VLOOKUP(B131,'[1]ПО КОРИСНИЦИМА'!$C$3:$J$11609,5,FALSE),"")</f>
      </c>
      <c r="D131" s="943"/>
      <c r="E131" s="938">
        <f t="shared" si="3"/>
        <v>0</v>
      </c>
      <c r="F131" s="1237"/>
      <c r="G131" s="941">
        <f aca="true" t="shared" si="4" ref="G131:G194">D131+F131</f>
        <v>0</v>
      </c>
      <c r="H131" s="942"/>
    </row>
    <row r="132" spans="1:8" ht="12.75" customHeight="1" hidden="1">
      <c r="A132" s="952"/>
      <c r="B132" s="933" t="s">
        <v>955</v>
      </c>
      <c r="C132" s="940">
        <f>_xlfn.IFERROR(VLOOKUP(B132,'[1]ПО КОРИСНИЦИМА'!$C$3:$J$11609,5,FALSE),"")</f>
      </c>
      <c r="D132" s="943"/>
      <c r="E132" s="938">
        <f t="shared" si="3"/>
        <v>0</v>
      </c>
      <c r="F132" s="1237"/>
      <c r="G132" s="941">
        <f t="shared" si="4"/>
        <v>0</v>
      </c>
      <c r="H132" s="942"/>
    </row>
    <row r="133" spans="1:8" ht="12.75" customHeight="1" hidden="1">
      <c r="A133" s="952"/>
      <c r="B133" s="933" t="s">
        <v>956</v>
      </c>
      <c r="C133" s="940">
        <f>_xlfn.IFERROR(VLOOKUP(B133,'[1]ПО КОРИСНИЦИМА'!$C$3:$J$11609,5,FALSE),"")</f>
      </c>
      <c r="D133" s="943"/>
      <c r="E133" s="938">
        <f t="shared" si="3"/>
        <v>0</v>
      </c>
      <c r="F133" s="1237"/>
      <c r="G133" s="941">
        <f t="shared" si="4"/>
        <v>0</v>
      </c>
      <c r="H133" s="942"/>
    </row>
    <row r="134" spans="1:8" ht="12.75" customHeight="1" hidden="1">
      <c r="A134" s="952"/>
      <c r="B134" s="933" t="s">
        <v>957</v>
      </c>
      <c r="C134" s="940">
        <f>_xlfn.IFERROR(VLOOKUP(B134,'[1]ПО КОРИСНИЦИМА'!$C$3:$J$11609,5,FALSE),"")</f>
      </c>
      <c r="D134" s="943"/>
      <c r="E134" s="938">
        <f aca="true" t="shared" si="5" ref="E134:E197">D134/483017969</f>
        <v>0</v>
      </c>
      <c r="F134" s="1237"/>
      <c r="G134" s="941">
        <f t="shared" si="4"/>
        <v>0</v>
      </c>
      <c r="H134" s="942"/>
    </row>
    <row r="135" spans="1:8" ht="12.75" customHeight="1" hidden="1">
      <c r="A135" s="952"/>
      <c r="B135" s="933" t="s">
        <v>958</v>
      </c>
      <c r="C135" s="940">
        <f>_xlfn.IFERROR(VLOOKUP(B135,'[1]ПО КОРИСНИЦИМА'!$C$3:$J$11609,5,FALSE),"")</f>
      </c>
      <c r="D135" s="943"/>
      <c r="E135" s="938">
        <f t="shared" si="5"/>
        <v>0</v>
      </c>
      <c r="F135" s="1237"/>
      <c r="G135" s="941">
        <f t="shared" si="4"/>
        <v>0</v>
      </c>
      <c r="H135" s="942"/>
    </row>
    <row r="136" spans="1:8" ht="12.75" customHeight="1" hidden="1">
      <c r="A136" s="952"/>
      <c r="B136" s="933" t="s">
        <v>959</v>
      </c>
      <c r="C136" s="940">
        <f>_xlfn.IFERROR(VLOOKUP(B136,'[1]ПО КОРИСНИЦИМА'!$C$3:$J$11609,5,FALSE),"")</f>
      </c>
      <c r="D136" s="943"/>
      <c r="E136" s="938">
        <f t="shared" si="5"/>
        <v>0</v>
      </c>
      <c r="F136" s="1237"/>
      <c r="G136" s="941">
        <f t="shared" si="4"/>
        <v>0</v>
      </c>
      <c r="H136" s="942"/>
    </row>
    <row r="137" spans="1:8" ht="12.75" customHeight="1" hidden="1">
      <c r="A137" s="952"/>
      <c r="B137" s="933" t="s">
        <v>960</v>
      </c>
      <c r="C137" s="940">
        <f>_xlfn.IFERROR(VLOOKUP(B137,'[1]ПО КОРИСНИЦИМА'!$C$3:$J$11609,5,FALSE),"")</f>
      </c>
      <c r="D137" s="943"/>
      <c r="E137" s="938">
        <f t="shared" si="5"/>
        <v>0</v>
      </c>
      <c r="F137" s="1237"/>
      <c r="G137" s="941">
        <f t="shared" si="4"/>
        <v>0</v>
      </c>
      <c r="H137" s="942"/>
    </row>
    <row r="138" spans="1:8" ht="12.75" customHeight="1" hidden="1">
      <c r="A138" s="952"/>
      <c r="B138" s="933" t="s">
        <v>961</v>
      </c>
      <c r="C138" s="940">
        <f>_xlfn.IFERROR(VLOOKUP(B138,'[1]ПО КОРИСНИЦИМА'!$C$3:$J$11609,5,FALSE),"")</f>
      </c>
      <c r="D138" s="943"/>
      <c r="E138" s="938">
        <f t="shared" si="5"/>
        <v>0</v>
      </c>
      <c r="F138" s="1237"/>
      <c r="G138" s="941">
        <f t="shared" si="4"/>
        <v>0</v>
      </c>
      <c r="H138" s="942"/>
    </row>
    <row r="139" spans="1:8" ht="12.75" customHeight="1" hidden="1">
      <c r="A139" s="952"/>
      <c r="B139" s="933" t="s">
        <v>962</v>
      </c>
      <c r="C139" s="940">
        <f>_xlfn.IFERROR(VLOOKUP(B139,'[1]ПО КОРИСНИЦИМА'!$C$3:$J$11609,5,FALSE),"")</f>
      </c>
      <c r="D139" s="943"/>
      <c r="E139" s="938">
        <f t="shared" si="5"/>
        <v>0</v>
      </c>
      <c r="F139" s="1237"/>
      <c r="G139" s="941">
        <f t="shared" si="4"/>
        <v>0</v>
      </c>
      <c r="H139" s="942"/>
    </row>
    <row r="140" spans="1:8" ht="12.75" customHeight="1" hidden="1">
      <c r="A140" s="952"/>
      <c r="B140" s="933" t="s">
        <v>963</v>
      </c>
      <c r="C140" s="940">
        <f>_xlfn.IFERROR(VLOOKUP(B140,'[1]ПО КОРИСНИЦИМА'!$C$3:$J$11609,5,FALSE),"")</f>
      </c>
      <c r="D140" s="943"/>
      <c r="E140" s="938">
        <f t="shared" si="5"/>
        <v>0</v>
      </c>
      <c r="F140" s="1237"/>
      <c r="G140" s="941">
        <f t="shared" si="4"/>
        <v>0</v>
      </c>
      <c r="H140" s="942"/>
    </row>
    <row r="141" spans="1:8" ht="12.75" customHeight="1" hidden="1">
      <c r="A141" s="952"/>
      <c r="B141" s="933" t="s">
        <v>964</v>
      </c>
      <c r="C141" s="940">
        <f>_xlfn.IFERROR(VLOOKUP(B141,'[1]ПО КОРИСНИЦИМА'!$C$3:$J$11609,5,FALSE),"")</f>
      </c>
      <c r="D141" s="943"/>
      <c r="E141" s="938">
        <f t="shared" si="5"/>
        <v>0</v>
      </c>
      <c r="F141" s="1237"/>
      <c r="G141" s="941">
        <f t="shared" si="4"/>
        <v>0</v>
      </c>
      <c r="H141" s="942"/>
    </row>
    <row r="142" spans="1:8" ht="12.75" customHeight="1" hidden="1">
      <c r="A142" s="952"/>
      <c r="B142" s="933" t="s">
        <v>965</v>
      </c>
      <c r="C142" s="940">
        <f>_xlfn.IFERROR(VLOOKUP(B142,'[1]ПО КОРИСНИЦИМА'!$C$3:$J$11609,5,FALSE),"")</f>
      </c>
      <c r="D142" s="943"/>
      <c r="E142" s="938">
        <f t="shared" si="5"/>
        <v>0</v>
      </c>
      <c r="F142" s="1237"/>
      <c r="G142" s="941">
        <f t="shared" si="4"/>
        <v>0</v>
      </c>
      <c r="H142" s="942"/>
    </row>
    <row r="143" spans="1:8" ht="12.75" customHeight="1" hidden="1">
      <c r="A143" s="952"/>
      <c r="B143" s="933" t="s">
        <v>966</v>
      </c>
      <c r="C143" s="940">
        <f>_xlfn.IFERROR(VLOOKUP(B143,'[1]ПО КОРИСНИЦИМА'!$C$3:$J$11609,5,FALSE),"")</f>
      </c>
      <c r="D143" s="943" t="e">
        <f>SUMIF('[1]ПО КОРИСНИЦИМА'!$G$3:$G$11609,"Свега за пројекат 1502-П15:",'[1]ПО КОРИСНИЦИМА'!$H$3:$H$11609)</f>
        <v>#VALUE!</v>
      </c>
      <c r="E143" s="938" t="e">
        <f t="shared" si="5"/>
        <v>#VALUE!</v>
      </c>
      <c r="F143" s="1237" t="e">
        <f>SUMIF('[1]ПО КОРИСНИЦИМА'!$G$3:$G$11609,"Свега за пројекат 1502-П15:",'[1]ПО КОРИСНИЦИМА'!$H$3:$H$11609)</f>
        <v>#VALUE!</v>
      </c>
      <c r="G143" s="941" t="e">
        <f t="shared" si="4"/>
        <v>#VALUE!</v>
      </c>
      <c r="H143" s="942"/>
    </row>
    <row r="144" spans="1:8" ht="12.75" customHeight="1" hidden="1">
      <c r="A144" s="952"/>
      <c r="B144" s="933" t="s">
        <v>967</v>
      </c>
      <c r="C144" s="940">
        <f>_xlfn.IFERROR(VLOOKUP(B144,'[1]ПО КОРИСНИЦИМА'!$C$3:$J$11609,5,FALSE),"")</f>
      </c>
      <c r="D144" s="943" t="e">
        <f>SUMIF('[1]ПО КОРИСНИЦИМА'!$G$3:$G$11609,"Свега за пројекат 1502-П16:",'[1]ПО КОРИСНИЦИМА'!$H$3:$H$11609)</f>
        <v>#VALUE!</v>
      </c>
      <c r="E144" s="938" t="e">
        <f t="shared" si="5"/>
        <v>#VALUE!</v>
      </c>
      <c r="F144" s="1237" t="e">
        <f>SUMIF('[1]ПО КОРИСНИЦИМА'!$G$3:$G$11609,"Свега за пројекат 1502-П16:",'[1]ПО КОРИСНИЦИМА'!$H$3:$H$11609)</f>
        <v>#VALUE!</v>
      </c>
      <c r="G144" s="941" t="e">
        <f t="shared" si="4"/>
        <v>#VALUE!</v>
      </c>
      <c r="H144" s="942"/>
    </row>
    <row r="145" spans="1:8" ht="12.75" customHeight="1" hidden="1">
      <c r="A145" s="952"/>
      <c r="B145" s="933" t="s">
        <v>968</v>
      </c>
      <c r="C145" s="940">
        <f>_xlfn.IFERROR(VLOOKUP(B145,'[1]ПО КОРИСНИЦИМА'!$C$3:$J$11609,5,FALSE),"")</f>
      </c>
      <c r="D145" s="943" t="e">
        <f>SUMIF('[1]ПО КОРИСНИЦИМА'!$G$3:$G$11609,"Свега за пројекат 1502-П17:",'[1]ПО КОРИСНИЦИМА'!$H$3:$H$11609)</f>
        <v>#VALUE!</v>
      </c>
      <c r="E145" s="938" t="e">
        <f t="shared" si="5"/>
        <v>#VALUE!</v>
      </c>
      <c r="F145" s="1237" t="e">
        <f>SUMIF('[1]ПО КОРИСНИЦИМА'!$G$3:$G$11609,"Свега за пројекат 1502-П17:",'[1]ПО КОРИСНИЦИМА'!$H$3:$H$11609)</f>
        <v>#VALUE!</v>
      </c>
      <c r="G145" s="941" t="e">
        <f t="shared" si="4"/>
        <v>#VALUE!</v>
      </c>
      <c r="H145" s="942"/>
    </row>
    <row r="146" spans="1:8" ht="12.75" customHeight="1" hidden="1">
      <c r="A146" s="952"/>
      <c r="B146" s="933" t="s">
        <v>969</v>
      </c>
      <c r="C146" s="940">
        <f>_xlfn.IFERROR(VLOOKUP(B146,'[1]ПО КОРИСНИЦИМА'!$C$3:$J$11609,5,FALSE),"")</f>
      </c>
      <c r="D146" s="943" t="e">
        <f>SUMIF('[1]ПО КОРИСНИЦИМА'!$G$3:$G$11609,"Свега за пројекат 1502-П18:",'[1]ПО КОРИСНИЦИМА'!$H$3:$H$11609)</f>
        <v>#VALUE!</v>
      </c>
      <c r="E146" s="938" t="e">
        <f t="shared" si="5"/>
        <v>#VALUE!</v>
      </c>
      <c r="F146" s="1237" t="e">
        <f>SUMIF('[1]ПО КОРИСНИЦИМА'!$G$3:$G$11609,"Свега за пројекат 1502-П18:",'[1]ПО КОРИСНИЦИМА'!$H$3:$H$11609)</f>
        <v>#VALUE!</v>
      </c>
      <c r="G146" s="941" t="e">
        <f t="shared" si="4"/>
        <v>#VALUE!</v>
      </c>
      <c r="H146" s="942"/>
    </row>
    <row r="147" spans="1:8" ht="12.75" customHeight="1" hidden="1">
      <c r="A147" s="952"/>
      <c r="B147" s="933" t="s">
        <v>970</v>
      </c>
      <c r="C147" s="940">
        <f>_xlfn.IFERROR(VLOOKUP(B147,'[1]ПО КОРИСНИЦИМА'!$C$3:$J$11609,5,FALSE),"")</f>
      </c>
      <c r="D147" s="943" t="e">
        <f>SUMIF('[1]ПО КОРИСНИЦИМА'!$G$3:$G$11609,"Свега за пројекат 1502-П19:",'[1]ПО КОРИСНИЦИМА'!$H$3:$H$11609)</f>
        <v>#VALUE!</v>
      </c>
      <c r="E147" s="938" t="e">
        <f t="shared" si="5"/>
        <v>#VALUE!</v>
      </c>
      <c r="F147" s="1237" t="e">
        <f>SUMIF('[1]ПО КОРИСНИЦИМА'!$G$3:$G$11609,"Свега за пројекат 1502-П19:",'[1]ПО КОРИСНИЦИМА'!$H$3:$H$11609)</f>
        <v>#VALUE!</v>
      </c>
      <c r="G147" s="941" t="e">
        <f t="shared" si="4"/>
        <v>#VALUE!</v>
      </c>
      <c r="H147" s="942"/>
    </row>
    <row r="148" spans="1:8" ht="12.75" customHeight="1" hidden="1">
      <c r="A148" s="952"/>
      <c r="B148" s="933" t="s">
        <v>971</v>
      </c>
      <c r="C148" s="940">
        <f>_xlfn.IFERROR(VLOOKUP(B148,'[1]ПО КОРИСНИЦИМА'!$C$3:$J$11609,5,FALSE),"")</f>
      </c>
      <c r="D148" s="943" t="e">
        <f>SUMIF('[1]ПО КОРИСНИЦИМА'!$G$3:$G$11609,"Свега за пројекат 1502-П20:",'[1]ПО КОРИСНИЦИМА'!$H$3:$H$11609)</f>
        <v>#VALUE!</v>
      </c>
      <c r="E148" s="938" t="e">
        <f t="shared" si="5"/>
        <v>#VALUE!</v>
      </c>
      <c r="F148" s="1237" t="e">
        <f>SUMIF('[1]ПО КОРИСНИЦИМА'!$G$3:$G$11609,"Свега за пројекат 1502-П20:",'[1]ПО КОРИСНИЦИМА'!$H$3:$H$11609)</f>
        <v>#VALUE!</v>
      </c>
      <c r="G148" s="941" t="e">
        <f t="shared" si="4"/>
        <v>#VALUE!</v>
      </c>
      <c r="H148" s="942"/>
    </row>
    <row r="149" spans="1:8" ht="12.75" customHeight="1" hidden="1">
      <c r="A149" s="952"/>
      <c r="B149" s="933" t="s">
        <v>972</v>
      </c>
      <c r="C149" s="940">
        <f>_xlfn.IFERROR(VLOOKUP(B149,'[1]ПО КОРИСНИЦИМА'!$C$3:$J$11609,5,FALSE),"")</f>
      </c>
      <c r="D149" s="943" t="e">
        <f>SUMIF('[1]ПО КОРИСНИЦИМА'!$G$3:$G$11609,"Свега за пројекат 1502-П21:",'[1]ПО КОРИСНИЦИМА'!$H$3:$H$11609)</f>
        <v>#VALUE!</v>
      </c>
      <c r="E149" s="938" t="e">
        <f t="shared" si="5"/>
        <v>#VALUE!</v>
      </c>
      <c r="F149" s="1237" t="e">
        <f>SUMIF('[1]ПО КОРИСНИЦИМА'!$G$3:$G$11609,"Свега за пројекат 1502-П21:",'[1]ПО КОРИСНИЦИМА'!$H$3:$H$11609)</f>
        <v>#VALUE!</v>
      </c>
      <c r="G149" s="941" t="e">
        <f t="shared" si="4"/>
        <v>#VALUE!</v>
      </c>
      <c r="H149" s="942"/>
    </row>
    <row r="150" spans="1:8" ht="12.75" customHeight="1" hidden="1">
      <c r="A150" s="952"/>
      <c r="B150" s="933" t="s">
        <v>973</v>
      </c>
      <c r="C150" s="940">
        <f>_xlfn.IFERROR(VLOOKUP(B150,'[1]ПО КОРИСНИЦИМА'!$C$3:$J$11609,5,FALSE),"")</f>
      </c>
      <c r="D150" s="943" t="e">
        <f>SUMIF('[1]ПО КОРИСНИЦИМА'!$G$3:$G$11609,"Свега за пројекат 1502-П22:",'[1]ПО КОРИСНИЦИМА'!$H$3:$H$11609)</f>
        <v>#VALUE!</v>
      </c>
      <c r="E150" s="938" t="e">
        <f t="shared" si="5"/>
        <v>#VALUE!</v>
      </c>
      <c r="F150" s="1237" t="e">
        <f>SUMIF('[1]ПО КОРИСНИЦИМА'!$G$3:$G$11609,"Свега за пројекат 1502-П22:",'[1]ПО КОРИСНИЦИМА'!$H$3:$H$11609)</f>
        <v>#VALUE!</v>
      </c>
      <c r="G150" s="941" t="e">
        <f t="shared" si="4"/>
        <v>#VALUE!</v>
      </c>
      <c r="H150" s="942"/>
    </row>
    <row r="151" spans="1:8" ht="12.75" customHeight="1" hidden="1">
      <c r="A151" s="952"/>
      <c r="B151" s="933" t="s">
        <v>974</v>
      </c>
      <c r="C151" s="940">
        <f>_xlfn.IFERROR(VLOOKUP(B151,'[1]ПО КОРИСНИЦИМА'!$C$3:$J$11609,5,FALSE),"")</f>
      </c>
      <c r="D151" s="943" t="e">
        <f>SUMIF('[1]ПО КОРИСНИЦИМА'!$G$3:$G$11609,"Свега за пројекат 1502-П23:",'[1]ПО КОРИСНИЦИМА'!$H$3:$H$11609)</f>
        <v>#VALUE!</v>
      </c>
      <c r="E151" s="938" t="e">
        <f t="shared" si="5"/>
        <v>#VALUE!</v>
      </c>
      <c r="F151" s="1237" t="e">
        <f>SUMIF('[1]ПО КОРИСНИЦИМА'!$G$3:$G$11609,"Свега за пројекат 1502-П23:",'[1]ПО КОРИСНИЦИМА'!$H$3:$H$11609)</f>
        <v>#VALUE!</v>
      </c>
      <c r="G151" s="941" t="e">
        <f t="shared" si="4"/>
        <v>#VALUE!</v>
      </c>
      <c r="H151" s="942"/>
    </row>
    <row r="152" spans="1:8" ht="12.75" customHeight="1" hidden="1">
      <c r="A152" s="952"/>
      <c r="B152" s="933" t="s">
        <v>975</v>
      </c>
      <c r="C152" s="940">
        <f>_xlfn.IFERROR(VLOOKUP(B152,'[1]ПО КОРИСНИЦИМА'!$C$3:$J$11609,5,FALSE),"")</f>
      </c>
      <c r="D152" s="943" t="e">
        <f>SUMIF('[1]ПО КОРИСНИЦИМА'!$G$3:$G$11609,"Свега за пројекат 1502-П24:",'[1]ПО КОРИСНИЦИМА'!$H$3:$H$11609)</f>
        <v>#VALUE!</v>
      </c>
      <c r="E152" s="938" t="e">
        <f t="shared" si="5"/>
        <v>#VALUE!</v>
      </c>
      <c r="F152" s="1237" t="e">
        <f>SUMIF('[1]ПО КОРИСНИЦИМА'!$G$3:$G$11609,"Свега за пројекат 1502-П24:",'[1]ПО КОРИСНИЦИМА'!$H$3:$H$11609)</f>
        <v>#VALUE!</v>
      </c>
      <c r="G152" s="941" t="e">
        <f t="shared" si="4"/>
        <v>#VALUE!</v>
      </c>
      <c r="H152" s="942"/>
    </row>
    <row r="153" spans="1:8" s="306" customFormat="1" ht="12.75">
      <c r="A153" s="934" t="s">
        <v>298</v>
      </c>
      <c r="B153" s="935"/>
      <c r="C153" s="936" t="s">
        <v>0</v>
      </c>
      <c r="D153" s="937">
        <f>SUM(D154:D155)</f>
        <v>6800000</v>
      </c>
      <c r="E153" s="938">
        <f t="shared" si="5"/>
        <v>0.014078151200209282</v>
      </c>
      <c r="F153" s="1235">
        <f>SUM(F154:F155)</f>
        <v>52000000</v>
      </c>
      <c r="G153" s="937">
        <f t="shared" si="4"/>
        <v>58800000</v>
      </c>
      <c r="H153" s="949"/>
    </row>
    <row r="154" spans="1:8" ht="12.75">
      <c r="A154" s="933"/>
      <c r="B154" s="952" t="s">
        <v>299</v>
      </c>
      <c r="C154" s="940" t="s">
        <v>1248</v>
      </c>
      <c r="D154" s="941">
        <f>Rashodi!M262</f>
        <v>5300000</v>
      </c>
      <c r="E154" s="1242">
        <f t="shared" si="5"/>
        <v>0.010972676670751353</v>
      </c>
      <c r="F154" s="1236">
        <f>Rashodi!T262</f>
        <v>52000000</v>
      </c>
      <c r="G154" s="941">
        <f t="shared" si="4"/>
        <v>57300000</v>
      </c>
      <c r="H154" s="942" t="s">
        <v>1150</v>
      </c>
    </row>
    <row r="155" spans="1:8" ht="12.75">
      <c r="A155" s="933"/>
      <c r="B155" s="952" t="s">
        <v>300</v>
      </c>
      <c r="C155" s="940" t="s">
        <v>1211</v>
      </c>
      <c r="D155" s="941">
        <f>Rashodi!M275</f>
        <v>1500000</v>
      </c>
      <c r="E155" s="1242">
        <f t="shared" si="5"/>
        <v>0.0031054745294579298</v>
      </c>
      <c r="F155" s="1236">
        <f>Rashodi!O275</f>
        <v>0</v>
      </c>
      <c r="G155" s="941">
        <f t="shared" si="4"/>
        <v>1500000</v>
      </c>
      <c r="H155" s="942" t="s">
        <v>1150</v>
      </c>
    </row>
    <row r="156" spans="1:8" ht="12.75" hidden="1">
      <c r="A156" s="952"/>
      <c r="B156" s="950" t="s">
        <v>976</v>
      </c>
      <c r="C156" s="940">
        <f>_xlfn.IFERROR(VLOOKUP(B156,'[1]ПО КОРИСНИЦИМА'!$C$3:$J$11609,5,FALSE),"")</f>
      </c>
      <c r="D156" s="943"/>
      <c r="E156" s="938">
        <f t="shared" si="5"/>
        <v>0</v>
      </c>
      <c r="F156" s="1237"/>
      <c r="G156" s="941">
        <f t="shared" si="4"/>
        <v>0</v>
      </c>
      <c r="H156" s="942"/>
    </row>
    <row r="157" spans="1:8" ht="12.75" hidden="1">
      <c r="A157" s="952"/>
      <c r="B157" s="950" t="s">
        <v>977</v>
      </c>
      <c r="C157" s="940">
        <f>_xlfn.IFERROR(VLOOKUP(B157,'[1]ПО КОРИСНИЦИМА'!$C$3:$J$11609,5,FALSE),"")</f>
      </c>
      <c r="D157" s="943"/>
      <c r="E157" s="938">
        <f t="shared" si="5"/>
        <v>0</v>
      </c>
      <c r="F157" s="1237"/>
      <c r="G157" s="941">
        <f t="shared" si="4"/>
        <v>0</v>
      </c>
      <c r="H157" s="942"/>
    </row>
    <row r="158" spans="1:8" ht="12.75" hidden="1">
      <c r="A158" s="952"/>
      <c r="B158" s="950" t="s">
        <v>978</v>
      </c>
      <c r="C158" s="940">
        <f>_xlfn.IFERROR(VLOOKUP(B158,'[1]ПО КОРИСНИЦИМА'!$C$3:$J$11609,5,FALSE),"")</f>
      </c>
      <c r="D158" s="943"/>
      <c r="E158" s="938">
        <f t="shared" si="5"/>
        <v>0</v>
      </c>
      <c r="F158" s="1237"/>
      <c r="G158" s="941">
        <f t="shared" si="4"/>
        <v>0</v>
      </c>
      <c r="H158" s="942"/>
    </row>
    <row r="159" spans="1:8" ht="12.75" hidden="1">
      <c r="A159" s="952"/>
      <c r="B159" s="950" t="s">
        <v>979</v>
      </c>
      <c r="C159" s="940">
        <f>_xlfn.IFERROR(VLOOKUP(B159,'[1]ПО КОРИСНИЦИМА'!$C$3:$J$11609,5,FALSE),"")</f>
      </c>
      <c r="D159" s="943"/>
      <c r="E159" s="938">
        <f t="shared" si="5"/>
        <v>0</v>
      </c>
      <c r="F159" s="1237"/>
      <c r="G159" s="941">
        <f t="shared" si="4"/>
        <v>0</v>
      </c>
      <c r="H159" s="942"/>
    </row>
    <row r="160" spans="1:8" ht="12.75" hidden="1">
      <c r="A160" s="952"/>
      <c r="B160" s="950" t="s">
        <v>980</v>
      </c>
      <c r="C160" s="940">
        <f>_xlfn.IFERROR(VLOOKUP(B160,'[1]ПО КОРИСНИЦИМА'!$C$3:$J$11609,5,FALSE),"")</f>
      </c>
      <c r="D160" s="943"/>
      <c r="E160" s="938">
        <f t="shared" si="5"/>
        <v>0</v>
      </c>
      <c r="F160" s="1237"/>
      <c r="G160" s="941">
        <f t="shared" si="4"/>
        <v>0</v>
      </c>
      <c r="H160" s="942"/>
    </row>
    <row r="161" spans="1:8" ht="12.75" hidden="1">
      <c r="A161" s="952"/>
      <c r="B161" s="950" t="s">
        <v>981</v>
      </c>
      <c r="C161" s="940">
        <f>_xlfn.IFERROR(VLOOKUP(B161,'[1]ПО КОРИСНИЦИМА'!$C$3:$J$11609,5,FALSE),"")</f>
      </c>
      <c r="D161" s="943"/>
      <c r="E161" s="938">
        <f t="shared" si="5"/>
        <v>0</v>
      </c>
      <c r="F161" s="1237"/>
      <c r="G161" s="941">
        <f t="shared" si="4"/>
        <v>0</v>
      </c>
      <c r="H161" s="942"/>
    </row>
    <row r="162" spans="1:8" ht="12.75" hidden="1">
      <c r="A162" s="952"/>
      <c r="B162" s="950" t="s">
        <v>982</v>
      </c>
      <c r="C162" s="940">
        <f>_xlfn.IFERROR(VLOOKUP(B162,'[1]ПО КОРИСНИЦИМА'!$C$3:$J$11609,5,FALSE),"")</f>
      </c>
      <c r="D162" s="943"/>
      <c r="E162" s="938">
        <f t="shared" si="5"/>
        <v>0</v>
      </c>
      <c r="F162" s="1237"/>
      <c r="G162" s="941">
        <f t="shared" si="4"/>
        <v>0</v>
      </c>
      <c r="H162" s="942"/>
    </row>
    <row r="163" spans="1:8" ht="12.75" hidden="1">
      <c r="A163" s="952"/>
      <c r="B163" s="950" t="s">
        <v>983</v>
      </c>
      <c r="C163" s="940">
        <f>_xlfn.IFERROR(VLOOKUP(B163,'[1]ПО КОРИСНИЦИМА'!$C$3:$J$11609,5,FALSE),"")</f>
      </c>
      <c r="D163" s="943" t="e">
        <f>SUMIF('[1]ПО КОРИСНИЦИМА'!$G$3:$G$11609,"Свега за пројекат 0101-П8:",'[1]ПО КОРИСНИЦИМА'!$H$3:$H$11609)</f>
        <v>#VALUE!</v>
      </c>
      <c r="E163" s="938" t="e">
        <f t="shared" si="5"/>
        <v>#VALUE!</v>
      </c>
      <c r="F163" s="1237" t="e">
        <f>SUMIF('[1]ПО КОРИСНИЦИМА'!$G$3:$G$11609,"Свега за пројекат 0101-П8:",'[1]ПО КОРИСНИЦИМА'!$H$3:$H$11609)</f>
        <v>#VALUE!</v>
      </c>
      <c r="G163" s="941" t="e">
        <f t="shared" si="4"/>
        <v>#VALUE!</v>
      </c>
      <c r="H163" s="942"/>
    </row>
    <row r="164" spans="1:8" ht="12.75" hidden="1">
      <c r="A164" s="952"/>
      <c r="B164" s="950" t="s">
        <v>984</v>
      </c>
      <c r="C164" s="940">
        <f>_xlfn.IFERROR(VLOOKUP(B164,'[1]ПО КОРИСНИЦИМА'!$C$3:$J$11609,5,FALSE),"")</f>
      </c>
      <c r="D164" s="943" t="e">
        <f>SUMIF('[1]ПО КОРИСНИЦИМА'!$G$3:$G$11609,"Свега за пројекат 0101-П9:",'[1]ПО КОРИСНИЦИМА'!$H$3:$H$11609)</f>
        <v>#VALUE!</v>
      </c>
      <c r="E164" s="938" t="e">
        <f t="shared" si="5"/>
        <v>#VALUE!</v>
      </c>
      <c r="F164" s="1237" t="e">
        <f>SUMIF('[1]ПО КОРИСНИЦИМА'!$G$3:$G$11609,"Свега за пројекат 0101-П9:",'[1]ПО КОРИСНИЦИМА'!$H$3:$H$11609)</f>
        <v>#VALUE!</v>
      </c>
      <c r="G164" s="941" t="e">
        <f t="shared" si="4"/>
        <v>#VALUE!</v>
      </c>
      <c r="H164" s="942"/>
    </row>
    <row r="165" spans="1:8" ht="12.75" hidden="1">
      <c r="A165" s="952"/>
      <c r="B165" s="950" t="s">
        <v>985</v>
      </c>
      <c r="C165" s="940">
        <f>_xlfn.IFERROR(VLOOKUP(B165,'[1]ПО КОРИСНИЦИМА'!$C$3:$J$11609,5,FALSE),"")</f>
      </c>
      <c r="D165" s="943" t="e">
        <f>SUMIF('[1]ПО КОРИСНИЦИМА'!$G$3:$G$11609,"Свега за пројекат 0101-П10:",'[1]ПО КОРИСНИЦИМА'!$H$3:$H$11609)</f>
        <v>#VALUE!</v>
      </c>
      <c r="E165" s="938" t="e">
        <f t="shared" si="5"/>
        <v>#VALUE!</v>
      </c>
      <c r="F165" s="1237" t="e">
        <f>SUMIF('[1]ПО КОРИСНИЦИМА'!$G$3:$G$11609,"Свега за пројекат 0101-П10:",'[1]ПО КОРИСНИЦИМА'!$H$3:$H$11609)</f>
        <v>#VALUE!</v>
      </c>
      <c r="G165" s="941" t="e">
        <f t="shared" si="4"/>
        <v>#VALUE!</v>
      </c>
      <c r="H165" s="942"/>
    </row>
    <row r="166" spans="1:8" ht="12.75" hidden="1">
      <c r="A166" s="952"/>
      <c r="B166" s="950" t="s">
        <v>986</v>
      </c>
      <c r="C166" s="940">
        <f>_xlfn.IFERROR(VLOOKUP(B166,'[1]ПО КОРИСНИЦИМА'!$C$3:$J$11609,5,FALSE),"")</f>
      </c>
      <c r="D166" s="943" t="e">
        <f>SUMIF('[1]ПО КОРИСНИЦИМА'!$G$3:$G$11609,"Свега за пројекат 0101-П11:",'[1]ПО КОРИСНИЦИМА'!$H$3:$H$11609)</f>
        <v>#VALUE!</v>
      </c>
      <c r="E166" s="938" t="e">
        <f t="shared" si="5"/>
        <v>#VALUE!</v>
      </c>
      <c r="F166" s="1237" t="e">
        <f>SUMIF('[1]ПО КОРИСНИЦИМА'!$G$3:$G$11609,"Свега за пројекат 0101-П11:",'[1]ПО КОРИСНИЦИМА'!$H$3:$H$11609)</f>
        <v>#VALUE!</v>
      </c>
      <c r="G166" s="941" t="e">
        <f t="shared" si="4"/>
        <v>#VALUE!</v>
      </c>
      <c r="H166" s="942"/>
    </row>
    <row r="167" spans="1:8" ht="12.75" hidden="1">
      <c r="A167" s="952"/>
      <c r="B167" s="950" t="s">
        <v>987</v>
      </c>
      <c r="C167" s="940">
        <f>_xlfn.IFERROR(VLOOKUP(B167,'[1]ПО КОРИСНИЦИМА'!$C$3:$J$11609,5,FALSE),"")</f>
      </c>
      <c r="D167" s="943" t="e">
        <f>SUMIF('[1]ПО КОРИСНИЦИМА'!$G$3:$G$11609,"Свега за пројекат 0101-П12:",'[1]ПО КОРИСНИЦИМА'!$H$3:$H$11609)</f>
        <v>#VALUE!</v>
      </c>
      <c r="E167" s="938" t="e">
        <f t="shared" si="5"/>
        <v>#VALUE!</v>
      </c>
      <c r="F167" s="1237" t="e">
        <f>SUMIF('[1]ПО КОРИСНИЦИМА'!$G$3:$G$11609,"Свега за пројекат 0101-П12:",'[1]ПО КОРИСНИЦИМА'!$H$3:$H$11609)</f>
        <v>#VALUE!</v>
      </c>
      <c r="G167" s="941" t="e">
        <f t="shared" si="4"/>
        <v>#VALUE!</v>
      </c>
      <c r="H167" s="942"/>
    </row>
    <row r="168" spans="1:8" ht="12.75" hidden="1">
      <c r="A168" s="952"/>
      <c r="B168" s="950" t="s">
        <v>988</v>
      </c>
      <c r="C168" s="940">
        <f>_xlfn.IFERROR(VLOOKUP(B168,'[1]ПО КОРИСНИЦИМА'!$C$3:$J$11609,5,FALSE),"")</f>
      </c>
      <c r="D168" s="943" t="e">
        <f>SUMIF('[1]ПО КОРИСНИЦИМА'!$G$3:$G$11609,"Свега за пројекат 0101-П13:",'[1]ПО КОРИСНИЦИМА'!$H$3:$H$11609)</f>
        <v>#VALUE!</v>
      </c>
      <c r="E168" s="938" t="e">
        <f t="shared" si="5"/>
        <v>#VALUE!</v>
      </c>
      <c r="F168" s="1237" t="e">
        <f>SUMIF('[1]ПО КОРИСНИЦИМА'!$G$3:$G$11609,"Свега за пројекат 0101-П13:",'[1]ПО КОРИСНИЦИМА'!$H$3:$H$11609)</f>
        <v>#VALUE!</v>
      </c>
      <c r="G168" s="941" t="e">
        <f t="shared" si="4"/>
        <v>#VALUE!</v>
      </c>
      <c r="H168" s="942"/>
    </row>
    <row r="169" spans="1:8" ht="12.75" hidden="1">
      <c r="A169" s="952"/>
      <c r="B169" s="950" t="s">
        <v>989</v>
      </c>
      <c r="C169" s="940">
        <f>_xlfn.IFERROR(VLOOKUP(B169,'[1]ПО КОРИСНИЦИМА'!$C$3:$J$11609,5,FALSE),"")</f>
      </c>
      <c r="D169" s="943" t="e">
        <f>SUMIF('[1]ПО КОРИСНИЦИМА'!$G$3:$G$11609,"Свега за пројекат 0101-П14:",'[1]ПО КОРИСНИЦИМА'!$H$3:$H$11609)</f>
        <v>#VALUE!</v>
      </c>
      <c r="E169" s="938" t="e">
        <f t="shared" si="5"/>
        <v>#VALUE!</v>
      </c>
      <c r="F169" s="1237" t="e">
        <f>SUMIF('[1]ПО КОРИСНИЦИМА'!$G$3:$G$11609,"Свега за пројекат 0101-П14:",'[1]ПО КОРИСНИЦИМА'!$H$3:$H$11609)</f>
        <v>#VALUE!</v>
      </c>
      <c r="G169" s="941" t="e">
        <f t="shared" si="4"/>
        <v>#VALUE!</v>
      </c>
      <c r="H169" s="942"/>
    </row>
    <row r="170" spans="1:8" ht="12.75" hidden="1">
      <c r="A170" s="952"/>
      <c r="B170" s="950" t="s">
        <v>990</v>
      </c>
      <c r="C170" s="940">
        <f>_xlfn.IFERROR(VLOOKUP(B170,'[1]ПО КОРИСНИЦИМА'!$C$3:$J$11609,5,FALSE),"")</f>
      </c>
      <c r="D170" s="943" t="e">
        <f>SUMIF('[1]ПО КОРИСНИЦИМА'!$G$3:$G$11609,"Свега за пројекат 0101-П15:",'[1]ПО КОРИСНИЦИМА'!$H$3:$H$11609)</f>
        <v>#VALUE!</v>
      </c>
      <c r="E170" s="938" t="e">
        <f t="shared" si="5"/>
        <v>#VALUE!</v>
      </c>
      <c r="F170" s="1237" t="e">
        <f>SUMIF('[1]ПО КОРИСНИЦИМА'!$G$3:$G$11609,"Свега за пројекат 0101-П15:",'[1]ПО КОРИСНИЦИМА'!$H$3:$H$11609)</f>
        <v>#VALUE!</v>
      </c>
      <c r="G170" s="941" t="e">
        <f t="shared" si="4"/>
        <v>#VALUE!</v>
      </c>
      <c r="H170" s="942"/>
    </row>
    <row r="171" spans="1:8" ht="12.75" hidden="1">
      <c r="A171" s="952"/>
      <c r="B171" s="950" t="s">
        <v>991</v>
      </c>
      <c r="C171" s="940">
        <f>_xlfn.IFERROR(VLOOKUP(B171,'[1]ПО КОРИСНИЦИМА'!$C$3:$J$11609,5,FALSE),"")</f>
      </c>
      <c r="D171" s="943" t="e">
        <f>SUMIF('[1]ПО КОРИСНИЦИМА'!$G$3:$G$11609,"Свега за пројекат 0101-П16:",'[1]ПО КОРИСНИЦИМА'!$H$3:$H$11609)</f>
        <v>#VALUE!</v>
      </c>
      <c r="E171" s="938" t="e">
        <f t="shared" si="5"/>
        <v>#VALUE!</v>
      </c>
      <c r="F171" s="1237" t="e">
        <f>SUMIF('[1]ПО КОРИСНИЦИМА'!$G$3:$G$11609,"Свега за пројекат 0101-П16:",'[1]ПО КОРИСНИЦИМА'!$H$3:$H$11609)</f>
        <v>#VALUE!</v>
      </c>
      <c r="G171" s="941" t="e">
        <f t="shared" si="4"/>
        <v>#VALUE!</v>
      </c>
      <c r="H171" s="942"/>
    </row>
    <row r="172" spans="1:8" s="306" customFormat="1" ht="12.75">
      <c r="A172" s="934" t="s">
        <v>302</v>
      </c>
      <c r="B172" s="935"/>
      <c r="C172" s="936" t="s">
        <v>1</v>
      </c>
      <c r="D172" s="937">
        <f>SUM(D173:D176)</f>
        <v>16906700</v>
      </c>
      <c r="E172" s="938">
        <f t="shared" si="5"/>
        <v>0.035002217484790925</v>
      </c>
      <c r="F172" s="1235">
        <f>SUM(F173:F176)</f>
        <v>0</v>
      </c>
      <c r="G172" s="937">
        <f t="shared" si="4"/>
        <v>16906700</v>
      </c>
      <c r="H172" s="949"/>
    </row>
    <row r="173" spans="1:8" ht="12.75">
      <c r="A173" s="933"/>
      <c r="B173" s="953" t="s">
        <v>303</v>
      </c>
      <c r="C173" s="944" t="s">
        <v>1249</v>
      </c>
      <c r="D173" s="941">
        <f>Rashodi!M283</f>
        <v>6100000</v>
      </c>
      <c r="E173" s="1242">
        <f t="shared" si="5"/>
        <v>0.012628929753128916</v>
      </c>
      <c r="F173" s="1236">
        <f>Rashodi!T283</f>
        <v>0</v>
      </c>
      <c r="G173" s="941">
        <f t="shared" si="4"/>
        <v>6100000</v>
      </c>
      <c r="H173" s="942" t="s">
        <v>1150</v>
      </c>
    </row>
    <row r="174" spans="1:8" ht="12.75">
      <c r="A174" s="933"/>
      <c r="B174" s="953" t="s">
        <v>1212</v>
      </c>
      <c r="C174" s="944" t="s">
        <v>312</v>
      </c>
      <c r="D174" s="941">
        <f>Rashodi!M279</f>
        <v>10306600</v>
      </c>
      <c r="E174" s="1242">
        <f t="shared" si="5"/>
        <v>0.021337922523540734</v>
      </c>
      <c r="F174" s="1236">
        <f>Rashodi!T279</f>
        <v>0</v>
      </c>
      <c r="G174" s="941">
        <f t="shared" si="4"/>
        <v>10306600</v>
      </c>
      <c r="H174" s="942" t="s">
        <v>1150</v>
      </c>
    </row>
    <row r="175" spans="1:8" ht="12.75" customHeight="1" hidden="1">
      <c r="A175" s="933"/>
      <c r="B175" s="953" t="s">
        <v>831</v>
      </c>
      <c r="C175" s="944" t="s">
        <v>832</v>
      </c>
      <c r="D175" s="941"/>
      <c r="E175" s="1242">
        <f t="shared" si="5"/>
        <v>0</v>
      </c>
      <c r="F175" s="1236"/>
      <c r="G175" s="941">
        <f t="shared" si="4"/>
        <v>0</v>
      </c>
      <c r="H175" s="942"/>
    </row>
    <row r="176" spans="1:8" ht="12.75" customHeight="1">
      <c r="A176" s="933"/>
      <c r="B176" s="953" t="s">
        <v>833</v>
      </c>
      <c r="C176" s="944" t="s">
        <v>1316</v>
      </c>
      <c r="D176" s="941">
        <f>Rashodi!M289</f>
        <v>500100</v>
      </c>
      <c r="E176" s="1242">
        <f t="shared" si="5"/>
        <v>0.0010353652081212738</v>
      </c>
      <c r="F176" s="1236">
        <f>Rashodi!T289</f>
        <v>0</v>
      </c>
      <c r="G176" s="941">
        <f t="shared" si="4"/>
        <v>500100</v>
      </c>
      <c r="H176" s="942" t="s">
        <v>1150</v>
      </c>
    </row>
    <row r="177" spans="1:8" ht="12.75" customHeight="1" hidden="1">
      <c r="A177" s="933"/>
      <c r="B177" s="953" t="s">
        <v>992</v>
      </c>
      <c r="C177" s="940">
        <f>_xlfn.IFERROR(VLOOKUP(B177,'[1]ПО КОРИСНИЦИМА'!$C$3:$J$11609,5,FALSE),"")</f>
      </c>
      <c r="D177" s="943"/>
      <c r="E177" s="938">
        <f t="shared" si="5"/>
        <v>0</v>
      </c>
      <c r="F177" s="1237"/>
      <c r="G177" s="941">
        <f t="shared" si="4"/>
        <v>0</v>
      </c>
      <c r="H177" s="942"/>
    </row>
    <row r="178" spans="1:8" ht="12.75" customHeight="1" hidden="1">
      <c r="A178" s="933"/>
      <c r="B178" s="953" t="s">
        <v>993</v>
      </c>
      <c r="C178" s="940">
        <f>_xlfn.IFERROR(VLOOKUP(B178,'[1]ПО КОРИСНИЦИМА'!$C$3:$J$11609,5,FALSE),"")</f>
      </c>
      <c r="D178" s="943"/>
      <c r="E178" s="938">
        <f t="shared" si="5"/>
        <v>0</v>
      </c>
      <c r="F178" s="1237"/>
      <c r="G178" s="941">
        <f t="shared" si="4"/>
        <v>0</v>
      </c>
      <c r="H178" s="942"/>
    </row>
    <row r="179" spans="1:8" ht="12.75" customHeight="1" hidden="1">
      <c r="A179" s="933"/>
      <c r="B179" s="953" t="s">
        <v>994</v>
      </c>
      <c r="C179" s="940">
        <f>_xlfn.IFERROR(VLOOKUP(B179,'[1]ПО КОРИСНИЦИМА'!$C$3:$J$11609,5,FALSE),"")</f>
      </c>
      <c r="D179" s="943"/>
      <c r="E179" s="938">
        <f t="shared" si="5"/>
        <v>0</v>
      </c>
      <c r="F179" s="1237"/>
      <c r="G179" s="941">
        <f t="shared" si="4"/>
        <v>0</v>
      </c>
      <c r="H179" s="942"/>
    </row>
    <row r="180" spans="1:8" ht="12.75" customHeight="1" hidden="1">
      <c r="A180" s="933"/>
      <c r="B180" s="953" t="s">
        <v>995</v>
      </c>
      <c r="C180" s="940">
        <f>_xlfn.IFERROR(VLOOKUP(B180,'[1]ПО КОРИСНИЦИМА'!$C$3:$J$11609,5,FALSE),"")</f>
      </c>
      <c r="D180" s="943"/>
      <c r="E180" s="938">
        <f t="shared" si="5"/>
        <v>0</v>
      </c>
      <c r="F180" s="1237"/>
      <c r="G180" s="941">
        <f t="shared" si="4"/>
        <v>0</v>
      </c>
      <c r="H180" s="942"/>
    </row>
    <row r="181" spans="1:8" ht="12.75" customHeight="1" hidden="1">
      <c r="A181" s="933"/>
      <c r="B181" s="953" t="s">
        <v>996</v>
      </c>
      <c r="C181" s="940">
        <f>_xlfn.IFERROR(VLOOKUP(B181,'[1]ПО КОРИСНИЦИМА'!$C$3:$J$11609,5,FALSE),"")</f>
      </c>
      <c r="D181" s="943"/>
      <c r="E181" s="938">
        <f t="shared" si="5"/>
        <v>0</v>
      </c>
      <c r="F181" s="1237"/>
      <c r="G181" s="941">
        <f t="shared" si="4"/>
        <v>0</v>
      </c>
      <c r="H181" s="942"/>
    </row>
    <row r="182" spans="1:8" ht="12.75" customHeight="1" hidden="1">
      <c r="A182" s="933"/>
      <c r="B182" s="953" t="s">
        <v>997</v>
      </c>
      <c r="C182" s="940">
        <f>_xlfn.IFERROR(VLOOKUP(B182,'[1]ПО КОРИСНИЦИМА'!$C$3:$J$11609,5,FALSE),"")</f>
      </c>
      <c r="D182" s="943"/>
      <c r="E182" s="938">
        <f t="shared" si="5"/>
        <v>0</v>
      </c>
      <c r="F182" s="1237"/>
      <c r="G182" s="941">
        <f t="shared" si="4"/>
        <v>0</v>
      </c>
      <c r="H182" s="942"/>
    </row>
    <row r="183" spans="1:8" ht="12.75" customHeight="1" hidden="1">
      <c r="A183" s="933"/>
      <c r="B183" s="953" t="s">
        <v>998</v>
      </c>
      <c r="C183" s="940">
        <f>_xlfn.IFERROR(VLOOKUP(B183,'[1]ПО КОРИСНИЦИМА'!$C$3:$J$11609,5,FALSE),"")</f>
      </c>
      <c r="D183" s="943"/>
      <c r="E183" s="938">
        <f t="shared" si="5"/>
        <v>0</v>
      </c>
      <c r="F183" s="1237"/>
      <c r="G183" s="941">
        <f t="shared" si="4"/>
        <v>0</v>
      </c>
      <c r="H183" s="942"/>
    </row>
    <row r="184" spans="1:8" ht="12.75" customHeight="1" hidden="1">
      <c r="A184" s="933"/>
      <c r="B184" s="953" t="s">
        <v>999</v>
      </c>
      <c r="C184" s="940">
        <f>_xlfn.IFERROR(VLOOKUP(B184,'[1]ПО КОРИСНИЦИМА'!$C$3:$J$11609,5,FALSE),"")</f>
      </c>
      <c r="D184" s="943"/>
      <c r="E184" s="938">
        <f t="shared" si="5"/>
        <v>0</v>
      </c>
      <c r="F184" s="1237"/>
      <c r="G184" s="941">
        <f t="shared" si="4"/>
        <v>0</v>
      </c>
      <c r="H184" s="942"/>
    </row>
    <row r="185" spans="1:8" ht="12.75" customHeight="1" hidden="1">
      <c r="A185" s="933"/>
      <c r="B185" s="953" t="s">
        <v>1000</v>
      </c>
      <c r="C185" s="940">
        <f>_xlfn.IFERROR(VLOOKUP(B185,'[1]ПО КОРИСНИЦИМА'!$C$3:$J$11609,5,FALSE),"")</f>
      </c>
      <c r="D185" s="943"/>
      <c r="E185" s="938">
        <f t="shared" si="5"/>
        <v>0</v>
      </c>
      <c r="F185" s="1237"/>
      <c r="G185" s="941">
        <f t="shared" si="4"/>
        <v>0</v>
      </c>
      <c r="H185" s="942"/>
    </row>
    <row r="186" spans="1:8" ht="12.75" customHeight="1" hidden="1">
      <c r="A186" s="933"/>
      <c r="B186" s="953" t="s">
        <v>1001</v>
      </c>
      <c r="C186" s="940">
        <f>_xlfn.IFERROR(VLOOKUP(B186,'[1]ПО КОРИСНИЦИМА'!$C$3:$J$11609,5,FALSE),"")</f>
      </c>
      <c r="D186" s="943"/>
      <c r="E186" s="938">
        <f t="shared" si="5"/>
        <v>0</v>
      </c>
      <c r="F186" s="1237"/>
      <c r="G186" s="941">
        <f t="shared" si="4"/>
        <v>0</v>
      </c>
      <c r="H186" s="942"/>
    </row>
    <row r="187" spans="1:8" ht="12.75" hidden="1">
      <c r="A187" s="933"/>
      <c r="B187" s="953" t="s">
        <v>1002</v>
      </c>
      <c r="C187" s="940">
        <f>_xlfn.IFERROR(VLOOKUP(B187,'[1]ПО КОРИСНИЦИМА'!$C$3:$J$11609,5,FALSE),"")</f>
      </c>
      <c r="D187" s="943" t="e">
        <f>SUMIF('[1]ПО КОРИСНИЦИМА'!$G$3:$G$11609,"Свега за пројекат 0401-П11:",'[1]ПО КОРИСНИЦИМА'!$H$3:$H$11609)</f>
        <v>#VALUE!</v>
      </c>
      <c r="E187" s="938" t="e">
        <f t="shared" si="5"/>
        <v>#VALUE!</v>
      </c>
      <c r="F187" s="1237" t="e">
        <f>SUMIF('[1]ПО КОРИСНИЦИМА'!$G$3:$G$11609,"Свега за пројекат 0401-П11:",'[1]ПО КОРИСНИЦИМА'!$H$3:$H$11609)</f>
        <v>#VALUE!</v>
      </c>
      <c r="G187" s="941" t="e">
        <f t="shared" si="4"/>
        <v>#VALUE!</v>
      </c>
      <c r="H187" s="942"/>
    </row>
    <row r="188" spans="1:8" ht="12.75" hidden="1">
      <c r="A188" s="933"/>
      <c r="B188" s="953" t="s">
        <v>1003</v>
      </c>
      <c r="C188" s="940">
        <f>_xlfn.IFERROR(VLOOKUP(B188,'[1]ПО КОРИСНИЦИМА'!$C$3:$J$11609,5,FALSE),"")</f>
      </c>
      <c r="D188" s="943" t="e">
        <f>SUMIF('[1]ПО КОРИСНИЦИМА'!$G$3:$G$11609,"Свега за пројекат 0401-П12:",'[1]ПО КОРИСНИЦИМА'!$H$3:$H$11609)</f>
        <v>#VALUE!</v>
      </c>
      <c r="E188" s="938" t="e">
        <f t="shared" si="5"/>
        <v>#VALUE!</v>
      </c>
      <c r="F188" s="1237" t="e">
        <f>SUMIF('[1]ПО КОРИСНИЦИМА'!$G$3:$G$11609,"Свега за пројекат 0401-П12:",'[1]ПО КОРИСНИЦИМА'!$H$3:$H$11609)</f>
        <v>#VALUE!</v>
      </c>
      <c r="G188" s="941" t="e">
        <f t="shared" si="4"/>
        <v>#VALUE!</v>
      </c>
      <c r="H188" s="942"/>
    </row>
    <row r="189" spans="1:8" ht="12.75" hidden="1">
      <c r="A189" s="933"/>
      <c r="B189" s="953" t="s">
        <v>1004</v>
      </c>
      <c r="C189" s="940">
        <f>_xlfn.IFERROR(VLOOKUP(B189,'[1]ПО КОРИСНИЦИМА'!$C$3:$J$11609,5,FALSE),"")</f>
      </c>
      <c r="D189" s="943" t="e">
        <f>SUMIF('[1]ПО КОРИСНИЦИМА'!$G$3:$G$11609,"Свега за пројекат 0401-П13:",'[1]ПО КОРИСНИЦИМА'!$H$3:$H$11609)</f>
        <v>#VALUE!</v>
      </c>
      <c r="E189" s="938" t="e">
        <f t="shared" si="5"/>
        <v>#VALUE!</v>
      </c>
      <c r="F189" s="1237" t="e">
        <f>SUMIF('[1]ПО КОРИСНИЦИМА'!$G$3:$G$11609,"Свега за пројекат 0401-П13:",'[1]ПО КОРИСНИЦИМА'!$H$3:$H$11609)</f>
        <v>#VALUE!</v>
      </c>
      <c r="G189" s="941" t="e">
        <f t="shared" si="4"/>
        <v>#VALUE!</v>
      </c>
      <c r="H189" s="942"/>
    </row>
    <row r="190" spans="1:8" ht="12.75" hidden="1">
      <c r="A190" s="933"/>
      <c r="B190" s="953" t="s">
        <v>1005</v>
      </c>
      <c r="C190" s="940">
        <f>_xlfn.IFERROR(VLOOKUP(B190,'[1]ПО КОРИСНИЦИМА'!$C$3:$J$11609,5,FALSE),"")</f>
      </c>
      <c r="D190" s="943" t="e">
        <f>SUMIF('[1]ПО КОРИСНИЦИМА'!$G$3:$G$11609,"Свега за пројекат 0401-П14:",'[1]ПО КОРИСНИЦИМА'!$H$3:$H$11609)</f>
        <v>#VALUE!</v>
      </c>
      <c r="E190" s="938" t="e">
        <f t="shared" si="5"/>
        <v>#VALUE!</v>
      </c>
      <c r="F190" s="1237" t="e">
        <f>SUMIF('[1]ПО КОРИСНИЦИМА'!$G$3:$G$11609,"Свега за пројекат 0401-П14:",'[1]ПО КОРИСНИЦИМА'!$H$3:$H$11609)</f>
        <v>#VALUE!</v>
      </c>
      <c r="G190" s="941" t="e">
        <f t="shared" si="4"/>
        <v>#VALUE!</v>
      </c>
      <c r="H190" s="942"/>
    </row>
    <row r="191" spans="1:8" ht="12.75" hidden="1">
      <c r="A191" s="952"/>
      <c r="B191" s="953" t="s">
        <v>1006</v>
      </c>
      <c r="C191" s="940">
        <f>_xlfn.IFERROR(VLOOKUP(B191,'[1]ПО КОРИСНИЦИМА'!$C$3:$J$11609,5,FALSE),"")</f>
      </c>
      <c r="D191" s="943" t="e">
        <f>SUMIF('[1]ПО КОРИСНИЦИМА'!$G$3:$G$11609,"Свега за пројекат 0401-П15:",'[1]ПО КОРИСНИЦИМА'!$H$3:$H$11609)</f>
        <v>#VALUE!</v>
      </c>
      <c r="E191" s="938" t="e">
        <f t="shared" si="5"/>
        <v>#VALUE!</v>
      </c>
      <c r="F191" s="1237" t="e">
        <f>SUMIF('[1]ПО КОРИСНИЦИМА'!$G$3:$G$11609,"Свега за пројекат 0401-П15:",'[1]ПО КОРИСНИЦИМА'!$H$3:$H$11609)</f>
        <v>#VALUE!</v>
      </c>
      <c r="G191" s="941" t="e">
        <f t="shared" si="4"/>
        <v>#VALUE!</v>
      </c>
      <c r="H191" s="942"/>
    </row>
    <row r="192" spans="1:8" s="306" customFormat="1" ht="12.75">
      <c r="A192" s="934" t="s">
        <v>305</v>
      </c>
      <c r="B192" s="935"/>
      <c r="C192" s="936" t="s">
        <v>1302</v>
      </c>
      <c r="D192" s="937">
        <f>SUM(D193:D200)+D245</f>
        <v>20240000</v>
      </c>
      <c r="E192" s="938">
        <f t="shared" si="5"/>
        <v>0.041903202984152337</v>
      </c>
      <c r="F192" s="1235">
        <f>SUM(F193:F200)+F245</f>
        <v>40286871</v>
      </c>
      <c r="G192" s="954">
        <f t="shared" si="4"/>
        <v>60526871</v>
      </c>
      <c r="H192" s="949"/>
    </row>
    <row r="193" spans="1:8" ht="12.75" hidden="1">
      <c r="A193" s="933"/>
      <c r="B193" s="950" t="s">
        <v>850</v>
      </c>
      <c r="C193" s="951" t="s">
        <v>834</v>
      </c>
      <c r="D193" s="941"/>
      <c r="E193" s="938">
        <f t="shared" si="5"/>
        <v>0</v>
      </c>
      <c r="F193" s="1236"/>
      <c r="G193" s="941">
        <f t="shared" si="4"/>
        <v>0</v>
      </c>
      <c r="H193" s="942"/>
    </row>
    <row r="194" spans="1:8" ht="12.75">
      <c r="A194" s="933"/>
      <c r="B194" s="950" t="s">
        <v>306</v>
      </c>
      <c r="C194" s="951" t="s">
        <v>1304</v>
      </c>
      <c r="D194" s="941">
        <f>Rashodi!M347</f>
        <v>17490000</v>
      </c>
      <c r="E194" s="1242">
        <f t="shared" si="5"/>
        <v>0.036209833013479464</v>
      </c>
      <c r="F194" s="1236">
        <f>Rashodi!T347</f>
        <v>33286871</v>
      </c>
      <c r="G194" s="941">
        <f t="shared" si="4"/>
        <v>50776871</v>
      </c>
      <c r="H194" s="942" t="s">
        <v>1261</v>
      </c>
    </row>
    <row r="195" spans="1:8" ht="12.75" hidden="1">
      <c r="A195" s="952"/>
      <c r="B195" s="952" t="s">
        <v>1007</v>
      </c>
      <c r="C195" s="940">
        <f>_xlfn.IFERROR(VLOOKUP(B195,'[1]ПО КОРИСНИЦИМА'!$C$3:$J$11609,5,FALSE),"")</f>
      </c>
      <c r="D195" s="943"/>
      <c r="E195" s="1242">
        <f t="shared" si="5"/>
        <v>0</v>
      </c>
      <c r="F195" s="1237"/>
      <c r="G195" s="941">
        <f aca="true" t="shared" si="6" ref="G195:G259">D195+F195</f>
        <v>0</v>
      </c>
      <c r="H195" s="942"/>
    </row>
    <row r="196" spans="1:8" ht="12.75" hidden="1">
      <c r="A196" s="952"/>
      <c r="B196" s="952" t="s">
        <v>1008</v>
      </c>
      <c r="C196" s="940">
        <f>_xlfn.IFERROR(VLOOKUP(B196,'[1]ПО КОРИСНИЦИМА'!$C$3:$J$11609,5,FALSE),"")</f>
      </c>
      <c r="D196" s="943"/>
      <c r="E196" s="1242">
        <f t="shared" si="5"/>
        <v>0</v>
      </c>
      <c r="F196" s="1237"/>
      <c r="G196" s="941">
        <f t="shared" si="6"/>
        <v>0</v>
      </c>
      <c r="H196" s="942"/>
    </row>
    <row r="197" spans="1:8" ht="12.75" hidden="1">
      <c r="A197" s="952"/>
      <c r="B197" s="952" t="s">
        <v>1009</v>
      </c>
      <c r="C197" s="940">
        <f>_xlfn.IFERROR(VLOOKUP(B197,'[1]ПО КОРИСНИЦИМА'!$C$3:$J$11609,5,FALSE),"")</f>
      </c>
      <c r="D197" s="943"/>
      <c r="E197" s="1242">
        <f t="shared" si="5"/>
        <v>0</v>
      </c>
      <c r="F197" s="1237"/>
      <c r="G197" s="941">
        <f t="shared" si="6"/>
        <v>0</v>
      </c>
      <c r="H197" s="942"/>
    </row>
    <row r="198" spans="1:8" ht="12.75" hidden="1">
      <c r="A198" s="952"/>
      <c r="B198" s="952" t="s">
        <v>1010</v>
      </c>
      <c r="C198" s="940">
        <f>_xlfn.IFERROR(VLOOKUP(B198,'[1]ПО КОРИСНИЦИМА'!$C$3:$J$11609,5,FALSE),"")</f>
      </c>
      <c r="D198" s="943"/>
      <c r="E198" s="1242">
        <f aca="true" t="shared" si="7" ref="E198:E261">D198/483017969</f>
        <v>0</v>
      </c>
      <c r="F198" s="1237"/>
      <c r="G198" s="941">
        <f t="shared" si="6"/>
        <v>0</v>
      </c>
      <c r="H198" s="942"/>
    </row>
    <row r="199" spans="1:8" ht="12.75" hidden="1">
      <c r="A199" s="952"/>
      <c r="B199" s="952" t="s">
        <v>1011</v>
      </c>
      <c r="C199" s="940">
        <f>_xlfn.IFERROR(VLOOKUP(B199,'[1]ПО КОРИСНИЦИМА'!$C$3:$J$11609,5,FALSE),"")</f>
      </c>
      <c r="D199" s="943"/>
      <c r="E199" s="1242">
        <f t="shared" si="7"/>
        <v>0</v>
      </c>
      <c r="F199" s="1237"/>
      <c r="G199" s="941">
        <f t="shared" si="6"/>
        <v>0</v>
      </c>
      <c r="H199" s="942"/>
    </row>
    <row r="200" spans="1:8" ht="12.75" hidden="1">
      <c r="A200" s="952"/>
      <c r="B200" s="952" t="s">
        <v>1012</v>
      </c>
      <c r="C200" s="940">
        <f>_xlfn.IFERROR(VLOOKUP(B200,'[1]ПО КОРИСНИЦИМА'!$C$3:$J$11609,5,FALSE),"")</f>
      </c>
      <c r="D200" s="943"/>
      <c r="E200" s="1242">
        <f t="shared" si="7"/>
        <v>0</v>
      </c>
      <c r="F200" s="1237"/>
      <c r="G200" s="941">
        <f t="shared" si="6"/>
        <v>0</v>
      </c>
      <c r="H200" s="942"/>
    </row>
    <row r="201" spans="1:8" ht="12.75" hidden="1">
      <c r="A201" s="952"/>
      <c r="B201" s="952" t="s">
        <v>1013</v>
      </c>
      <c r="C201" s="940">
        <f>_xlfn.IFERROR(VLOOKUP(B201,'[1]ПО КОРИСНИЦИМА'!$C$3:$J$11609,5,FALSE),"")</f>
      </c>
      <c r="D201" s="943" t="e">
        <f>SUMIF('[1]ПО КОРИСНИЦИМА'!$G$3:$G$11609,"Свега за пројекат 0701-П7:",'[1]ПО КОРИСНИЦИМА'!$H$3:$H$11609)</f>
        <v>#VALUE!</v>
      </c>
      <c r="E201" s="1242" t="e">
        <f t="shared" si="7"/>
        <v>#VALUE!</v>
      </c>
      <c r="F201" s="1237" t="e">
        <f>SUMIF('[1]ПО КОРИСНИЦИМА'!$G$3:$G$11609,"Свега за пројекат 0701-П7:",'[1]ПО КОРИСНИЦИМА'!$H$3:$H$11609)</f>
        <v>#VALUE!</v>
      </c>
      <c r="G201" s="941" t="e">
        <f t="shared" si="6"/>
        <v>#VALUE!</v>
      </c>
      <c r="H201" s="942"/>
    </row>
    <row r="202" spans="1:8" ht="12.75" hidden="1">
      <c r="A202" s="952"/>
      <c r="B202" s="952" t="s">
        <v>1014</v>
      </c>
      <c r="C202" s="940">
        <f>_xlfn.IFERROR(VLOOKUP(B202,'[1]ПО КОРИСНИЦИМА'!$C$3:$J$11609,5,FALSE),"")</f>
      </c>
      <c r="D202" s="943" t="e">
        <f>SUMIF('[1]ПО КОРИСНИЦИМА'!$G$3:$G$11609,"Свега за пројекат 0701-П8:",'[1]ПО КОРИСНИЦИМА'!$H$3:$H$11609)</f>
        <v>#VALUE!</v>
      </c>
      <c r="E202" s="1242" t="e">
        <f t="shared" si="7"/>
        <v>#VALUE!</v>
      </c>
      <c r="F202" s="1237" t="e">
        <f>SUMIF('[1]ПО КОРИСНИЦИМА'!$G$3:$G$11609,"Свега за пројекат 0701-П8:",'[1]ПО КОРИСНИЦИМА'!$H$3:$H$11609)</f>
        <v>#VALUE!</v>
      </c>
      <c r="G202" s="941" t="e">
        <f t="shared" si="6"/>
        <v>#VALUE!</v>
      </c>
      <c r="H202" s="942"/>
    </row>
    <row r="203" spans="1:8" ht="12.75" hidden="1">
      <c r="A203" s="952"/>
      <c r="B203" s="952" t="s">
        <v>1015</v>
      </c>
      <c r="C203" s="940">
        <f>_xlfn.IFERROR(VLOOKUP(B203,'[1]ПО КОРИСНИЦИМА'!$C$3:$J$11609,5,FALSE),"")</f>
      </c>
      <c r="D203" s="943" t="e">
        <f>SUMIF('[1]ПО КОРИСНИЦИМА'!$G$3:$G$11609,"Свега за пројекат 0701-П9:",'[1]ПО КОРИСНИЦИМА'!$H$3:$H$11609)</f>
        <v>#VALUE!</v>
      </c>
      <c r="E203" s="1242" t="e">
        <f t="shared" si="7"/>
        <v>#VALUE!</v>
      </c>
      <c r="F203" s="1237" t="e">
        <f>SUMIF('[1]ПО КОРИСНИЦИМА'!$G$3:$G$11609,"Свега за пројекат 0701-П9:",'[1]ПО КОРИСНИЦИМА'!$H$3:$H$11609)</f>
        <v>#VALUE!</v>
      </c>
      <c r="G203" s="941" t="e">
        <f t="shared" si="6"/>
        <v>#VALUE!</v>
      </c>
      <c r="H203" s="942"/>
    </row>
    <row r="204" spans="1:8" ht="12.75" hidden="1">
      <c r="A204" s="952"/>
      <c r="B204" s="952" t="s">
        <v>1016</v>
      </c>
      <c r="C204" s="940">
        <f>_xlfn.IFERROR(VLOOKUP(B204,'[1]ПО КОРИСНИЦИМА'!$C$3:$J$11609,5,FALSE),"")</f>
      </c>
      <c r="D204" s="943" t="e">
        <f>SUMIF('[1]ПО КОРИСНИЦИМА'!$G$3:$G$11609,"Свега за пројекат 0701-П10:",'[1]ПО КОРИСНИЦИМА'!$H$3:$H$11609)</f>
        <v>#VALUE!</v>
      </c>
      <c r="E204" s="1242" t="e">
        <f t="shared" si="7"/>
        <v>#VALUE!</v>
      </c>
      <c r="F204" s="1237" t="e">
        <f>SUMIF('[1]ПО КОРИСНИЦИМА'!$G$3:$G$11609,"Свега за пројекат 0701-П10:",'[1]ПО КОРИСНИЦИМА'!$H$3:$H$11609)</f>
        <v>#VALUE!</v>
      </c>
      <c r="G204" s="941" t="e">
        <f t="shared" si="6"/>
        <v>#VALUE!</v>
      </c>
      <c r="H204" s="942"/>
    </row>
    <row r="205" spans="1:8" ht="12.75" hidden="1">
      <c r="A205" s="952"/>
      <c r="B205" s="952" t="s">
        <v>1017</v>
      </c>
      <c r="C205" s="940">
        <f>_xlfn.IFERROR(VLOOKUP(B205,'[1]ПО КОРИСНИЦИМА'!$C$3:$J$11609,5,FALSE),"")</f>
      </c>
      <c r="D205" s="943" t="e">
        <f>SUMIF('[1]ПО КОРИСНИЦИМА'!$G$3:$G$11609,"Свега за пројекат 0701-П11:",'[1]ПО КОРИСНИЦИМА'!$H$3:$H$11609)</f>
        <v>#VALUE!</v>
      </c>
      <c r="E205" s="1242" t="e">
        <f t="shared" si="7"/>
        <v>#VALUE!</v>
      </c>
      <c r="F205" s="1237" t="e">
        <f>SUMIF('[1]ПО КОРИСНИЦИМА'!$G$3:$G$11609,"Свега за пројекат 0701-П11:",'[1]ПО КОРИСНИЦИМА'!$H$3:$H$11609)</f>
        <v>#VALUE!</v>
      </c>
      <c r="G205" s="941" t="e">
        <f t="shared" si="6"/>
        <v>#VALUE!</v>
      </c>
      <c r="H205" s="942"/>
    </row>
    <row r="206" spans="1:8" ht="12.75" hidden="1">
      <c r="A206" s="952"/>
      <c r="B206" s="952" t="s">
        <v>1018</v>
      </c>
      <c r="C206" s="940">
        <f>_xlfn.IFERROR(VLOOKUP(B206,'[1]ПО КОРИСНИЦИМА'!$C$3:$J$11609,5,FALSE),"")</f>
      </c>
      <c r="D206" s="943" t="e">
        <f>SUMIF('[1]ПО КОРИСНИЦИМА'!$G$3:$G$11609,"Свега за пројекат 0701-П12:",'[1]ПО КОРИСНИЦИМА'!$H$3:$H$11609)</f>
        <v>#VALUE!</v>
      </c>
      <c r="E206" s="1242" t="e">
        <f t="shared" si="7"/>
        <v>#VALUE!</v>
      </c>
      <c r="F206" s="1237" t="e">
        <f>SUMIF('[1]ПО КОРИСНИЦИМА'!$G$3:$G$11609,"Свега за пројекат 0701-П12:",'[1]ПО КОРИСНИЦИМА'!$H$3:$H$11609)</f>
        <v>#VALUE!</v>
      </c>
      <c r="G206" s="941" t="e">
        <f t="shared" si="6"/>
        <v>#VALUE!</v>
      </c>
      <c r="H206" s="942"/>
    </row>
    <row r="207" spans="1:8" ht="12.75" hidden="1">
      <c r="A207" s="952"/>
      <c r="B207" s="952" t="s">
        <v>1019</v>
      </c>
      <c r="C207" s="940">
        <f>_xlfn.IFERROR(VLOOKUP(B207,'[1]ПО КОРИСНИЦИМА'!$C$3:$J$11609,5,FALSE),"")</f>
      </c>
      <c r="D207" s="943" t="e">
        <f>SUMIF('[1]ПО КОРИСНИЦИМА'!$G$3:$G$11609,"Свега за пројекат 0701-П13:",'[1]ПО КОРИСНИЦИМА'!$H$3:$H$11609)</f>
        <v>#VALUE!</v>
      </c>
      <c r="E207" s="1242" t="e">
        <f t="shared" si="7"/>
        <v>#VALUE!</v>
      </c>
      <c r="F207" s="1237" t="e">
        <f>SUMIF('[1]ПО КОРИСНИЦИМА'!$G$3:$G$11609,"Свега за пројекат 0701-П13:",'[1]ПО КОРИСНИЦИМА'!$H$3:$H$11609)</f>
        <v>#VALUE!</v>
      </c>
      <c r="G207" s="941" t="e">
        <f t="shared" si="6"/>
        <v>#VALUE!</v>
      </c>
      <c r="H207" s="942"/>
    </row>
    <row r="208" spans="1:8" ht="12.75" hidden="1">
      <c r="A208" s="952"/>
      <c r="B208" s="952" t="s">
        <v>1020</v>
      </c>
      <c r="C208" s="940">
        <f>_xlfn.IFERROR(VLOOKUP(B208,'[1]ПО КОРИСНИЦИМА'!$C$3:$J$11609,5,FALSE),"")</f>
      </c>
      <c r="D208" s="943" t="e">
        <f>SUMIF('[1]ПО КОРИСНИЦИМА'!$G$3:$G$11609,"Свега за пројекат 0701-П14:",'[1]ПО КОРИСНИЦИМА'!$H$3:$H$11609)</f>
        <v>#VALUE!</v>
      </c>
      <c r="E208" s="1242" t="e">
        <f t="shared" si="7"/>
        <v>#VALUE!</v>
      </c>
      <c r="F208" s="1237" t="e">
        <f>SUMIF('[1]ПО КОРИСНИЦИМА'!$G$3:$G$11609,"Свега за пројекат 0701-П14:",'[1]ПО КОРИСНИЦИМА'!$H$3:$H$11609)</f>
        <v>#VALUE!</v>
      </c>
      <c r="G208" s="941" t="e">
        <f t="shared" si="6"/>
        <v>#VALUE!</v>
      </c>
      <c r="H208" s="942"/>
    </row>
    <row r="209" spans="1:8" ht="12.75" hidden="1">
      <c r="A209" s="952"/>
      <c r="B209" s="952" t="s">
        <v>1021</v>
      </c>
      <c r="C209" s="940">
        <f>_xlfn.IFERROR(VLOOKUP(B209,'[1]ПО КОРИСНИЦИМА'!$C$3:$J$11609,5,FALSE),"")</f>
      </c>
      <c r="D209" s="943" t="e">
        <f>SUMIF('[1]ПО КОРИСНИЦИМА'!$G$3:$G$11609,"Свега за пројекат 0701-П15:",'[1]ПО КОРИСНИЦИМА'!$H$3:$H$11609)</f>
        <v>#VALUE!</v>
      </c>
      <c r="E209" s="1242" t="e">
        <f t="shared" si="7"/>
        <v>#VALUE!</v>
      </c>
      <c r="F209" s="1237" t="e">
        <f>SUMIF('[1]ПО КОРИСНИЦИМА'!$G$3:$G$11609,"Свега за пројекат 0701-П15:",'[1]ПО КОРИСНИЦИМА'!$H$3:$H$11609)</f>
        <v>#VALUE!</v>
      </c>
      <c r="G209" s="941" t="e">
        <f t="shared" si="6"/>
        <v>#VALUE!</v>
      </c>
      <c r="H209" s="942"/>
    </row>
    <row r="210" spans="1:8" ht="12.75" hidden="1">
      <c r="A210" s="952"/>
      <c r="B210" s="952" t="s">
        <v>1022</v>
      </c>
      <c r="C210" s="940">
        <f>_xlfn.IFERROR(VLOOKUP(B210,'[1]ПО КОРИСНИЦИМА'!$C$3:$J$11609,5,FALSE),"")</f>
      </c>
      <c r="D210" s="943" t="e">
        <f>SUMIF('[1]ПО КОРИСНИЦИМА'!$G$3:$G$11609,"Свега за пројекат 0701-П16:",'[1]ПО КОРИСНИЦИМА'!$H$3:$H$11609)</f>
        <v>#VALUE!</v>
      </c>
      <c r="E210" s="1242" t="e">
        <f t="shared" si="7"/>
        <v>#VALUE!</v>
      </c>
      <c r="F210" s="1237" t="e">
        <f>SUMIF('[1]ПО КОРИСНИЦИМА'!$G$3:$G$11609,"Свега за пројекат 0701-П16:",'[1]ПО КОРИСНИЦИМА'!$H$3:$H$11609)</f>
        <v>#VALUE!</v>
      </c>
      <c r="G210" s="941" t="e">
        <f t="shared" si="6"/>
        <v>#VALUE!</v>
      </c>
      <c r="H210" s="942"/>
    </row>
    <row r="211" spans="1:8" ht="12.75" hidden="1">
      <c r="A211" s="952"/>
      <c r="B211" s="952" t="s">
        <v>1023</v>
      </c>
      <c r="C211" s="940">
        <f>_xlfn.IFERROR(VLOOKUP(B211,'[1]ПО КОРИСНИЦИМА'!$C$3:$J$11609,5,FALSE),"")</f>
      </c>
      <c r="D211" s="943" t="e">
        <f>SUMIF('[1]ПО КОРИСНИЦИМА'!$G$3:$G$11609,"Свега за пројекат 0701-П17:",'[1]ПО КОРИСНИЦИМА'!$H$3:$H$11609)</f>
        <v>#VALUE!</v>
      </c>
      <c r="E211" s="1242" t="e">
        <f t="shared" si="7"/>
        <v>#VALUE!</v>
      </c>
      <c r="F211" s="1237" t="e">
        <f>SUMIF('[1]ПО КОРИСНИЦИМА'!$G$3:$G$11609,"Свега за пројекат 0701-П17:",'[1]ПО КОРИСНИЦИМА'!$H$3:$H$11609)</f>
        <v>#VALUE!</v>
      </c>
      <c r="G211" s="941" t="e">
        <f t="shared" si="6"/>
        <v>#VALUE!</v>
      </c>
      <c r="H211" s="942"/>
    </row>
    <row r="212" spans="1:8" ht="12.75" hidden="1">
      <c r="A212" s="952"/>
      <c r="B212" s="952" t="s">
        <v>1024</v>
      </c>
      <c r="C212" s="940">
        <f>_xlfn.IFERROR(VLOOKUP(B212,'[1]ПО КОРИСНИЦИМА'!$C$3:$J$11609,5,FALSE),"")</f>
      </c>
      <c r="D212" s="943" t="e">
        <f>SUMIF('[1]ПО КОРИСНИЦИМА'!$G$3:$G$11609,"Свега за пројекат 0701-П18:",'[1]ПО КОРИСНИЦИМА'!$H$3:$H$11609)</f>
        <v>#VALUE!</v>
      </c>
      <c r="E212" s="1242" t="e">
        <f t="shared" si="7"/>
        <v>#VALUE!</v>
      </c>
      <c r="F212" s="1237" t="e">
        <f>SUMIF('[1]ПО КОРИСНИЦИМА'!$G$3:$G$11609,"Свега за пројекат 0701-П18:",'[1]ПО КОРИСНИЦИМА'!$H$3:$H$11609)</f>
        <v>#VALUE!</v>
      </c>
      <c r="G212" s="941" t="e">
        <f t="shared" si="6"/>
        <v>#VALUE!</v>
      </c>
      <c r="H212" s="942"/>
    </row>
    <row r="213" spans="1:8" ht="12.75" hidden="1">
      <c r="A213" s="952"/>
      <c r="B213" s="952" t="s">
        <v>1025</v>
      </c>
      <c r="C213" s="940">
        <f>_xlfn.IFERROR(VLOOKUP(B213,'[1]ПО КОРИСНИЦИМА'!$C$3:$J$11609,5,FALSE),"")</f>
      </c>
      <c r="D213" s="943" t="e">
        <f>SUMIF('[1]ПО КОРИСНИЦИМА'!$G$3:$G$11609,"Свега за пројекат 0701-П19:",'[1]ПО КОРИСНИЦИМА'!$H$3:$H$11609)</f>
        <v>#VALUE!</v>
      </c>
      <c r="E213" s="1242" t="e">
        <f t="shared" si="7"/>
        <v>#VALUE!</v>
      </c>
      <c r="F213" s="1237" t="e">
        <f>SUMIF('[1]ПО КОРИСНИЦИМА'!$G$3:$G$11609,"Свега за пројекат 0701-П19:",'[1]ПО КОРИСНИЦИМА'!$H$3:$H$11609)</f>
        <v>#VALUE!</v>
      </c>
      <c r="G213" s="941" t="e">
        <f t="shared" si="6"/>
        <v>#VALUE!</v>
      </c>
      <c r="H213" s="942"/>
    </row>
    <row r="214" spans="1:8" ht="12.75" hidden="1">
      <c r="A214" s="952"/>
      <c r="B214" s="952" t="s">
        <v>1026</v>
      </c>
      <c r="C214" s="940">
        <f>_xlfn.IFERROR(VLOOKUP(B214,'[1]ПО КОРИСНИЦИМА'!$C$3:$J$11609,5,FALSE),"")</f>
      </c>
      <c r="D214" s="943" t="e">
        <f>SUMIF('[1]ПО КОРИСНИЦИМА'!$G$3:$G$11609,"Свега за пројекат 0701-П20:",'[1]ПО КОРИСНИЦИМА'!$H$3:$H$11609)</f>
        <v>#VALUE!</v>
      </c>
      <c r="E214" s="1242" t="e">
        <f t="shared" si="7"/>
        <v>#VALUE!</v>
      </c>
      <c r="F214" s="1237" t="e">
        <f>SUMIF('[1]ПО КОРИСНИЦИМА'!$G$3:$G$11609,"Свега за пројекат 0701-П20:",'[1]ПО КОРИСНИЦИМА'!$H$3:$H$11609)</f>
        <v>#VALUE!</v>
      </c>
      <c r="G214" s="941" t="e">
        <f t="shared" si="6"/>
        <v>#VALUE!</v>
      </c>
      <c r="H214" s="942"/>
    </row>
    <row r="215" spans="1:8" ht="12.75" hidden="1">
      <c r="A215" s="952"/>
      <c r="B215" s="952" t="s">
        <v>1027</v>
      </c>
      <c r="C215" s="940">
        <f>_xlfn.IFERROR(VLOOKUP(B215,'[1]ПО КОРИСНИЦИМА'!$C$3:$J$11609,5,FALSE),"")</f>
      </c>
      <c r="D215" s="943" t="e">
        <f>SUMIF('[1]ПО КОРИСНИЦИМА'!$G$3:$G$11609,"Свега за пројекат 0701-П21:",'[1]ПО КОРИСНИЦИМА'!$H$3:$H$11609)</f>
        <v>#VALUE!</v>
      </c>
      <c r="E215" s="1242" t="e">
        <f t="shared" si="7"/>
        <v>#VALUE!</v>
      </c>
      <c r="F215" s="1237" t="e">
        <f>SUMIF('[1]ПО КОРИСНИЦИМА'!$G$3:$G$11609,"Свега за пројекат 0701-П21:",'[1]ПО КОРИСНИЦИМА'!$H$3:$H$11609)</f>
        <v>#VALUE!</v>
      </c>
      <c r="G215" s="941" t="e">
        <f t="shared" si="6"/>
        <v>#VALUE!</v>
      </c>
      <c r="H215" s="942"/>
    </row>
    <row r="216" spans="1:8" ht="12.75" hidden="1">
      <c r="A216" s="952"/>
      <c r="B216" s="952" t="s">
        <v>1028</v>
      </c>
      <c r="C216" s="940">
        <f>_xlfn.IFERROR(VLOOKUP(B216,'[1]ПО КОРИСНИЦИМА'!$C$3:$J$11609,5,FALSE),"")</f>
      </c>
      <c r="D216" s="943" t="e">
        <f>SUMIF('[1]ПО КОРИСНИЦИМА'!$G$3:$G$11609,"Свега за пројекат 0701-П22:",'[1]ПО КОРИСНИЦИМА'!$H$3:$H$11609)</f>
        <v>#VALUE!</v>
      </c>
      <c r="E216" s="1242" t="e">
        <f t="shared" si="7"/>
        <v>#VALUE!</v>
      </c>
      <c r="F216" s="1237" t="e">
        <f>SUMIF('[1]ПО КОРИСНИЦИМА'!$G$3:$G$11609,"Свега за пројекат 0701-П22:",'[1]ПО КОРИСНИЦИМА'!$H$3:$H$11609)</f>
        <v>#VALUE!</v>
      </c>
      <c r="G216" s="941" t="e">
        <f t="shared" si="6"/>
        <v>#VALUE!</v>
      </c>
      <c r="H216" s="942"/>
    </row>
    <row r="217" spans="1:8" ht="12.75" hidden="1">
      <c r="A217" s="952"/>
      <c r="B217" s="952" t="s">
        <v>1029</v>
      </c>
      <c r="C217" s="940">
        <f>_xlfn.IFERROR(VLOOKUP(B217,'[1]ПО КОРИСНИЦИМА'!$C$3:$J$11609,5,FALSE),"")</f>
      </c>
      <c r="D217" s="943" t="e">
        <f>SUMIF('[1]ПО КОРИСНИЦИМА'!$G$3:$G$11609,"Свега за пројекат 0701-П23:",'[1]ПО КОРИСНИЦИМА'!$H$3:$H$11609)</f>
        <v>#VALUE!</v>
      </c>
      <c r="E217" s="1242" t="e">
        <f t="shared" si="7"/>
        <v>#VALUE!</v>
      </c>
      <c r="F217" s="1237" t="e">
        <f>SUMIF('[1]ПО КОРИСНИЦИМА'!$G$3:$G$11609,"Свега за пројекат 0701-П23:",'[1]ПО КОРИСНИЦИМА'!$H$3:$H$11609)</f>
        <v>#VALUE!</v>
      </c>
      <c r="G217" s="941" t="e">
        <f t="shared" si="6"/>
        <v>#VALUE!</v>
      </c>
      <c r="H217" s="942"/>
    </row>
    <row r="218" spans="1:8" ht="12.75" hidden="1">
      <c r="A218" s="952"/>
      <c r="B218" s="952" t="s">
        <v>1030</v>
      </c>
      <c r="C218" s="940">
        <f>_xlfn.IFERROR(VLOOKUP(B218,'[1]ПО КОРИСНИЦИМА'!$C$3:$J$11609,5,FALSE),"")</f>
      </c>
      <c r="D218" s="943" t="e">
        <f>SUMIF('[1]ПО КОРИСНИЦИМА'!$G$3:$G$11609,"Свега за пројекат 0701-П24:",'[1]ПО КОРИСНИЦИМА'!$H$3:$H$11609)</f>
        <v>#VALUE!</v>
      </c>
      <c r="E218" s="1242" t="e">
        <f t="shared" si="7"/>
        <v>#VALUE!</v>
      </c>
      <c r="F218" s="1237" t="e">
        <f>SUMIF('[1]ПО КОРИСНИЦИМА'!$G$3:$G$11609,"Свега за пројекат 0701-П24:",'[1]ПО КОРИСНИЦИМА'!$H$3:$H$11609)</f>
        <v>#VALUE!</v>
      </c>
      <c r="G218" s="941" t="e">
        <f t="shared" si="6"/>
        <v>#VALUE!</v>
      </c>
      <c r="H218" s="942"/>
    </row>
    <row r="219" spans="1:8" ht="12.75" hidden="1">
      <c r="A219" s="952"/>
      <c r="B219" s="952" t="s">
        <v>1031</v>
      </c>
      <c r="C219" s="940">
        <f>_xlfn.IFERROR(VLOOKUP(B219,'[1]ПО КОРИСНИЦИМА'!$C$3:$J$11609,5,FALSE),"")</f>
      </c>
      <c r="D219" s="943" t="e">
        <f>SUMIF('[1]ПО КОРИСНИЦИМА'!$G$3:$G$11609,"Свега за пројекат 0701-П25:",'[1]ПО КОРИСНИЦИМА'!$H$3:$H$11609)</f>
        <v>#VALUE!</v>
      </c>
      <c r="E219" s="1242" t="e">
        <f t="shared" si="7"/>
        <v>#VALUE!</v>
      </c>
      <c r="F219" s="1237" t="e">
        <f>SUMIF('[1]ПО КОРИСНИЦИМА'!$G$3:$G$11609,"Свега за пројекат 0701-П25:",'[1]ПО КОРИСНИЦИМА'!$H$3:$H$11609)</f>
        <v>#VALUE!</v>
      </c>
      <c r="G219" s="941" t="e">
        <f t="shared" si="6"/>
        <v>#VALUE!</v>
      </c>
      <c r="H219" s="942"/>
    </row>
    <row r="220" spans="1:8" ht="12.75" hidden="1">
      <c r="A220" s="952"/>
      <c r="B220" s="952" t="s">
        <v>1032</v>
      </c>
      <c r="C220" s="940">
        <f>_xlfn.IFERROR(VLOOKUP(B220,'[1]ПО КОРИСНИЦИМА'!$C$3:$J$11609,5,FALSE),"")</f>
      </c>
      <c r="D220" s="943" t="e">
        <f>SUMIF('[1]ПО КОРИСНИЦИМА'!$G$3:$G$11609,"Свега за пројекат 0701-П26:",'[1]ПО КОРИСНИЦИМА'!$H$3:$H$11609)</f>
        <v>#VALUE!</v>
      </c>
      <c r="E220" s="1242" t="e">
        <f t="shared" si="7"/>
        <v>#VALUE!</v>
      </c>
      <c r="F220" s="1237" t="e">
        <f>SUMIF('[1]ПО КОРИСНИЦИМА'!$G$3:$G$11609,"Свега за пројекат 0701-П26:",'[1]ПО КОРИСНИЦИМА'!$H$3:$H$11609)</f>
        <v>#VALUE!</v>
      </c>
      <c r="G220" s="941" t="e">
        <f t="shared" si="6"/>
        <v>#VALUE!</v>
      </c>
      <c r="H220" s="942"/>
    </row>
    <row r="221" spans="1:8" ht="12.75" hidden="1">
      <c r="A221" s="952"/>
      <c r="B221" s="952" t="s">
        <v>1033</v>
      </c>
      <c r="C221" s="940">
        <f>_xlfn.IFERROR(VLOOKUP(B221,'[1]ПО КОРИСНИЦИМА'!$C$3:$J$11609,5,FALSE),"")</f>
      </c>
      <c r="D221" s="943" t="e">
        <f>SUMIF('[1]ПО КОРИСНИЦИМА'!$G$3:$G$11609,"Свега за пројекат 0701-П27:",'[1]ПО КОРИСНИЦИМА'!$H$3:$H$11609)</f>
        <v>#VALUE!</v>
      </c>
      <c r="E221" s="1242" t="e">
        <f t="shared" si="7"/>
        <v>#VALUE!</v>
      </c>
      <c r="F221" s="1237" t="e">
        <f>SUMIF('[1]ПО КОРИСНИЦИМА'!$G$3:$G$11609,"Свега за пројекат 0701-П27:",'[1]ПО КОРИСНИЦИМА'!$H$3:$H$11609)</f>
        <v>#VALUE!</v>
      </c>
      <c r="G221" s="941" t="e">
        <f t="shared" si="6"/>
        <v>#VALUE!</v>
      </c>
      <c r="H221" s="942"/>
    </row>
    <row r="222" spans="1:8" ht="12.75" hidden="1">
      <c r="A222" s="952"/>
      <c r="B222" s="952" t="s">
        <v>1034</v>
      </c>
      <c r="C222" s="940">
        <f>_xlfn.IFERROR(VLOOKUP(B222,'[1]ПО КОРИСНИЦИМА'!$C$3:$J$11609,5,FALSE),"")</f>
      </c>
      <c r="D222" s="943" t="e">
        <f>SUMIF('[1]ПО КОРИСНИЦИМА'!$G$3:$G$11609,"Свега за пројекат 0701-П28:",'[1]ПО КОРИСНИЦИМА'!$H$3:$H$11609)</f>
        <v>#VALUE!</v>
      </c>
      <c r="E222" s="1242" t="e">
        <f t="shared" si="7"/>
        <v>#VALUE!</v>
      </c>
      <c r="F222" s="1237" t="e">
        <f>SUMIF('[1]ПО КОРИСНИЦИМА'!$G$3:$G$11609,"Свега за пројекат 0701-П28:",'[1]ПО КОРИСНИЦИМА'!$H$3:$H$11609)</f>
        <v>#VALUE!</v>
      </c>
      <c r="G222" s="941" t="e">
        <f t="shared" si="6"/>
        <v>#VALUE!</v>
      </c>
      <c r="H222" s="942"/>
    </row>
    <row r="223" spans="1:8" ht="12.75" hidden="1">
      <c r="A223" s="952"/>
      <c r="B223" s="952" t="s">
        <v>1035</v>
      </c>
      <c r="C223" s="940">
        <f>_xlfn.IFERROR(VLOOKUP(B223,'[1]ПО КОРИСНИЦИМА'!$C$3:$J$11609,5,FALSE),"")</f>
      </c>
      <c r="D223" s="943" t="e">
        <f>SUMIF('[1]ПО КОРИСНИЦИМА'!$G$3:$G$11609,"Свега за пројекат 0701-П29:",'[1]ПО КОРИСНИЦИМА'!$H$3:$H$11609)</f>
        <v>#VALUE!</v>
      </c>
      <c r="E223" s="1242" t="e">
        <f t="shared" si="7"/>
        <v>#VALUE!</v>
      </c>
      <c r="F223" s="1237" t="e">
        <f>SUMIF('[1]ПО КОРИСНИЦИМА'!$G$3:$G$11609,"Свега за пројекат 0701-П29:",'[1]ПО КОРИСНИЦИМА'!$H$3:$H$11609)</f>
        <v>#VALUE!</v>
      </c>
      <c r="G223" s="941" t="e">
        <f t="shared" si="6"/>
        <v>#VALUE!</v>
      </c>
      <c r="H223" s="942"/>
    </row>
    <row r="224" spans="1:8" ht="12.75" hidden="1">
      <c r="A224" s="952"/>
      <c r="B224" s="952" t="s">
        <v>1036</v>
      </c>
      <c r="C224" s="940">
        <f>_xlfn.IFERROR(VLOOKUP(B224,'[1]ПО КОРИСНИЦИМА'!$C$3:$J$11609,5,FALSE),"")</f>
      </c>
      <c r="D224" s="943" t="e">
        <f>SUMIF('[1]ПО КОРИСНИЦИМА'!$G$3:$G$11609,"Свега за пројекат 0701-П30:",'[1]ПО КОРИСНИЦИМА'!$H$3:$H$11609)</f>
        <v>#VALUE!</v>
      </c>
      <c r="E224" s="1242" t="e">
        <f t="shared" si="7"/>
        <v>#VALUE!</v>
      </c>
      <c r="F224" s="1237" t="e">
        <f>SUMIF('[1]ПО КОРИСНИЦИМА'!$G$3:$G$11609,"Свега за пројекат 0701-П30:",'[1]ПО КОРИСНИЦИМА'!$H$3:$H$11609)</f>
        <v>#VALUE!</v>
      </c>
      <c r="G224" s="941" t="e">
        <f t="shared" si="6"/>
        <v>#VALUE!</v>
      </c>
      <c r="H224" s="942"/>
    </row>
    <row r="225" spans="1:8" ht="12.75" hidden="1">
      <c r="A225" s="952"/>
      <c r="B225" s="952" t="s">
        <v>1037</v>
      </c>
      <c r="C225" s="940">
        <f>_xlfn.IFERROR(VLOOKUP(B225,'[1]ПО КОРИСНИЦИМА'!$C$3:$J$11609,5,FALSE),"")</f>
      </c>
      <c r="D225" s="943" t="e">
        <f>SUMIF('[1]ПО КОРИСНИЦИМА'!$G$3:$G$11609,"Свега за пројекат 0701-П31:",'[1]ПО КОРИСНИЦИМА'!$H$3:$H$11609)</f>
        <v>#VALUE!</v>
      </c>
      <c r="E225" s="1242" t="e">
        <f t="shared" si="7"/>
        <v>#VALUE!</v>
      </c>
      <c r="F225" s="1237" t="e">
        <f>SUMIF('[1]ПО КОРИСНИЦИМА'!$G$3:$G$11609,"Свега за пројекат 0701-П31:",'[1]ПО КОРИСНИЦИМА'!$H$3:$H$11609)</f>
        <v>#VALUE!</v>
      </c>
      <c r="G225" s="941" t="e">
        <f t="shared" si="6"/>
        <v>#VALUE!</v>
      </c>
      <c r="H225" s="942"/>
    </row>
    <row r="226" spans="1:8" ht="12.75" hidden="1">
      <c r="A226" s="952"/>
      <c r="B226" s="952" t="s">
        <v>1038</v>
      </c>
      <c r="C226" s="940">
        <f>_xlfn.IFERROR(VLOOKUP(B226,'[1]ПО КОРИСНИЦИМА'!$C$3:$J$11609,5,FALSE),"")</f>
      </c>
      <c r="D226" s="943" t="e">
        <f>SUMIF('[1]ПО КОРИСНИЦИМА'!$G$3:$G$11609,"Свега за пројекат 0701-П32:",'[1]ПО КОРИСНИЦИМА'!$H$3:$H$11609)</f>
        <v>#VALUE!</v>
      </c>
      <c r="E226" s="1242" t="e">
        <f t="shared" si="7"/>
        <v>#VALUE!</v>
      </c>
      <c r="F226" s="1237" t="e">
        <f>SUMIF('[1]ПО КОРИСНИЦИМА'!$G$3:$G$11609,"Свега за пројекат 0701-П32:",'[1]ПО КОРИСНИЦИМА'!$H$3:$H$11609)</f>
        <v>#VALUE!</v>
      </c>
      <c r="G226" s="941" t="e">
        <f t="shared" si="6"/>
        <v>#VALUE!</v>
      </c>
      <c r="H226" s="942"/>
    </row>
    <row r="227" spans="1:8" ht="12.75" hidden="1">
      <c r="A227" s="952"/>
      <c r="B227" s="952" t="s">
        <v>1039</v>
      </c>
      <c r="C227" s="940">
        <f>_xlfn.IFERROR(VLOOKUP(B227,'[1]ПО КОРИСНИЦИМА'!$C$3:$J$11609,5,FALSE),"")</f>
      </c>
      <c r="D227" s="943" t="e">
        <f>SUMIF('[1]ПО КОРИСНИЦИМА'!$G$3:$G$11609,"Свега за пројекат 0701-П33:",'[1]ПО КОРИСНИЦИМА'!$H$3:$H$11609)</f>
        <v>#VALUE!</v>
      </c>
      <c r="E227" s="1242" t="e">
        <f t="shared" si="7"/>
        <v>#VALUE!</v>
      </c>
      <c r="F227" s="1237" t="e">
        <f>SUMIF('[1]ПО КОРИСНИЦИМА'!$G$3:$G$11609,"Свега за пројекат 0701-П33:",'[1]ПО КОРИСНИЦИМА'!$H$3:$H$11609)</f>
        <v>#VALUE!</v>
      </c>
      <c r="G227" s="941" t="e">
        <f t="shared" si="6"/>
        <v>#VALUE!</v>
      </c>
      <c r="H227" s="942"/>
    </row>
    <row r="228" spans="1:8" ht="12.75" hidden="1">
      <c r="A228" s="952"/>
      <c r="B228" s="952" t="s">
        <v>1040</v>
      </c>
      <c r="C228" s="940">
        <f>_xlfn.IFERROR(VLOOKUP(B228,'[1]ПО КОРИСНИЦИМА'!$C$3:$J$11609,5,FALSE),"")</f>
      </c>
      <c r="D228" s="943" t="e">
        <f>SUMIF('[1]ПО КОРИСНИЦИМА'!$G$3:$G$11609,"Свега за пројекат 0701-П34:",'[1]ПО КОРИСНИЦИМА'!$H$3:$H$11609)</f>
        <v>#VALUE!</v>
      </c>
      <c r="E228" s="1242" t="e">
        <f t="shared" si="7"/>
        <v>#VALUE!</v>
      </c>
      <c r="F228" s="1237" t="e">
        <f>SUMIF('[1]ПО КОРИСНИЦИМА'!$G$3:$G$11609,"Свега за пројекат 0701-П34:",'[1]ПО КОРИСНИЦИМА'!$H$3:$H$11609)</f>
        <v>#VALUE!</v>
      </c>
      <c r="G228" s="941" t="e">
        <f t="shared" si="6"/>
        <v>#VALUE!</v>
      </c>
      <c r="H228" s="942"/>
    </row>
    <row r="229" spans="1:8" ht="12.75" hidden="1">
      <c r="A229" s="952"/>
      <c r="B229" s="952" t="s">
        <v>1041</v>
      </c>
      <c r="C229" s="940">
        <f>_xlfn.IFERROR(VLOOKUP(B229,'[1]ПО КОРИСНИЦИМА'!$C$3:$J$11609,5,FALSE),"")</f>
      </c>
      <c r="D229" s="943" t="e">
        <f>SUMIF('[1]ПО КОРИСНИЦИМА'!$G$3:$G$11609,"Свега за пројекат 0701-П35:",'[1]ПО КОРИСНИЦИМА'!$H$3:$H$11609)</f>
        <v>#VALUE!</v>
      </c>
      <c r="E229" s="1242" t="e">
        <f t="shared" si="7"/>
        <v>#VALUE!</v>
      </c>
      <c r="F229" s="1237" t="e">
        <f>SUMIF('[1]ПО КОРИСНИЦИМА'!$G$3:$G$11609,"Свега за пројекат 0701-П35:",'[1]ПО КОРИСНИЦИМА'!$H$3:$H$11609)</f>
        <v>#VALUE!</v>
      </c>
      <c r="G229" s="941" t="e">
        <f t="shared" si="6"/>
        <v>#VALUE!</v>
      </c>
      <c r="H229" s="942"/>
    </row>
    <row r="230" spans="1:8" ht="12.75" hidden="1">
      <c r="A230" s="952"/>
      <c r="B230" s="952" t="s">
        <v>1042</v>
      </c>
      <c r="C230" s="940">
        <f>_xlfn.IFERROR(VLOOKUP(B230,'[1]ПО КОРИСНИЦИМА'!$C$3:$J$11609,5,FALSE),"")</f>
      </c>
      <c r="D230" s="943" t="e">
        <f>SUMIF('[1]ПО КОРИСНИЦИМА'!$G$3:$G$11609,"Свега за пројекат 0701-П36:",'[1]ПО КОРИСНИЦИМА'!$H$3:$H$11609)</f>
        <v>#VALUE!</v>
      </c>
      <c r="E230" s="1242" t="e">
        <f t="shared" si="7"/>
        <v>#VALUE!</v>
      </c>
      <c r="F230" s="1237" t="e">
        <f>SUMIF('[1]ПО КОРИСНИЦИМА'!$G$3:$G$11609,"Свега за пројекат 0701-П36:",'[1]ПО КОРИСНИЦИМА'!$H$3:$H$11609)</f>
        <v>#VALUE!</v>
      </c>
      <c r="G230" s="941" t="e">
        <f t="shared" si="6"/>
        <v>#VALUE!</v>
      </c>
      <c r="H230" s="942"/>
    </row>
    <row r="231" spans="1:8" ht="12.75" hidden="1">
      <c r="A231" s="952"/>
      <c r="B231" s="952" t="s">
        <v>1043</v>
      </c>
      <c r="C231" s="940">
        <f>_xlfn.IFERROR(VLOOKUP(B231,'[1]ПО КОРИСНИЦИМА'!$C$3:$J$11609,5,FALSE),"")</f>
      </c>
      <c r="D231" s="943" t="e">
        <f>SUMIF('[1]ПО КОРИСНИЦИМА'!$G$3:$G$11609,"Свега за пројекат 0701-П37:",'[1]ПО КОРИСНИЦИМА'!$H$3:$H$11609)</f>
        <v>#VALUE!</v>
      </c>
      <c r="E231" s="1242" t="e">
        <f t="shared" si="7"/>
        <v>#VALUE!</v>
      </c>
      <c r="F231" s="1237" t="e">
        <f>SUMIF('[1]ПО КОРИСНИЦИМА'!$G$3:$G$11609,"Свега за пројекат 0701-П37:",'[1]ПО КОРИСНИЦИМА'!$H$3:$H$11609)</f>
        <v>#VALUE!</v>
      </c>
      <c r="G231" s="941" t="e">
        <f t="shared" si="6"/>
        <v>#VALUE!</v>
      </c>
      <c r="H231" s="942"/>
    </row>
    <row r="232" spans="1:8" ht="12.75" hidden="1">
      <c r="A232" s="952"/>
      <c r="B232" s="952" t="s">
        <v>1044</v>
      </c>
      <c r="C232" s="940">
        <f>_xlfn.IFERROR(VLOOKUP(B232,'[1]ПО КОРИСНИЦИМА'!$C$3:$J$11609,5,FALSE),"")</f>
      </c>
      <c r="D232" s="943" t="e">
        <f>SUMIF('[1]ПО КОРИСНИЦИМА'!$G$3:$G$11609,"Свега за пројекат 0701-П38:",'[1]ПО КОРИСНИЦИМА'!$H$3:$H$11609)</f>
        <v>#VALUE!</v>
      </c>
      <c r="E232" s="1242" t="e">
        <f t="shared" si="7"/>
        <v>#VALUE!</v>
      </c>
      <c r="F232" s="1237" t="e">
        <f>SUMIF('[1]ПО КОРИСНИЦИМА'!$G$3:$G$11609,"Свега за пројекат 0701-П38:",'[1]ПО КОРИСНИЦИМА'!$H$3:$H$11609)</f>
        <v>#VALUE!</v>
      </c>
      <c r="G232" s="941" t="e">
        <f t="shared" si="6"/>
        <v>#VALUE!</v>
      </c>
      <c r="H232" s="942"/>
    </row>
    <row r="233" spans="1:8" ht="12.75" hidden="1">
      <c r="A233" s="952"/>
      <c r="B233" s="952" t="s">
        <v>1045</v>
      </c>
      <c r="C233" s="940">
        <f>_xlfn.IFERROR(VLOOKUP(B233,'[1]ПО КОРИСНИЦИМА'!$C$3:$J$11609,5,FALSE),"")</f>
      </c>
      <c r="D233" s="943" t="e">
        <f>SUMIF('[1]ПО КОРИСНИЦИМА'!$G$3:$G$11609,"Свега за пројекат 0701-П39:",'[1]ПО КОРИСНИЦИМА'!$H$3:$H$11609)</f>
        <v>#VALUE!</v>
      </c>
      <c r="E233" s="1242" t="e">
        <f t="shared" si="7"/>
        <v>#VALUE!</v>
      </c>
      <c r="F233" s="1237" t="e">
        <f>SUMIF('[1]ПО КОРИСНИЦИМА'!$G$3:$G$11609,"Свега за пројекат 0701-П39:",'[1]ПО КОРИСНИЦИМА'!$H$3:$H$11609)</f>
        <v>#VALUE!</v>
      </c>
      <c r="G233" s="941" t="e">
        <f t="shared" si="6"/>
        <v>#VALUE!</v>
      </c>
      <c r="H233" s="942"/>
    </row>
    <row r="234" spans="1:8" ht="12.75" hidden="1">
      <c r="A234" s="952"/>
      <c r="B234" s="952" t="s">
        <v>1046</v>
      </c>
      <c r="C234" s="940">
        <f>_xlfn.IFERROR(VLOOKUP(B234,'[1]ПО КОРИСНИЦИМА'!$C$3:$J$11609,5,FALSE),"")</f>
      </c>
      <c r="D234" s="943" t="e">
        <f>SUMIF('[1]ПО КОРИСНИЦИМА'!$G$3:$G$11609,"Свега за пројекат 0701-П40:",'[1]ПО КОРИСНИЦИМА'!$H$3:$H$11609)</f>
        <v>#VALUE!</v>
      </c>
      <c r="E234" s="1242" t="e">
        <f t="shared" si="7"/>
        <v>#VALUE!</v>
      </c>
      <c r="F234" s="1237" t="e">
        <f>SUMIF('[1]ПО КОРИСНИЦИМА'!$G$3:$G$11609,"Свега за пројекат 0701-П40:",'[1]ПО КОРИСНИЦИМА'!$H$3:$H$11609)</f>
        <v>#VALUE!</v>
      </c>
      <c r="G234" s="941" t="e">
        <f t="shared" si="6"/>
        <v>#VALUE!</v>
      </c>
      <c r="H234" s="942"/>
    </row>
    <row r="235" spans="1:8" ht="12.75" hidden="1">
      <c r="A235" s="952"/>
      <c r="B235" s="952" t="s">
        <v>1047</v>
      </c>
      <c r="C235" s="940">
        <f>_xlfn.IFERROR(VLOOKUP(B235,'[1]ПО КОРИСНИЦИМА'!$C$3:$J$11609,5,FALSE),"")</f>
      </c>
      <c r="D235" s="943" t="e">
        <f>SUMIF('[1]ПО КОРИСНИЦИМА'!$G$3:$G$11609,"Свега за пројекат 0701-П41:",'[1]ПО КОРИСНИЦИМА'!$H$3:$H$11609)</f>
        <v>#VALUE!</v>
      </c>
      <c r="E235" s="1242" t="e">
        <f t="shared" si="7"/>
        <v>#VALUE!</v>
      </c>
      <c r="F235" s="1237" t="e">
        <f>SUMIF('[1]ПО КОРИСНИЦИМА'!$G$3:$G$11609,"Свега за пројекат 0701-П41:",'[1]ПО КОРИСНИЦИМА'!$H$3:$H$11609)</f>
        <v>#VALUE!</v>
      </c>
      <c r="G235" s="941" t="e">
        <f t="shared" si="6"/>
        <v>#VALUE!</v>
      </c>
      <c r="H235" s="942"/>
    </row>
    <row r="236" spans="1:8" ht="12.75" hidden="1">
      <c r="A236" s="952"/>
      <c r="B236" s="952" t="s">
        <v>1048</v>
      </c>
      <c r="C236" s="940">
        <f>_xlfn.IFERROR(VLOOKUP(B236,'[1]ПО КОРИСНИЦИМА'!$C$3:$J$11609,5,FALSE),"")</f>
      </c>
      <c r="D236" s="943" t="e">
        <f>SUMIF('[1]ПО КОРИСНИЦИМА'!$G$3:$G$11609,"Свега за пројекат 0701-П42:",'[1]ПО КОРИСНИЦИМА'!$H$3:$H$11609)</f>
        <v>#VALUE!</v>
      </c>
      <c r="E236" s="1242" t="e">
        <f t="shared" si="7"/>
        <v>#VALUE!</v>
      </c>
      <c r="F236" s="1237" t="e">
        <f>SUMIF('[1]ПО КОРИСНИЦИМА'!$G$3:$G$11609,"Свега за пројекат 0701-П42:",'[1]ПО КОРИСНИЦИМА'!$H$3:$H$11609)</f>
        <v>#VALUE!</v>
      </c>
      <c r="G236" s="941" t="e">
        <f t="shared" si="6"/>
        <v>#VALUE!</v>
      </c>
      <c r="H236" s="942"/>
    </row>
    <row r="237" spans="1:8" ht="12.75" hidden="1">
      <c r="A237" s="952"/>
      <c r="B237" s="952" t="s">
        <v>1049</v>
      </c>
      <c r="C237" s="940">
        <f>_xlfn.IFERROR(VLOOKUP(B237,'[1]ПО КОРИСНИЦИМА'!$C$3:$J$11609,5,FALSE),"")</f>
      </c>
      <c r="D237" s="943" t="e">
        <f>SUMIF('[1]ПО КОРИСНИЦИМА'!$G$3:$G$11609,"Свега за пројекат 0701-П43:",'[1]ПО КОРИСНИЦИМА'!$H$3:$H$11609)</f>
        <v>#VALUE!</v>
      </c>
      <c r="E237" s="1242" t="e">
        <f t="shared" si="7"/>
        <v>#VALUE!</v>
      </c>
      <c r="F237" s="1237" t="e">
        <f>SUMIF('[1]ПО КОРИСНИЦИМА'!$G$3:$G$11609,"Свега за пројекат 0701-П43:",'[1]ПО КОРИСНИЦИМА'!$H$3:$H$11609)</f>
        <v>#VALUE!</v>
      </c>
      <c r="G237" s="941" t="e">
        <f t="shared" si="6"/>
        <v>#VALUE!</v>
      </c>
      <c r="H237" s="942"/>
    </row>
    <row r="238" spans="1:8" ht="12.75" hidden="1">
      <c r="A238" s="952"/>
      <c r="B238" s="952" t="s">
        <v>1050</v>
      </c>
      <c r="C238" s="940">
        <f>_xlfn.IFERROR(VLOOKUP(B238,'[1]ПО КОРИСНИЦИМА'!$C$3:$J$11609,5,FALSE),"")</f>
      </c>
      <c r="D238" s="943" t="e">
        <f>SUMIF('[1]ПО КОРИСНИЦИМА'!$G$3:$G$11609,"Свега за пројекат 0701-П44:",'[1]ПО КОРИСНИЦИМА'!$H$3:$H$11609)</f>
        <v>#VALUE!</v>
      </c>
      <c r="E238" s="1242" t="e">
        <f t="shared" si="7"/>
        <v>#VALUE!</v>
      </c>
      <c r="F238" s="1237" t="e">
        <f>SUMIF('[1]ПО КОРИСНИЦИМА'!$G$3:$G$11609,"Свега за пројекат 0701-П44:",'[1]ПО КОРИСНИЦИМА'!$H$3:$H$11609)</f>
        <v>#VALUE!</v>
      </c>
      <c r="G238" s="941" t="e">
        <f t="shared" si="6"/>
        <v>#VALUE!</v>
      </c>
      <c r="H238" s="942"/>
    </row>
    <row r="239" spans="1:8" ht="12.75" hidden="1">
      <c r="A239" s="952"/>
      <c r="B239" s="952" t="s">
        <v>1051</v>
      </c>
      <c r="C239" s="940">
        <f>_xlfn.IFERROR(VLOOKUP(B239,'[1]ПО КОРИСНИЦИМА'!$C$3:$J$11609,5,FALSE),"")</f>
      </c>
      <c r="D239" s="943" t="e">
        <f>SUMIF('[1]ПО КОРИСНИЦИМА'!$G$3:$G$11609,"Свега за пројекат 0701-П45:",'[1]ПО КОРИСНИЦИМА'!$H$3:$H$11609)</f>
        <v>#VALUE!</v>
      </c>
      <c r="E239" s="1242" t="e">
        <f t="shared" si="7"/>
        <v>#VALUE!</v>
      </c>
      <c r="F239" s="1237" t="e">
        <f>SUMIF('[1]ПО КОРИСНИЦИМА'!$G$3:$G$11609,"Свега за пројекат 0701-П45:",'[1]ПО КОРИСНИЦИМА'!$H$3:$H$11609)</f>
        <v>#VALUE!</v>
      </c>
      <c r="G239" s="941" t="e">
        <f t="shared" si="6"/>
        <v>#VALUE!</v>
      </c>
      <c r="H239" s="942"/>
    </row>
    <row r="240" spans="1:8" ht="12.75" hidden="1">
      <c r="A240" s="952"/>
      <c r="B240" s="952" t="s">
        <v>1052</v>
      </c>
      <c r="C240" s="940">
        <f>_xlfn.IFERROR(VLOOKUP(B240,'[1]ПО КОРИСНИЦИМА'!$C$3:$J$11609,5,FALSE),"")</f>
      </c>
      <c r="D240" s="943" t="e">
        <f>SUMIF('[1]ПО КОРИСНИЦИМА'!$G$3:$G$11609,"Свега за пројекат 0701-П46:",'[1]ПО КОРИСНИЦИМА'!$H$3:$H$11609)</f>
        <v>#VALUE!</v>
      </c>
      <c r="E240" s="1242" t="e">
        <f t="shared" si="7"/>
        <v>#VALUE!</v>
      </c>
      <c r="F240" s="1237" t="e">
        <f>SUMIF('[1]ПО КОРИСНИЦИМА'!$G$3:$G$11609,"Свега за пројекат 0701-П46:",'[1]ПО КОРИСНИЦИМА'!$H$3:$H$11609)</f>
        <v>#VALUE!</v>
      </c>
      <c r="G240" s="941" t="e">
        <f t="shared" si="6"/>
        <v>#VALUE!</v>
      </c>
      <c r="H240" s="942"/>
    </row>
    <row r="241" spans="1:8" ht="12.75" hidden="1">
      <c r="A241" s="952"/>
      <c r="B241" s="952" t="s">
        <v>1053</v>
      </c>
      <c r="C241" s="940">
        <f>_xlfn.IFERROR(VLOOKUP(B241,'[1]ПО КОРИСНИЦИМА'!$C$3:$J$11609,5,FALSE),"")</f>
      </c>
      <c r="D241" s="943" t="e">
        <f>SUMIF('[1]ПО КОРИСНИЦИМА'!$G$3:$G$11609,"Свега за пројекат 0701-П47:",'[1]ПО КОРИСНИЦИМА'!$H$3:$H$11609)</f>
        <v>#VALUE!</v>
      </c>
      <c r="E241" s="1242" t="e">
        <f t="shared" si="7"/>
        <v>#VALUE!</v>
      </c>
      <c r="F241" s="1237" t="e">
        <f>SUMIF('[1]ПО КОРИСНИЦИМА'!$G$3:$G$11609,"Свега за пројекат 0701-П47:",'[1]ПО КОРИСНИЦИМА'!$H$3:$H$11609)</f>
        <v>#VALUE!</v>
      </c>
      <c r="G241" s="941" t="e">
        <f t="shared" si="6"/>
        <v>#VALUE!</v>
      </c>
      <c r="H241" s="942"/>
    </row>
    <row r="242" spans="1:8" ht="12.75" hidden="1">
      <c r="A242" s="952"/>
      <c r="B242" s="952" t="s">
        <v>1054</v>
      </c>
      <c r="C242" s="940">
        <f>_xlfn.IFERROR(VLOOKUP(B242,'[1]ПО КОРИСНИЦИМА'!$C$3:$J$11609,5,FALSE),"")</f>
      </c>
      <c r="D242" s="943" t="e">
        <f>SUMIF('[1]ПО КОРИСНИЦИМА'!$G$3:$G$11609,"Свега за пројекат 0701-П48:",'[1]ПО КОРИСНИЦИМА'!$H$3:$H$11609)</f>
        <v>#VALUE!</v>
      </c>
      <c r="E242" s="1242" t="e">
        <f t="shared" si="7"/>
        <v>#VALUE!</v>
      </c>
      <c r="F242" s="1237" t="e">
        <f>SUMIF('[1]ПО КОРИСНИЦИМА'!$G$3:$G$11609,"Свега за пројекат 0701-П48:",'[1]ПО КОРИСНИЦИМА'!$H$3:$H$11609)</f>
        <v>#VALUE!</v>
      </c>
      <c r="G242" s="941" t="e">
        <f t="shared" si="6"/>
        <v>#VALUE!</v>
      </c>
      <c r="H242" s="942"/>
    </row>
    <row r="243" spans="1:8" ht="12.75" hidden="1">
      <c r="A243" s="952"/>
      <c r="B243" s="952" t="s">
        <v>1055</v>
      </c>
      <c r="C243" s="940">
        <f>_xlfn.IFERROR(VLOOKUP(B243,'[1]ПО КОРИСНИЦИМА'!$C$3:$J$11609,5,FALSE),"")</f>
      </c>
      <c r="D243" s="943" t="e">
        <f>SUMIF('[1]ПО КОРИСНИЦИМА'!$G$3:$G$11609,"Свега за пројекат 0701-П49:",'[1]ПО КОРИСНИЦИМА'!$H$3:$H$11609)</f>
        <v>#VALUE!</v>
      </c>
      <c r="E243" s="1242" t="e">
        <f t="shared" si="7"/>
        <v>#VALUE!</v>
      </c>
      <c r="F243" s="1237" t="e">
        <f>SUMIF('[1]ПО КОРИСНИЦИМА'!$G$3:$G$11609,"Свега за пројекат 0701-П49:",'[1]ПО КОРИСНИЦИМА'!$H$3:$H$11609)</f>
        <v>#VALUE!</v>
      </c>
      <c r="G243" s="941" t="e">
        <f t="shared" si="6"/>
        <v>#VALUE!</v>
      </c>
      <c r="H243" s="955"/>
    </row>
    <row r="244" spans="1:8" ht="12.75" hidden="1">
      <c r="A244" s="952"/>
      <c r="B244" s="952" t="s">
        <v>1056</v>
      </c>
      <c r="C244" s="940">
        <f>_xlfn.IFERROR(VLOOKUP(B244,'[1]ПО КОРИСНИЦИМА'!$C$3:$J$11609,5,FALSE),"")</f>
      </c>
      <c r="D244" s="943" t="e">
        <f>SUMIF('[1]ПО КОРИСНИЦИМА'!$G$3:$G$11609,"Свега за пројекат 0701-П50:",'[1]ПО КОРИСНИЦИМА'!$H$3:$H$11609)</f>
        <v>#VALUE!</v>
      </c>
      <c r="E244" s="1242" t="e">
        <f t="shared" si="7"/>
        <v>#VALUE!</v>
      </c>
      <c r="F244" s="1237" t="e">
        <f>SUMIF('[1]ПО КОРИСНИЦИМА'!$G$3:$G$11609,"Свега за пројекат 0701-П50:",'[1]ПО КОРИСНИЦИМА'!$H$3:$H$11609)</f>
        <v>#VALUE!</v>
      </c>
      <c r="G244" s="941" t="e">
        <f t="shared" si="6"/>
        <v>#VALUE!</v>
      </c>
      <c r="H244" s="955"/>
    </row>
    <row r="245" spans="1:8" ht="12.75">
      <c r="A245" s="952"/>
      <c r="B245" s="952" t="s">
        <v>1471</v>
      </c>
      <c r="C245" s="940" t="s">
        <v>1472</v>
      </c>
      <c r="D245" s="943">
        <f>Rashodi!M359</f>
        <v>2750000</v>
      </c>
      <c r="E245" s="1242">
        <f t="shared" si="7"/>
        <v>0.005693369970672871</v>
      </c>
      <c r="F245" s="1237">
        <f>Rashodi!T359</f>
        <v>7000000</v>
      </c>
      <c r="G245" s="941">
        <f>D245+F245</f>
        <v>9750000</v>
      </c>
      <c r="H245" s="955" t="s">
        <v>1150</v>
      </c>
    </row>
    <row r="246" spans="1:8" s="306" customFormat="1" ht="12.75">
      <c r="A246" s="934" t="s">
        <v>284</v>
      </c>
      <c r="B246" s="935"/>
      <c r="C246" s="936" t="s">
        <v>3</v>
      </c>
      <c r="D246" s="937">
        <f>SUM(D247:D254)</f>
        <v>64036000</v>
      </c>
      <c r="E246" s="938">
        <f t="shared" si="7"/>
        <v>0.132574777978912</v>
      </c>
      <c r="F246" s="1235">
        <f>SUM(F247:F254)</f>
        <v>7792000</v>
      </c>
      <c r="G246" s="937">
        <f t="shared" si="6"/>
        <v>71828000</v>
      </c>
      <c r="H246" s="949"/>
    </row>
    <row r="247" spans="1:8" ht="12.75">
      <c r="A247" s="933"/>
      <c r="B247" s="952" t="s">
        <v>1518</v>
      </c>
      <c r="C247" s="951" t="s">
        <v>1305</v>
      </c>
      <c r="D247" s="941">
        <f>Rashodi!M366</f>
        <v>64036000</v>
      </c>
      <c r="E247" s="1242">
        <f t="shared" si="7"/>
        <v>0.132574777978912</v>
      </c>
      <c r="F247" s="1236">
        <f>Rashodi!T366</f>
        <v>7792000</v>
      </c>
      <c r="G247" s="941">
        <f t="shared" si="6"/>
        <v>71828000</v>
      </c>
      <c r="H247" s="956" t="s">
        <v>1192</v>
      </c>
    </row>
    <row r="248" spans="1:8" ht="12.75" hidden="1">
      <c r="A248" s="952"/>
      <c r="B248" s="952" t="s">
        <v>1057</v>
      </c>
      <c r="C248" s="940">
        <f>_xlfn.IFERROR(VLOOKUP(B248,'[1]ПО КОРИСНИЦИМА'!$C$3:$J$11609,5,FALSE),"")</f>
      </c>
      <c r="D248" s="943"/>
      <c r="E248" s="938">
        <f t="shared" si="7"/>
        <v>0</v>
      </c>
      <c r="F248" s="1237"/>
      <c r="G248" s="941">
        <f t="shared" si="6"/>
        <v>0</v>
      </c>
      <c r="H248" s="956"/>
    </row>
    <row r="249" spans="1:8" ht="12.75" hidden="1">
      <c r="A249" s="952"/>
      <c r="B249" s="952" t="s">
        <v>1058</v>
      </c>
      <c r="C249" s="940">
        <f>_xlfn.IFERROR(VLOOKUP(B249,'[1]ПО КОРИСНИЦИМА'!$C$3:$J$11609,5,FALSE),"")</f>
      </c>
      <c r="D249" s="943"/>
      <c r="E249" s="938">
        <f t="shared" si="7"/>
        <v>0</v>
      </c>
      <c r="F249" s="1237"/>
      <c r="G249" s="941">
        <f t="shared" si="6"/>
        <v>0</v>
      </c>
      <c r="H249" s="956"/>
    </row>
    <row r="250" spans="1:8" ht="12.75" hidden="1">
      <c r="A250" s="952"/>
      <c r="B250" s="952" t="s">
        <v>1059</v>
      </c>
      <c r="C250" s="940">
        <f>_xlfn.IFERROR(VLOOKUP(B250,'[1]ПО КОРИСНИЦИМА'!$C$3:$J$11609,5,FALSE),"")</f>
      </c>
      <c r="D250" s="943"/>
      <c r="E250" s="938">
        <f t="shared" si="7"/>
        <v>0</v>
      </c>
      <c r="F250" s="1237"/>
      <c r="G250" s="941">
        <f t="shared" si="6"/>
        <v>0</v>
      </c>
      <c r="H250" s="956"/>
    </row>
    <row r="251" spans="1:8" ht="12.75" hidden="1">
      <c r="A251" s="952"/>
      <c r="B251" s="952" t="s">
        <v>1060</v>
      </c>
      <c r="C251" s="940">
        <f>_xlfn.IFERROR(VLOOKUP(B251,'[1]ПО КОРИСНИЦИМА'!$C$3:$J$11609,5,FALSE),"")</f>
      </c>
      <c r="D251" s="943"/>
      <c r="E251" s="938">
        <f t="shared" si="7"/>
        <v>0</v>
      </c>
      <c r="F251" s="1237"/>
      <c r="G251" s="941">
        <f t="shared" si="6"/>
        <v>0</v>
      </c>
      <c r="H251" s="956"/>
    </row>
    <row r="252" spans="1:8" ht="12.75" hidden="1">
      <c r="A252" s="952"/>
      <c r="B252" s="952" t="s">
        <v>1061</v>
      </c>
      <c r="C252" s="940">
        <f>_xlfn.IFERROR(VLOOKUP(B252,'[1]ПО КОРИСНИЦИМА'!$C$3:$J$11609,5,FALSE),"")</f>
      </c>
      <c r="D252" s="943"/>
      <c r="E252" s="938">
        <f t="shared" si="7"/>
        <v>0</v>
      </c>
      <c r="F252" s="1237"/>
      <c r="G252" s="941">
        <f t="shared" si="6"/>
        <v>0</v>
      </c>
      <c r="H252" s="956"/>
    </row>
    <row r="253" spans="1:8" ht="12.75" hidden="1">
      <c r="A253" s="952"/>
      <c r="B253" s="952" t="s">
        <v>1062</v>
      </c>
      <c r="C253" s="940">
        <f>_xlfn.IFERROR(VLOOKUP(B253,'[1]ПО КОРИСНИЦИМА'!$C$3:$J$11609,5,FALSE),"")</f>
      </c>
      <c r="D253" s="943"/>
      <c r="E253" s="938">
        <f t="shared" si="7"/>
        <v>0</v>
      </c>
      <c r="F253" s="1237"/>
      <c r="G253" s="941">
        <f t="shared" si="6"/>
        <v>0</v>
      </c>
      <c r="H253" s="956"/>
    </row>
    <row r="254" spans="1:8" ht="12.75" hidden="1">
      <c r="A254" s="952"/>
      <c r="B254" s="952" t="s">
        <v>1063</v>
      </c>
      <c r="C254" s="940">
        <f>_xlfn.IFERROR(VLOOKUP(B254,'[1]ПО КОРИСНИЦИМА'!$C$3:$J$11609,5,FALSE),"")</f>
      </c>
      <c r="D254" s="943"/>
      <c r="E254" s="938">
        <f t="shared" si="7"/>
        <v>0</v>
      </c>
      <c r="F254" s="1237"/>
      <c r="G254" s="941">
        <f t="shared" si="6"/>
        <v>0</v>
      </c>
      <c r="H254" s="956"/>
    </row>
    <row r="255" spans="1:8" ht="12.75" hidden="1">
      <c r="A255" s="952"/>
      <c r="B255" s="952" t="s">
        <v>1064</v>
      </c>
      <c r="C255" s="940">
        <f>_xlfn.IFERROR(VLOOKUP(B255,'[1]ПО КОРИСНИЦИМА'!$C$3:$J$11609,5,FALSE),"")</f>
      </c>
      <c r="D255" s="943" t="e">
        <f>SUMIF('[1]ПО КОРИСНИЦИМА'!$G$3:$G$11609,"Свега за пројекат 2001-П8:",'[1]ПО КОРИСНИЦИМА'!$H$3:$H$11609)</f>
        <v>#VALUE!</v>
      </c>
      <c r="E255" s="938" t="e">
        <f t="shared" si="7"/>
        <v>#VALUE!</v>
      </c>
      <c r="F255" s="1237" t="e">
        <f>SUMIF('[1]ПО КОРИСНИЦИМА'!$G$3:$G$11609,"Свега за пројекат 2001-П8:",'[1]ПО КОРИСНИЦИМА'!$H$3:$H$11609)</f>
        <v>#VALUE!</v>
      </c>
      <c r="G255" s="941" t="e">
        <f t="shared" si="6"/>
        <v>#VALUE!</v>
      </c>
      <c r="H255" s="956"/>
    </row>
    <row r="256" spans="1:8" ht="12.75" hidden="1">
      <c r="A256" s="952"/>
      <c r="B256" s="952" t="s">
        <v>1065</v>
      </c>
      <c r="C256" s="940">
        <f>_xlfn.IFERROR(VLOOKUP(B256,'[1]ПО КОРИСНИЦИМА'!$C$3:$J$11609,5,FALSE),"")</f>
      </c>
      <c r="D256" s="943" t="e">
        <f>SUMIF('[1]ПО КОРИСНИЦИМА'!$G$3:$G$11609,"Свега за пројекат 2001-П9:",'[1]ПО КОРИСНИЦИМА'!$H$3:$H$11609)</f>
        <v>#VALUE!</v>
      </c>
      <c r="E256" s="938" t="e">
        <f t="shared" si="7"/>
        <v>#VALUE!</v>
      </c>
      <c r="F256" s="1237" t="e">
        <f>SUMIF('[1]ПО КОРИСНИЦИМА'!$G$3:$G$11609,"Свега за пројекат 2001-П9:",'[1]ПО КОРИСНИЦИМА'!$H$3:$H$11609)</f>
        <v>#VALUE!</v>
      </c>
      <c r="G256" s="941" t="e">
        <f t="shared" si="6"/>
        <v>#VALUE!</v>
      </c>
      <c r="H256" s="956"/>
    </row>
    <row r="257" spans="1:8" ht="12.75" hidden="1">
      <c r="A257" s="952"/>
      <c r="B257" s="952" t="s">
        <v>1066</v>
      </c>
      <c r="C257" s="940">
        <f>_xlfn.IFERROR(VLOOKUP(B257,'[1]ПО КОРИСНИЦИМА'!$C$3:$J$11609,5,FALSE),"")</f>
      </c>
      <c r="D257" s="943" t="e">
        <f>SUMIF('[1]ПО КОРИСНИЦИМА'!$G$3:$G$11609,"Свега за пројекат 2001-П10:",'[1]ПО КОРИСНИЦИМА'!$H$3:$H$11609)</f>
        <v>#VALUE!</v>
      </c>
      <c r="E257" s="938" t="e">
        <f t="shared" si="7"/>
        <v>#VALUE!</v>
      </c>
      <c r="F257" s="1237" t="e">
        <f>SUMIF('[1]ПО КОРИСНИЦИМА'!$G$3:$G$11609,"Свега за пројекат 2001-П10:",'[1]ПО КОРИСНИЦИМА'!$H$3:$H$11609)</f>
        <v>#VALUE!</v>
      </c>
      <c r="G257" s="941" t="e">
        <f t="shared" si="6"/>
        <v>#VALUE!</v>
      </c>
      <c r="H257" s="956"/>
    </row>
    <row r="258" spans="1:8" ht="12.75" hidden="1">
      <c r="A258" s="952"/>
      <c r="B258" s="952" t="s">
        <v>1067</v>
      </c>
      <c r="C258" s="940">
        <f>_xlfn.IFERROR(VLOOKUP(B258,'[1]ПО КОРИСНИЦИМА'!$C$3:$J$11609,5,FALSE),"")</f>
      </c>
      <c r="D258" s="943" t="e">
        <f>SUMIF('[1]ПО КОРИСНИЦИМА'!$G$3:$G$11609,"Свега за пројекат 2001-П11:",'[1]ПО КОРИСНИЦИМА'!$H$3:$H$11609)</f>
        <v>#VALUE!</v>
      </c>
      <c r="E258" s="938" t="e">
        <f t="shared" si="7"/>
        <v>#VALUE!</v>
      </c>
      <c r="F258" s="1237" t="e">
        <f>SUMIF('[1]ПО КОРИСНИЦИМА'!$G$3:$G$11609,"Свега за пројекат 2001-П11:",'[1]ПО КОРИСНИЦИМА'!$H$3:$H$11609)</f>
        <v>#VALUE!</v>
      </c>
      <c r="G258" s="941" t="e">
        <f t="shared" si="6"/>
        <v>#VALUE!</v>
      </c>
      <c r="H258" s="956"/>
    </row>
    <row r="259" spans="1:8" ht="12.75" hidden="1">
      <c r="A259" s="952"/>
      <c r="B259" s="952" t="s">
        <v>1068</v>
      </c>
      <c r="C259" s="940">
        <f>_xlfn.IFERROR(VLOOKUP(B259,'[1]ПО КОРИСНИЦИМА'!$C$3:$J$11609,5,FALSE),"")</f>
      </c>
      <c r="D259" s="943" t="e">
        <f>SUMIF('[1]ПО КОРИСНИЦИМА'!$G$3:$G$11609,"Свега за пројекат 2001-П12:",'[1]ПО КОРИСНИЦИМА'!$H$3:$H$11609)</f>
        <v>#VALUE!</v>
      </c>
      <c r="E259" s="938" t="e">
        <f t="shared" si="7"/>
        <v>#VALUE!</v>
      </c>
      <c r="F259" s="1237" t="e">
        <f>SUMIF('[1]ПО КОРИСНИЦИМА'!$G$3:$G$11609,"Свега за пројекат 2001-П12:",'[1]ПО КОРИСНИЦИМА'!$H$3:$H$11609)</f>
        <v>#VALUE!</v>
      </c>
      <c r="G259" s="941" t="e">
        <f t="shared" si="6"/>
        <v>#VALUE!</v>
      </c>
      <c r="H259" s="956"/>
    </row>
    <row r="260" spans="1:8" ht="12.75" hidden="1">
      <c r="A260" s="952"/>
      <c r="B260" s="952" t="s">
        <v>1069</v>
      </c>
      <c r="C260" s="940">
        <f>_xlfn.IFERROR(VLOOKUP(B260,'[1]ПО КОРИСНИЦИМА'!$C$3:$J$11609,5,FALSE),"")</f>
      </c>
      <c r="D260" s="943" t="e">
        <f>SUMIF('[1]ПО КОРИСНИЦИМА'!$G$3:$G$11609,"Свега за пројекат 2001-П13:",'[1]ПО КОРИСНИЦИМА'!$H$3:$H$11609)</f>
        <v>#VALUE!</v>
      </c>
      <c r="E260" s="938" t="e">
        <f t="shared" si="7"/>
        <v>#VALUE!</v>
      </c>
      <c r="F260" s="1237" t="e">
        <f>SUMIF('[1]ПО КОРИСНИЦИМА'!$G$3:$G$11609,"Свега за пројекат 2001-П13:",'[1]ПО КОРИСНИЦИМА'!$H$3:$H$11609)</f>
        <v>#VALUE!</v>
      </c>
      <c r="G260" s="941" t="e">
        <f aca="true" t="shared" si="8" ref="G260:G323">D260+F260</f>
        <v>#VALUE!</v>
      </c>
      <c r="H260" s="956"/>
    </row>
    <row r="261" spans="1:8" ht="12.75" hidden="1">
      <c r="A261" s="952"/>
      <c r="B261" s="952" t="s">
        <v>1070</v>
      </c>
      <c r="C261" s="940">
        <f>_xlfn.IFERROR(VLOOKUP(B261,'[1]ПО КОРИСНИЦИМА'!$C$3:$J$11609,5,FALSE),"")</f>
      </c>
      <c r="D261" s="943" t="e">
        <f>SUMIF('[1]ПО КОРИСНИЦИМА'!$G$3:$G$11609,"Свега за пројекат 2001-П14:",'[1]ПО КОРИСНИЦИМА'!$H$3:$H$11609)</f>
        <v>#VALUE!</v>
      </c>
      <c r="E261" s="938" t="e">
        <f t="shared" si="7"/>
        <v>#VALUE!</v>
      </c>
      <c r="F261" s="1237" t="e">
        <f>SUMIF('[1]ПО КОРИСНИЦИМА'!$G$3:$G$11609,"Свега за пројекат 2001-П14:",'[1]ПО КОРИСНИЦИМА'!$H$3:$H$11609)</f>
        <v>#VALUE!</v>
      </c>
      <c r="G261" s="941" t="e">
        <f t="shared" si="8"/>
        <v>#VALUE!</v>
      </c>
      <c r="H261" s="956"/>
    </row>
    <row r="262" spans="1:8" ht="12.75" hidden="1">
      <c r="A262" s="952"/>
      <c r="B262" s="952" t="s">
        <v>1071</v>
      </c>
      <c r="C262" s="940">
        <f>_xlfn.IFERROR(VLOOKUP(B262,'[1]ПО КОРИСНИЦИМА'!$C$3:$J$11609,5,FALSE),"")</f>
      </c>
      <c r="D262" s="943" t="e">
        <f>SUMIF('[1]ПО КОРИСНИЦИМА'!$G$3:$G$11609,"Свега за пројекат 2001-П15:",'[1]ПО КОРИСНИЦИМА'!$H$3:$H$11609)</f>
        <v>#VALUE!</v>
      </c>
      <c r="E262" s="938" t="e">
        <f aca="true" t="shared" si="9" ref="E262:E325">D262/483017969</f>
        <v>#VALUE!</v>
      </c>
      <c r="F262" s="1237" t="e">
        <f>SUMIF('[1]ПО КОРИСНИЦИМА'!$G$3:$G$11609,"Свега за пројекат 2001-П15:",'[1]ПО КОРИСНИЦИМА'!$H$3:$H$11609)</f>
        <v>#VALUE!</v>
      </c>
      <c r="G262" s="941" t="e">
        <f t="shared" si="8"/>
        <v>#VALUE!</v>
      </c>
      <c r="H262" s="956"/>
    </row>
    <row r="263" spans="1:8" ht="12.75" hidden="1">
      <c r="A263" s="952"/>
      <c r="B263" s="952" t="s">
        <v>1072</v>
      </c>
      <c r="C263" s="940">
        <f>_xlfn.IFERROR(VLOOKUP(B263,'[1]ПО КОРИСНИЦИМА'!$C$3:$J$11609,5,FALSE),"")</f>
      </c>
      <c r="D263" s="943" t="e">
        <f>SUMIF('[1]ПО КОРИСНИЦИМА'!$G$3:$G$11609,"Свега за пројекат 2001-П16:",'[1]ПО КОРИСНИЦИМА'!$H$3:$H$11609)</f>
        <v>#VALUE!</v>
      </c>
      <c r="E263" s="938" t="e">
        <f t="shared" si="9"/>
        <v>#VALUE!</v>
      </c>
      <c r="F263" s="1237" t="e">
        <f>SUMIF('[1]ПО КОРИСНИЦИМА'!$G$3:$G$11609,"Свега за пројекат 2001-П16:",'[1]ПО КОРИСНИЦИМА'!$H$3:$H$11609)</f>
        <v>#VALUE!</v>
      </c>
      <c r="G263" s="941" t="e">
        <f t="shared" si="8"/>
        <v>#VALUE!</v>
      </c>
      <c r="H263" s="956"/>
    </row>
    <row r="264" spans="1:8" ht="12.75" hidden="1">
      <c r="A264" s="952"/>
      <c r="B264" s="952" t="s">
        <v>1073</v>
      </c>
      <c r="C264" s="940">
        <f>_xlfn.IFERROR(VLOOKUP(B264,'[1]ПО КОРИСНИЦИМА'!$C$3:$J$11609,5,FALSE),"")</f>
      </c>
      <c r="D264" s="943" t="e">
        <f>SUMIF('[1]ПО КОРИСНИЦИМА'!$G$3:$G$11609,"Свега за пројекат 2001-П17:",'[1]ПО КОРИСНИЦИМА'!$H$3:$H$11609)</f>
        <v>#VALUE!</v>
      </c>
      <c r="E264" s="938" t="e">
        <f t="shared" si="9"/>
        <v>#VALUE!</v>
      </c>
      <c r="F264" s="1237" t="e">
        <f>SUMIF('[1]ПО КОРИСНИЦИМА'!$G$3:$G$11609,"Свега за пројекат 2001-П17:",'[1]ПО КОРИСНИЦИМА'!$H$3:$H$11609)</f>
        <v>#VALUE!</v>
      </c>
      <c r="G264" s="941" t="e">
        <f t="shared" si="8"/>
        <v>#VALUE!</v>
      </c>
      <c r="H264" s="956"/>
    </row>
    <row r="265" spans="1:8" ht="12.75" hidden="1">
      <c r="A265" s="952"/>
      <c r="B265" s="952" t="s">
        <v>1074</v>
      </c>
      <c r="C265" s="940">
        <f>_xlfn.IFERROR(VLOOKUP(B265,'[1]ПО КОРИСНИЦИМА'!$C$3:$J$11609,5,FALSE),"")</f>
      </c>
      <c r="D265" s="943" t="e">
        <f>SUMIF('[1]ПО КОРИСНИЦИМА'!$G$3:$G$11609,"Свега за пројекат 2001-П18:",'[1]ПО КОРИСНИЦИМА'!$H$3:$H$11609)</f>
        <v>#VALUE!</v>
      </c>
      <c r="E265" s="938" t="e">
        <f t="shared" si="9"/>
        <v>#VALUE!</v>
      </c>
      <c r="F265" s="1237" t="e">
        <f>SUMIF('[1]ПО КОРИСНИЦИМА'!$G$3:$G$11609,"Свега за пројекат 2001-П18:",'[1]ПО КОРИСНИЦИМА'!$H$3:$H$11609)</f>
        <v>#VALUE!</v>
      </c>
      <c r="G265" s="941" t="e">
        <f t="shared" si="8"/>
        <v>#VALUE!</v>
      </c>
      <c r="H265" s="956"/>
    </row>
    <row r="266" spans="1:8" ht="12.75" hidden="1">
      <c r="A266" s="952"/>
      <c r="B266" s="952" t="s">
        <v>1075</v>
      </c>
      <c r="C266" s="940">
        <f>_xlfn.IFERROR(VLOOKUP(B266,'[1]ПО КОРИСНИЦИМА'!$C$3:$J$11609,5,FALSE),"")</f>
      </c>
      <c r="D266" s="943" t="e">
        <f>SUMIF('[1]ПО КОРИСНИЦИМА'!$G$3:$G$11609,"Свега за пројекат 2001-П19:",'[1]ПО КОРИСНИЦИМА'!$H$3:$H$11609)</f>
        <v>#VALUE!</v>
      </c>
      <c r="E266" s="938" t="e">
        <f t="shared" si="9"/>
        <v>#VALUE!</v>
      </c>
      <c r="F266" s="1237" t="e">
        <f>SUMIF('[1]ПО КОРИСНИЦИМА'!$G$3:$G$11609,"Свега за пројекат 2001-П19:",'[1]ПО КОРИСНИЦИМА'!$H$3:$H$11609)</f>
        <v>#VALUE!</v>
      </c>
      <c r="G266" s="941" t="e">
        <f t="shared" si="8"/>
        <v>#VALUE!</v>
      </c>
      <c r="H266" s="956"/>
    </row>
    <row r="267" spans="1:8" ht="12.75" hidden="1">
      <c r="A267" s="952"/>
      <c r="B267" s="952" t="s">
        <v>1076</v>
      </c>
      <c r="C267" s="940">
        <f>_xlfn.IFERROR(VLOOKUP(B267,'[1]ПО КОРИСНИЦИМА'!$C$3:$J$11609,5,FALSE),"")</f>
      </c>
      <c r="D267" s="943" t="e">
        <f>SUMIF('[1]ПО КОРИСНИЦИМА'!$G$3:$G$11609,"Свега за пројекат 2001-П20:",'[1]ПО КОРИСНИЦИМА'!$H$3:$H$11609)</f>
        <v>#VALUE!</v>
      </c>
      <c r="E267" s="938" t="e">
        <f t="shared" si="9"/>
        <v>#VALUE!</v>
      </c>
      <c r="F267" s="1237" t="e">
        <f>SUMIF('[1]ПО КОРИСНИЦИМА'!$G$3:$G$11609,"Свега за пројекат 2001-П20:",'[1]ПО КОРИСНИЦИМА'!$H$3:$H$11609)</f>
        <v>#VALUE!</v>
      </c>
      <c r="G267" s="941" t="e">
        <f t="shared" si="8"/>
        <v>#VALUE!</v>
      </c>
      <c r="H267" s="956"/>
    </row>
    <row r="268" spans="1:8" ht="12.75" hidden="1">
      <c r="A268" s="952"/>
      <c r="B268" s="952" t="s">
        <v>1077</v>
      </c>
      <c r="C268" s="940">
        <f>_xlfn.IFERROR(VLOOKUP(B268,'[1]ПО КОРИСНИЦИМА'!$C$3:$J$11609,5,FALSE),"")</f>
      </c>
      <c r="D268" s="943" t="e">
        <f>SUMIF('[1]ПО КОРИСНИЦИМА'!$G$3:$G$11609,"Свега за пројекат 2001-П21:",'[1]ПО КОРИСНИЦИМА'!$H$3:$H$11609)</f>
        <v>#VALUE!</v>
      </c>
      <c r="E268" s="938" t="e">
        <f t="shared" si="9"/>
        <v>#VALUE!</v>
      </c>
      <c r="F268" s="1237" t="e">
        <f>SUMIF('[1]ПО КОРИСНИЦИМА'!$G$3:$G$11609,"Свега за пројекат 2001-П21:",'[1]ПО КОРИСНИЦИМА'!$H$3:$H$11609)</f>
        <v>#VALUE!</v>
      </c>
      <c r="G268" s="941" t="e">
        <f t="shared" si="8"/>
        <v>#VALUE!</v>
      </c>
      <c r="H268" s="956"/>
    </row>
    <row r="269" spans="1:8" ht="12.75" hidden="1">
      <c r="A269" s="952"/>
      <c r="B269" s="952" t="s">
        <v>1078</v>
      </c>
      <c r="C269" s="940">
        <f>_xlfn.IFERROR(VLOOKUP(B269,'[1]ПО КОРИСНИЦИМА'!$C$3:$J$11609,5,FALSE),"")</f>
      </c>
      <c r="D269" s="943" t="e">
        <f>SUMIF('[1]ПО КОРИСНИЦИМА'!$G$3:$G$11609,"Свега за пројекат 2001-П22:",'[1]ПО КОРИСНИЦИМА'!$H$3:$H$11609)</f>
        <v>#VALUE!</v>
      </c>
      <c r="E269" s="938" t="e">
        <f t="shared" si="9"/>
        <v>#VALUE!</v>
      </c>
      <c r="F269" s="1237" t="e">
        <f>SUMIF('[1]ПО КОРИСНИЦИМА'!$G$3:$G$11609,"Свега за пројекат 2001-П22:",'[1]ПО КОРИСНИЦИМА'!$H$3:$H$11609)</f>
        <v>#VALUE!</v>
      </c>
      <c r="G269" s="941" t="e">
        <f t="shared" si="8"/>
        <v>#VALUE!</v>
      </c>
      <c r="H269" s="956"/>
    </row>
    <row r="270" spans="1:8" ht="12.75" hidden="1">
      <c r="A270" s="952"/>
      <c r="B270" s="952" t="s">
        <v>1079</v>
      </c>
      <c r="C270" s="940">
        <f>_xlfn.IFERROR(VLOOKUP(B270,'[1]ПО КОРИСНИЦИМА'!$C$3:$J$11609,5,FALSE),"")</f>
      </c>
      <c r="D270" s="943" t="e">
        <f>SUMIF('[1]ПО КОРИСНИЦИМА'!$G$3:$G$11609,"Свега за пројекат 2001-П23:",'[1]ПО КОРИСНИЦИМА'!$H$3:$H$11609)</f>
        <v>#VALUE!</v>
      </c>
      <c r="E270" s="938" t="e">
        <f t="shared" si="9"/>
        <v>#VALUE!</v>
      </c>
      <c r="F270" s="1237" t="e">
        <f>SUMIF('[1]ПО КОРИСНИЦИМА'!$G$3:$G$11609,"Свега за пројекат 2001-П23:",'[1]ПО КОРИСНИЦИМА'!$H$3:$H$11609)</f>
        <v>#VALUE!</v>
      </c>
      <c r="G270" s="941" t="e">
        <f t="shared" si="8"/>
        <v>#VALUE!</v>
      </c>
      <c r="H270" s="956"/>
    </row>
    <row r="271" spans="1:8" ht="12.75" hidden="1">
      <c r="A271" s="952"/>
      <c r="B271" s="952" t="s">
        <v>1080</v>
      </c>
      <c r="C271" s="940">
        <f>_xlfn.IFERROR(VLOOKUP(B271,'[1]ПО КОРИСНИЦИМА'!$C$3:$J$11609,5,FALSE),"")</f>
      </c>
      <c r="D271" s="943" t="e">
        <f>SUMIF('[1]ПО КОРИСНИЦИМА'!$G$3:$G$11609,"Свега за пројекат 2001-П24:",'[1]ПО КОРИСНИЦИМА'!$H$3:$H$11609)</f>
        <v>#VALUE!</v>
      </c>
      <c r="E271" s="938" t="e">
        <f t="shared" si="9"/>
        <v>#VALUE!</v>
      </c>
      <c r="F271" s="1237" t="e">
        <f>SUMIF('[1]ПО КОРИСНИЦИМА'!$G$3:$G$11609,"Свега за пројекат 2001-П24:",'[1]ПО КОРИСНИЦИМА'!$H$3:$H$11609)</f>
        <v>#VALUE!</v>
      </c>
      <c r="G271" s="941" t="e">
        <f t="shared" si="8"/>
        <v>#VALUE!</v>
      </c>
      <c r="H271" s="956"/>
    </row>
    <row r="272" spans="1:8" ht="12.75" hidden="1">
      <c r="A272" s="952"/>
      <c r="B272" s="952" t="s">
        <v>1081</v>
      </c>
      <c r="C272" s="940">
        <f>_xlfn.IFERROR(VLOOKUP(B272,'[1]ПО КОРИСНИЦИМА'!$C$3:$J$11609,5,FALSE),"")</f>
      </c>
      <c r="D272" s="943" t="e">
        <f>SUMIF('[1]ПО КОРИСНИЦИМА'!$G$3:$G$11609,"Свега за пројекат 2001-П25:",'[1]ПО КОРИСНИЦИМА'!$H$3:$H$11609)</f>
        <v>#VALUE!</v>
      </c>
      <c r="E272" s="938" t="e">
        <f t="shared" si="9"/>
        <v>#VALUE!</v>
      </c>
      <c r="F272" s="1237" t="e">
        <f>SUMIF('[1]ПО КОРИСНИЦИМА'!$G$3:$G$11609,"Свега за пројекат 2001-П25:",'[1]ПО КОРИСНИЦИМА'!$H$3:$H$11609)</f>
        <v>#VALUE!</v>
      </c>
      <c r="G272" s="941" t="e">
        <f t="shared" si="8"/>
        <v>#VALUE!</v>
      </c>
      <c r="H272" s="956"/>
    </row>
    <row r="273" spans="1:8" ht="12.75" hidden="1">
      <c r="A273" s="952"/>
      <c r="B273" s="952" t="s">
        <v>1082</v>
      </c>
      <c r="C273" s="940">
        <f>_xlfn.IFERROR(VLOOKUP(B273,'[1]ПО КОРИСНИЦИМА'!$C$3:$J$11609,5,FALSE),"")</f>
      </c>
      <c r="D273" s="943" t="e">
        <f>SUMIF('[1]ПО КОРИСНИЦИМА'!$G$3:$G$11609,"Свега за пројекат 2001-П26:",'[1]ПО КОРИСНИЦИМА'!$H$3:$H$11609)</f>
        <v>#VALUE!</v>
      </c>
      <c r="E273" s="938" t="e">
        <f t="shared" si="9"/>
        <v>#VALUE!</v>
      </c>
      <c r="F273" s="1237" t="e">
        <f>SUMIF('[1]ПО КОРИСНИЦИМА'!$G$3:$G$11609,"Свега за пројекат 2001-П26:",'[1]ПО КОРИСНИЦИМА'!$H$3:$H$11609)</f>
        <v>#VALUE!</v>
      </c>
      <c r="G273" s="941" t="e">
        <f t="shared" si="8"/>
        <v>#VALUE!</v>
      </c>
      <c r="H273" s="956"/>
    </row>
    <row r="274" spans="1:8" ht="12.75" hidden="1">
      <c r="A274" s="952"/>
      <c r="B274" s="952" t="s">
        <v>1083</v>
      </c>
      <c r="C274" s="940">
        <f>_xlfn.IFERROR(VLOOKUP(B274,'[1]ПО КОРИСНИЦИМА'!$C$3:$J$11609,5,FALSE),"")</f>
      </c>
      <c r="D274" s="943" t="e">
        <f>SUMIF('[1]ПО КОРИСНИЦИМА'!$G$3:$G$11609,"Свега за пројекат 2001-П27:",'[1]ПО КОРИСНИЦИМА'!$H$3:$H$11609)</f>
        <v>#VALUE!</v>
      </c>
      <c r="E274" s="938" t="e">
        <f t="shared" si="9"/>
        <v>#VALUE!</v>
      </c>
      <c r="F274" s="1237" t="e">
        <f>SUMIF('[1]ПО КОРИСНИЦИМА'!$G$3:$G$11609,"Свега за пројекат 2001-П27:",'[1]ПО КОРИСНИЦИМА'!$H$3:$H$11609)</f>
        <v>#VALUE!</v>
      </c>
      <c r="G274" s="941" t="e">
        <f t="shared" si="8"/>
        <v>#VALUE!</v>
      </c>
      <c r="H274" s="956"/>
    </row>
    <row r="275" spans="1:8" ht="12.75" hidden="1">
      <c r="A275" s="952"/>
      <c r="B275" s="952" t="s">
        <v>1084</v>
      </c>
      <c r="C275" s="940">
        <f>_xlfn.IFERROR(VLOOKUP(B275,'[1]ПО КОРИСНИЦИМА'!$C$3:$J$11609,5,FALSE),"")</f>
      </c>
      <c r="D275" s="943" t="e">
        <f>SUMIF('[1]ПО КОРИСНИЦИМА'!$G$3:$G$11609,"Свега за пројекат 2001-П28:",'[1]ПО КОРИСНИЦИМА'!$H$3:$H$11609)</f>
        <v>#VALUE!</v>
      </c>
      <c r="E275" s="938" t="e">
        <f t="shared" si="9"/>
        <v>#VALUE!</v>
      </c>
      <c r="F275" s="1237" t="e">
        <f>SUMIF('[1]ПО КОРИСНИЦИМА'!$G$3:$G$11609,"Свега за пројекат 2001-П28:",'[1]ПО КОРИСНИЦИМА'!$H$3:$H$11609)</f>
        <v>#VALUE!</v>
      </c>
      <c r="G275" s="941" t="e">
        <f t="shared" si="8"/>
        <v>#VALUE!</v>
      </c>
      <c r="H275" s="955"/>
    </row>
    <row r="276" spans="1:8" ht="12.75" hidden="1">
      <c r="A276" s="952"/>
      <c r="B276" s="952" t="s">
        <v>1085</v>
      </c>
      <c r="C276" s="940">
        <f>_xlfn.IFERROR(VLOOKUP(B276,'[1]ПО КОРИСНИЦИМА'!$C$3:$J$11609,5,FALSE),"")</f>
      </c>
      <c r="D276" s="943" t="e">
        <f>SUMIF('[1]ПО КОРИСНИЦИМА'!$G$3:$G$11609,"Свега за пројекат 2001-П29:",'[1]ПО КОРИСНИЦИМА'!$H$3:$H$11609)</f>
        <v>#VALUE!</v>
      </c>
      <c r="E276" s="938" t="e">
        <f t="shared" si="9"/>
        <v>#VALUE!</v>
      </c>
      <c r="F276" s="1237" t="e">
        <f>SUMIF('[1]ПО КОРИСНИЦИМА'!$G$3:$G$11609,"Свега за пројекат 2001-П29:",'[1]ПО КОРИСНИЦИМА'!$H$3:$H$11609)</f>
        <v>#VALUE!</v>
      </c>
      <c r="G276" s="941" t="e">
        <f t="shared" si="8"/>
        <v>#VALUE!</v>
      </c>
      <c r="H276" s="955"/>
    </row>
    <row r="277" spans="1:8" ht="12.75" hidden="1">
      <c r="A277" s="952"/>
      <c r="B277" s="952" t="s">
        <v>579</v>
      </c>
      <c r="C277" s="940">
        <f>_xlfn.IFERROR(VLOOKUP(B277,'[1]ПО КОРИСНИЦИМА'!$C$3:$J$11609,5,FALSE),"")</f>
      </c>
      <c r="D277" s="943" t="e">
        <f>SUMIF('[1]ПО КОРИСНИЦИМА'!$G$3:$G$11609,"Свега за пројекат 2001-П30:",'[1]ПО КОРИСНИЦИМА'!$H$3:$H$11609)</f>
        <v>#VALUE!</v>
      </c>
      <c r="E277" s="938" t="e">
        <f t="shared" si="9"/>
        <v>#VALUE!</v>
      </c>
      <c r="F277" s="1237" t="e">
        <f>SUMIF('[1]ПО КОРИСНИЦИМА'!$G$3:$G$11609,"Свега за пројекат 2001-П30:",'[1]ПО КОРИСНИЦИМА'!$H$3:$H$11609)</f>
        <v>#VALUE!</v>
      </c>
      <c r="G277" s="941" t="e">
        <f t="shared" si="8"/>
        <v>#VALUE!</v>
      </c>
      <c r="H277" s="942"/>
    </row>
    <row r="278" spans="1:8" s="306" customFormat="1" ht="12.75">
      <c r="A278" s="934" t="s">
        <v>283</v>
      </c>
      <c r="B278" s="935"/>
      <c r="C278" s="936" t="s">
        <v>1520</v>
      </c>
      <c r="D278" s="937">
        <f>SUM(D279:D286)</f>
        <v>35793190</v>
      </c>
      <c r="E278" s="938">
        <f t="shared" si="9"/>
        <v>0.0741032265820322</v>
      </c>
      <c r="F278" s="1235">
        <f>SUM(F279:F286)</f>
        <v>0</v>
      </c>
      <c r="G278" s="937">
        <f t="shared" si="8"/>
        <v>35793190</v>
      </c>
      <c r="H278" s="949"/>
    </row>
    <row r="279" spans="1:8" ht="42" customHeight="1">
      <c r="A279" s="957"/>
      <c r="B279" s="950" t="s">
        <v>285</v>
      </c>
      <c r="C279" s="958" t="s">
        <v>1522</v>
      </c>
      <c r="D279" s="941">
        <f>Rashodi!M144+Rashodi!M159+Rashodi!M175</f>
        <v>35793190</v>
      </c>
      <c r="E279" s="1242">
        <f t="shared" si="9"/>
        <v>0.0741032265820322</v>
      </c>
      <c r="F279" s="1236">
        <f>Rashodi!T144+Rashodi!T159+Rashodi!T175</f>
        <v>0</v>
      </c>
      <c r="G279" s="941">
        <f t="shared" si="8"/>
        <v>35793190</v>
      </c>
      <c r="H279" s="959" t="s">
        <v>1255</v>
      </c>
    </row>
    <row r="280" spans="1:8" ht="12.75" hidden="1">
      <c r="A280" s="933"/>
      <c r="B280" s="952" t="s">
        <v>1086</v>
      </c>
      <c r="C280" s="940">
        <f>_xlfn.IFERROR(VLOOKUP(B280,'[1]ПО КОРИСНИЦИМА'!$C$3:$J$11609,5,FALSE),"")</f>
      </c>
      <c r="D280" s="943"/>
      <c r="E280" s="938">
        <f t="shared" si="9"/>
        <v>0</v>
      </c>
      <c r="F280" s="1237"/>
      <c r="G280" s="941">
        <f t="shared" si="8"/>
        <v>0</v>
      </c>
      <c r="H280" s="942"/>
    </row>
    <row r="281" spans="1:8" ht="12.75" hidden="1">
      <c r="A281" s="933"/>
      <c r="B281" s="952" t="s">
        <v>1087</v>
      </c>
      <c r="C281" s="940">
        <f>_xlfn.IFERROR(VLOOKUP(B281,'[1]ПО КОРИСНИЦИМА'!$C$3:$J$11609,5,FALSE),"")</f>
      </c>
      <c r="D281" s="943"/>
      <c r="E281" s="938">
        <f t="shared" si="9"/>
        <v>0</v>
      </c>
      <c r="F281" s="1237"/>
      <c r="G281" s="941">
        <f t="shared" si="8"/>
        <v>0</v>
      </c>
      <c r="H281" s="942"/>
    </row>
    <row r="282" spans="1:8" ht="12.75" hidden="1">
      <c r="A282" s="933"/>
      <c r="B282" s="952" t="s">
        <v>1088</v>
      </c>
      <c r="C282" s="940">
        <f>_xlfn.IFERROR(VLOOKUP(B282,'[1]ПО КОРИСНИЦИМА'!$C$3:$J$11609,5,FALSE),"")</f>
      </c>
      <c r="D282" s="943"/>
      <c r="E282" s="938">
        <f t="shared" si="9"/>
        <v>0</v>
      </c>
      <c r="F282" s="1237"/>
      <c r="G282" s="941">
        <f t="shared" si="8"/>
        <v>0</v>
      </c>
      <c r="H282" s="942"/>
    </row>
    <row r="283" spans="1:8" ht="12.75" hidden="1">
      <c r="A283" s="933"/>
      <c r="B283" s="952" t="s">
        <v>1089</v>
      </c>
      <c r="C283" s="940">
        <f>_xlfn.IFERROR(VLOOKUP(B283,'[1]ПО КОРИСНИЦИМА'!$C$3:$J$11609,5,FALSE),"")</f>
      </c>
      <c r="D283" s="943"/>
      <c r="E283" s="938">
        <f t="shared" si="9"/>
        <v>0</v>
      </c>
      <c r="F283" s="1237"/>
      <c r="G283" s="941">
        <f t="shared" si="8"/>
        <v>0</v>
      </c>
      <c r="H283" s="942"/>
    </row>
    <row r="284" spans="1:8" ht="12.75" hidden="1">
      <c r="A284" s="933"/>
      <c r="B284" s="952" t="s">
        <v>1090</v>
      </c>
      <c r="C284" s="940">
        <f>_xlfn.IFERROR(VLOOKUP(B284,'[1]ПО КОРИСНИЦИМА'!$C$3:$J$11609,5,FALSE),"")</f>
      </c>
      <c r="D284" s="943"/>
      <c r="E284" s="938">
        <f t="shared" si="9"/>
        <v>0</v>
      </c>
      <c r="F284" s="1237"/>
      <c r="G284" s="941">
        <f t="shared" si="8"/>
        <v>0</v>
      </c>
      <c r="H284" s="942"/>
    </row>
    <row r="285" spans="1:8" ht="12.75" hidden="1">
      <c r="A285" s="933"/>
      <c r="B285" s="952" t="s">
        <v>1091</v>
      </c>
      <c r="C285" s="940">
        <f>_xlfn.IFERROR(VLOOKUP(B285,'[1]ПО КОРИСНИЦИМА'!$C$3:$J$11609,5,FALSE),"")</f>
      </c>
      <c r="D285" s="943"/>
      <c r="E285" s="938">
        <f t="shared" si="9"/>
        <v>0</v>
      </c>
      <c r="F285" s="1237"/>
      <c r="G285" s="941">
        <f t="shared" si="8"/>
        <v>0</v>
      </c>
      <c r="H285" s="942"/>
    </row>
    <row r="286" spans="1:8" ht="12.75" hidden="1">
      <c r="A286" s="933"/>
      <c r="B286" s="952" t="s">
        <v>1092</v>
      </c>
      <c r="C286" s="940">
        <f>_xlfn.IFERROR(VLOOKUP(B286,'[1]ПО КОРИСНИЦИМА'!$C$3:$J$11609,5,FALSE),"")</f>
      </c>
      <c r="D286" s="943"/>
      <c r="E286" s="938">
        <f t="shared" si="9"/>
        <v>0</v>
      </c>
      <c r="F286" s="1237"/>
      <c r="G286" s="941">
        <f t="shared" si="8"/>
        <v>0</v>
      </c>
      <c r="H286" s="942"/>
    </row>
    <row r="287" spans="1:8" ht="12.75" hidden="1">
      <c r="A287" s="933"/>
      <c r="B287" s="952" t="s">
        <v>1093</v>
      </c>
      <c r="C287" s="940">
        <f>_xlfn.IFERROR(VLOOKUP(B287,'[1]ПО КОРИСНИЦИМА'!$C$3:$J$11609,5,FALSE),"")</f>
      </c>
      <c r="D287" s="943" t="e">
        <f>SUMIF('[1]ПО КОРИСНИЦИМА'!$G$3:$G$11609,"Свега за пројекат 2002-П8:",'[1]ПО КОРИСНИЦИМА'!$H$3:$H$11609)</f>
        <v>#VALUE!</v>
      </c>
      <c r="E287" s="938" t="e">
        <f t="shared" si="9"/>
        <v>#VALUE!</v>
      </c>
      <c r="F287" s="1237" t="e">
        <f>SUMIF('[1]ПО КОРИСНИЦИМА'!$G$3:$G$11609,"Свега за пројекат 2002-П8:",'[1]ПО КОРИСНИЦИМА'!$H$3:$H$11609)</f>
        <v>#VALUE!</v>
      </c>
      <c r="G287" s="941" t="e">
        <f t="shared" si="8"/>
        <v>#VALUE!</v>
      </c>
      <c r="H287" s="942"/>
    </row>
    <row r="288" spans="1:8" ht="12.75" hidden="1">
      <c r="A288" s="933"/>
      <c r="B288" s="952" t="s">
        <v>1094</v>
      </c>
      <c r="C288" s="940">
        <f>_xlfn.IFERROR(VLOOKUP(B288,'[1]ПО КОРИСНИЦИМА'!$C$3:$J$11609,5,FALSE),"")</f>
      </c>
      <c r="D288" s="943" t="e">
        <f>SUMIF('[1]ПО КОРИСНИЦИМА'!$G$3:$G$11609,"Свега за пројекат 2002-П9:",'[1]ПО КОРИСНИЦИМА'!$H$3:$H$11609)</f>
        <v>#VALUE!</v>
      </c>
      <c r="E288" s="938" t="e">
        <f t="shared" si="9"/>
        <v>#VALUE!</v>
      </c>
      <c r="F288" s="1237" t="e">
        <f>SUMIF('[1]ПО КОРИСНИЦИМА'!$G$3:$G$11609,"Свега за пројекат 2002-П9:",'[1]ПО КОРИСНИЦИМА'!$H$3:$H$11609)</f>
        <v>#VALUE!</v>
      </c>
      <c r="G288" s="941" t="e">
        <f t="shared" si="8"/>
        <v>#VALUE!</v>
      </c>
      <c r="H288" s="942"/>
    </row>
    <row r="289" spans="1:8" ht="12.75" hidden="1">
      <c r="A289" s="933"/>
      <c r="B289" s="952" t="s">
        <v>1095</v>
      </c>
      <c r="C289" s="940">
        <f>_xlfn.IFERROR(VLOOKUP(B289,'[1]ПО КОРИСНИЦИМА'!$C$3:$J$11609,5,FALSE),"")</f>
      </c>
      <c r="D289" s="943" t="e">
        <f>SUMIF('[1]ПО КОРИСНИЦИМА'!$G$3:$G$11609,"Свега за пројекат 2002-П10:",'[1]ПО КОРИСНИЦИМА'!$H$3:$H$11609)</f>
        <v>#VALUE!</v>
      </c>
      <c r="E289" s="938" t="e">
        <f t="shared" si="9"/>
        <v>#VALUE!</v>
      </c>
      <c r="F289" s="1237" t="e">
        <f>SUMIF('[1]ПО КОРИСНИЦИМА'!$G$3:$G$11609,"Свега за пројекат 2002-П10:",'[1]ПО КОРИСНИЦИМА'!$H$3:$H$11609)</f>
        <v>#VALUE!</v>
      </c>
      <c r="G289" s="941" t="e">
        <f t="shared" si="8"/>
        <v>#VALUE!</v>
      </c>
      <c r="H289" s="942"/>
    </row>
    <row r="290" spans="1:8" ht="12.75" hidden="1">
      <c r="A290" s="933"/>
      <c r="B290" s="952" t="s">
        <v>1096</v>
      </c>
      <c r="C290" s="940">
        <f>_xlfn.IFERROR(VLOOKUP(B290,'[1]ПО КОРИСНИЦИМА'!$C$3:$J$11609,5,FALSE),"")</f>
      </c>
      <c r="D290" s="943" t="e">
        <f>SUMIF('[1]ПО КОРИСНИЦИМА'!$G$3:$G$11609,"Свега за пројекат 2002-П11:",'[1]ПО КОРИСНИЦИМА'!$H$3:$H$11609)</f>
        <v>#VALUE!</v>
      </c>
      <c r="E290" s="938" t="e">
        <f t="shared" si="9"/>
        <v>#VALUE!</v>
      </c>
      <c r="F290" s="1237" t="e">
        <f>SUMIF('[1]ПО КОРИСНИЦИМА'!$G$3:$G$11609,"Свега за пројекат 2002-П11:",'[1]ПО КОРИСНИЦИМА'!$H$3:$H$11609)</f>
        <v>#VALUE!</v>
      </c>
      <c r="G290" s="941" t="e">
        <f t="shared" si="8"/>
        <v>#VALUE!</v>
      </c>
      <c r="H290" s="942"/>
    </row>
    <row r="291" spans="1:8" ht="12.75" hidden="1">
      <c r="A291" s="933"/>
      <c r="B291" s="952" t="s">
        <v>1097</v>
      </c>
      <c r="C291" s="940">
        <f>_xlfn.IFERROR(VLOOKUP(B291,'[1]ПО КОРИСНИЦИМА'!$C$3:$J$11609,5,FALSE),"")</f>
      </c>
      <c r="D291" s="943" t="e">
        <f>SUMIF('[1]ПО КОРИСНИЦИМА'!$G$3:$G$11609,"Свега за пројекат 2002-П12:",'[1]ПО КОРИСНИЦИМА'!$H$3:$H$11609)</f>
        <v>#VALUE!</v>
      </c>
      <c r="E291" s="938" t="e">
        <f t="shared" si="9"/>
        <v>#VALUE!</v>
      </c>
      <c r="F291" s="1237" t="e">
        <f>SUMIF('[1]ПО КОРИСНИЦИМА'!$G$3:$G$11609,"Свега за пројекат 2002-П12:",'[1]ПО КОРИСНИЦИМА'!$H$3:$H$11609)</f>
        <v>#VALUE!</v>
      </c>
      <c r="G291" s="941" t="e">
        <f t="shared" si="8"/>
        <v>#VALUE!</v>
      </c>
      <c r="H291" s="942"/>
    </row>
    <row r="292" spans="1:8" ht="12.75" hidden="1">
      <c r="A292" s="933"/>
      <c r="B292" s="952" t="s">
        <v>1098</v>
      </c>
      <c r="C292" s="940">
        <f>_xlfn.IFERROR(VLOOKUP(B292,'[1]ПО КОРИСНИЦИМА'!$C$3:$J$11609,5,FALSE),"")</f>
      </c>
      <c r="D292" s="943" t="e">
        <f>SUMIF('[1]ПО КОРИСНИЦИМА'!$G$3:$G$11609,"Свега за пројекат 2002-П13:",'[1]ПО КОРИСНИЦИМА'!$H$3:$H$11609)</f>
        <v>#VALUE!</v>
      </c>
      <c r="E292" s="938" t="e">
        <f t="shared" si="9"/>
        <v>#VALUE!</v>
      </c>
      <c r="F292" s="1237" t="e">
        <f>SUMIF('[1]ПО КОРИСНИЦИМА'!$G$3:$G$11609,"Свега за пројекат 2002-П13:",'[1]ПО КОРИСНИЦИМА'!$H$3:$H$11609)</f>
        <v>#VALUE!</v>
      </c>
      <c r="G292" s="941" t="e">
        <f t="shared" si="8"/>
        <v>#VALUE!</v>
      </c>
      <c r="H292" s="942"/>
    </row>
    <row r="293" spans="1:8" ht="12.75" hidden="1">
      <c r="A293" s="933"/>
      <c r="B293" s="952" t="s">
        <v>1099</v>
      </c>
      <c r="C293" s="940">
        <f>_xlfn.IFERROR(VLOOKUP(B293,'[1]ПО КОРИСНИЦИМА'!$C$3:$J$11609,5,FALSE),"")</f>
      </c>
      <c r="D293" s="943" t="e">
        <f>SUMIF('[1]ПО КОРИСНИЦИМА'!$G$3:$G$11609,"Свега за пројекат 2002-П14:",'[1]ПО КОРИСНИЦИМА'!$H$3:$H$11609)</f>
        <v>#VALUE!</v>
      </c>
      <c r="E293" s="938" t="e">
        <f t="shared" si="9"/>
        <v>#VALUE!</v>
      </c>
      <c r="F293" s="1237" t="e">
        <f>SUMIF('[1]ПО КОРИСНИЦИМА'!$G$3:$G$11609,"Свега за пројекат 2002-П14:",'[1]ПО КОРИСНИЦИМА'!$H$3:$H$11609)</f>
        <v>#VALUE!</v>
      </c>
      <c r="G293" s="941" t="e">
        <f t="shared" si="8"/>
        <v>#VALUE!</v>
      </c>
      <c r="H293" s="942"/>
    </row>
    <row r="294" spans="1:8" ht="12.75" hidden="1">
      <c r="A294" s="933"/>
      <c r="B294" s="952" t="s">
        <v>1100</v>
      </c>
      <c r="C294" s="940">
        <f>_xlfn.IFERROR(VLOOKUP(B294,'[1]ПО КОРИСНИЦИМА'!$C$3:$J$11609,5,FALSE),"")</f>
      </c>
      <c r="D294" s="943" t="e">
        <f>SUMIF('[1]ПО КОРИСНИЦИМА'!$G$3:$G$11609,"Свега за пројекат 2002-П15:",'[1]ПО КОРИСНИЦИМА'!$H$3:$H$11609)</f>
        <v>#VALUE!</v>
      </c>
      <c r="E294" s="938" t="e">
        <f t="shared" si="9"/>
        <v>#VALUE!</v>
      </c>
      <c r="F294" s="1237" t="e">
        <f>SUMIF('[1]ПО КОРИСНИЦИМА'!$G$3:$G$11609,"Свега за пројекат 2002-П15:",'[1]ПО КОРИСНИЦИМА'!$H$3:$H$11609)</f>
        <v>#VALUE!</v>
      </c>
      <c r="G294" s="941" t="e">
        <f t="shared" si="8"/>
        <v>#VALUE!</v>
      </c>
      <c r="H294" s="942"/>
    </row>
    <row r="295" spans="1:8" ht="12.75" hidden="1">
      <c r="A295" s="933"/>
      <c r="B295" s="952" t="s">
        <v>1101</v>
      </c>
      <c r="C295" s="940">
        <f>_xlfn.IFERROR(VLOOKUP(B295,'[1]ПО КОРИСНИЦИМА'!$C$3:$J$11609,5,FALSE),"")</f>
      </c>
      <c r="D295" s="943" t="e">
        <f>SUMIF('[1]ПО КОРИСНИЦИМА'!$G$3:$G$11609,"Свега за пројекат 2002-П16:",'[1]ПО КОРИСНИЦИМА'!$H$3:$H$11609)</f>
        <v>#VALUE!</v>
      </c>
      <c r="E295" s="938" t="e">
        <f t="shared" si="9"/>
        <v>#VALUE!</v>
      </c>
      <c r="F295" s="1237" t="e">
        <f>SUMIF('[1]ПО КОРИСНИЦИМА'!$G$3:$G$11609,"Свега за пројекат 2002-П16:",'[1]ПО КОРИСНИЦИМА'!$H$3:$H$11609)</f>
        <v>#VALUE!</v>
      </c>
      <c r="G295" s="941" t="e">
        <f t="shared" si="8"/>
        <v>#VALUE!</v>
      </c>
      <c r="H295" s="942"/>
    </row>
    <row r="296" spans="1:8" ht="12.75" hidden="1">
      <c r="A296" s="933"/>
      <c r="B296" s="952" t="s">
        <v>1102</v>
      </c>
      <c r="C296" s="940">
        <f>_xlfn.IFERROR(VLOOKUP(B296,'[1]ПО КОРИСНИЦИМА'!$C$3:$J$11609,5,FALSE),"")</f>
      </c>
      <c r="D296" s="943" t="e">
        <f>SUMIF('[1]ПО КОРИСНИЦИМА'!$G$3:$G$11609,"Свега за пројекат 2002-П17:",'[1]ПО КОРИСНИЦИМА'!$H$3:$H$11609)</f>
        <v>#VALUE!</v>
      </c>
      <c r="E296" s="938" t="e">
        <f t="shared" si="9"/>
        <v>#VALUE!</v>
      </c>
      <c r="F296" s="1237" t="e">
        <f>SUMIF('[1]ПО КОРИСНИЦИМА'!$G$3:$G$11609,"Свега за пројекат 2002-П17:",'[1]ПО КОРИСНИЦИМА'!$H$3:$H$11609)</f>
        <v>#VALUE!</v>
      </c>
      <c r="G296" s="941" t="e">
        <f t="shared" si="8"/>
        <v>#VALUE!</v>
      </c>
      <c r="H296" s="942"/>
    </row>
    <row r="297" spans="1:8" ht="12.75" hidden="1">
      <c r="A297" s="933"/>
      <c r="B297" s="952" t="s">
        <v>1103</v>
      </c>
      <c r="C297" s="940">
        <f>_xlfn.IFERROR(VLOOKUP(B297,'[1]ПО КОРИСНИЦИМА'!$C$3:$J$11609,5,FALSE),"")</f>
      </c>
      <c r="D297" s="943" t="e">
        <f>SUMIF('[1]ПО КОРИСНИЦИМА'!$G$3:$G$11609,"Свега за пројекат 2002-П18:",'[1]ПО КОРИСНИЦИМА'!$H$3:$H$11609)</f>
        <v>#VALUE!</v>
      </c>
      <c r="E297" s="938" t="e">
        <f t="shared" si="9"/>
        <v>#VALUE!</v>
      </c>
      <c r="F297" s="1237" t="e">
        <f>SUMIF('[1]ПО КОРИСНИЦИМА'!$G$3:$G$11609,"Свега за пројекат 2002-П18:",'[1]ПО КОРИСНИЦИМА'!$H$3:$H$11609)</f>
        <v>#VALUE!</v>
      </c>
      <c r="G297" s="941" t="e">
        <f t="shared" si="8"/>
        <v>#VALUE!</v>
      </c>
      <c r="H297" s="942"/>
    </row>
    <row r="298" spans="1:8" ht="12.75" hidden="1">
      <c r="A298" s="933"/>
      <c r="B298" s="952" t="s">
        <v>1104</v>
      </c>
      <c r="C298" s="940">
        <f>_xlfn.IFERROR(VLOOKUP(B298,'[1]ПО КОРИСНИЦИМА'!$C$3:$J$11609,5,FALSE),"")</f>
      </c>
      <c r="D298" s="943" t="e">
        <f>SUMIF('[1]ПО КОРИСНИЦИМА'!$G$3:$G$11609,"Свега за пројекат 2002-П19:",'[1]ПО КОРИСНИЦИМА'!$H$3:$H$11609)</f>
        <v>#VALUE!</v>
      </c>
      <c r="E298" s="938" t="e">
        <f t="shared" si="9"/>
        <v>#VALUE!</v>
      </c>
      <c r="F298" s="1237" t="e">
        <f>SUMIF('[1]ПО КОРИСНИЦИМА'!$G$3:$G$11609,"Свега за пројекат 2002-П19:",'[1]ПО КОРИСНИЦИМА'!$H$3:$H$11609)</f>
        <v>#VALUE!</v>
      </c>
      <c r="G298" s="941" t="e">
        <f t="shared" si="8"/>
        <v>#VALUE!</v>
      </c>
      <c r="H298" s="942"/>
    </row>
    <row r="299" spans="1:8" ht="12.75" hidden="1">
      <c r="A299" s="933"/>
      <c r="B299" s="952" t="s">
        <v>1105</v>
      </c>
      <c r="C299" s="940">
        <f>_xlfn.IFERROR(VLOOKUP(B299,'[1]ПО КОРИСНИЦИМА'!$C$3:$J$11609,5,FALSE),"")</f>
      </c>
      <c r="D299" s="943" t="e">
        <f>SUMIF('[1]ПО КОРИСНИЦИМА'!$G$3:$G$11609,"Свега за пројекат 2002-П20:",'[1]ПО КОРИСНИЦИМА'!$H$3:$H$11609)</f>
        <v>#VALUE!</v>
      </c>
      <c r="E299" s="938" t="e">
        <f t="shared" si="9"/>
        <v>#VALUE!</v>
      </c>
      <c r="F299" s="1237" t="e">
        <f>SUMIF('[1]ПО КОРИСНИЦИМА'!$G$3:$G$11609,"Свега за пројекат 2002-П20:",'[1]ПО КОРИСНИЦИМА'!$H$3:$H$11609)</f>
        <v>#VALUE!</v>
      </c>
      <c r="G299" s="941" t="e">
        <f t="shared" si="8"/>
        <v>#VALUE!</v>
      </c>
      <c r="H299" s="942"/>
    </row>
    <row r="300" spans="1:8" ht="12.75" hidden="1">
      <c r="A300" s="933"/>
      <c r="B300" s="952" t="s">
        <v>1106</v>
      </c>
      <c r="C300" s="940">
        <f>_xlfn.IFERROR(VLOOKUP(B300,'[1]ПО КОРИСНИЦИМА'!$C$3:$J$11609,5,FALSE),"")</f>
      </c>
      <c r="D300" s="943" t="e">
        <f>SUMIF('[1]ПО КОРИСНИЦИМА'!$G$3:$G$11609,"Свега за пројекат 2002-П21:",'[1]ПО КОРИСНИЦИМА'!$H$3:$H$11609)</f>
        <v>#VALUE!</v>
      </c>
      <c r="E300" s="938" t="e">
        <f t="shared" si="9"/>
        <v>#VALUE!</v>
      </c>
      <c r="F300" s="1237" t="e">
        <f>SUMIF('[1]ПО КОРИСНИЦИМА'!$G$3:$G$11609,"Свега за пројекат 2002-П21:",'[1]ПО КОРИСНИЦИМА'!$H$3:$H$11609)</f>
        <v>#VALUE!</v>
      </c>
      <c r="G300" s="941" t="e">
        <f t="shared" si="8"/>
        <v>#VALUE!</v>
      </c>
      <c r="H300" s="942"/>
    </row>
    <row r="301" spans="1:8" ht="12.75" hidden="1">
      <c r="A301" s="933"/>
      <c r="B301" s="952" t="s">
        <v>1107</v>
      </c>
      <c r="C301" s="940">
        <f>_xlfn.IFERROR(VLOOKUP(B301,'[1]ПО КОРИСНИЦИМА'!$C$3:$J$11609,5,FALSE),"")</f>
      </c>
      <c r="D301" s="943" t="e">
        <f>SUMIF('[1]ПО КОРИСНИЦИМА'!$G$3:$G$11609,"Свега за пројекат 2002-П22:",'[1]ПО КОРИСНИЦИМА'!$H$3:$H$11609)</f>
        <v>#VALUE!</v>
      </c>
      <c r="E301" s="938" t="e">
        <f t="shared" si="9"/>
        <v>#VALUE!</v>
      </c>
      <c r="F301" s="1237" t="e">
        <f>SUMIF('[1]ПО КОРИСНИЦИМА'!$G$3:$G$11609,"Свега за пројекат 2002-П22:",'[1]ПО КОРИСНИЦИМА'!$H$3:$H$11609)</f>
        <v>#VALUE!</v>
      </c>
      <c r="G301" s="941" t="e">
        <f t="shared" si="8"/>
        <v>#VALUE!</v>
      </c>
      <c r="H301" s="942"/>
    </row>
    <row r="302" spans="1:8" ht="12.75" hidden="1">
      <c r="A302" s="933"/>
      <c r="B302" s="952" t="s">
        <v>1108</v>
      </c>
      <c r="C302" s="940">
        <f>_xlfn.IFERROR(VLOOKUP(B302,'[1]ПО КОРИСНИЦИМА'!$C$3:$J$11609,5,FALSE),"")</f>
      </c>
      <c r="D302" s="943" t="e">
        <f>SUMIF('[1]ПО КОРИСНИЦИМА'!$G$3:$G$11609,"Свега за пројекат 2002-П23:",'[1]ПО КОРИСНИЦИМА'!$H$3:$H$11609)</f>
        <v>#VALUE!</v>
      </c>
      <c r="E302" s="938" t="e">
        <f t="shared" si="9"/>
        <v>#VALUE!</v>
      </c>
      <c r="F302" s="1237" t="e">
        <f>SUMIF('[1]ПО КОРИСНИЦИМА'!$G$3:$G$11609,"Свега за пројекат 2002-П23:",'[1]ПО КОРИСНИЦИМА'!$H$3:$H$11609)</f>
        <v>#VALUE!</v>
      </c>
      <c r="G302" s="941" t="e">
        <f t="shared" si="8"/>
        <v>#VALUE!</v>
      </c>
      <c r="H302" s="942"/>
    </row>
    <row r="303" spans="1:8" ht="12.75" hidden="1">
      <c r="A303" s="933"/>
      <c r="B303" s="952" t="s">
        <v>1109</v>
      </c>
      <c r="C303" s="940">
        <f>_xlfn.IFERROR(VLOOKUP(B303,'[1]ПО КОРИСНИЦИМА'!$C$3:$J$11609,5,FALSE),"")</f>
      </c>
      <c r="D303" s="943" t="e">
        <f>SUMIF('[1]ПО КОРИСНИЦИМА'!$G$3:$G$11609,"Свега за пројекат 2002-П24:",'[1]ПО КОРИСНИЦИМА'!$H$3:$H$11609)</f>
        <v>#VALUE!</v>
      </c>
      <c r="E303" s="938" t="e">
        <f t="shared" si="9"/>
        <v>#VALUE!</v>
      </c>
      <c r="F303" s="1237" t="e">
        <f>SUMIF('[1]ПО КОРИСНИЦИМА'!$G$3:$G$11609,"Свега за пројекат 2002-П24:",'[1]ПО КОРИСНИЦИМА'!$H$3:$H$11609)</f>
        <v>#VALUE!</v>
      </c>
      <c r="G303" s="941" t="e">
        <f t="shared" si="8"/>
        <v>#VALUE!</v>
      </c>
      <c r="H303" s="942"/>
    </row>
    <row r="304" spans="1:8" ht="12.75" hidden="1">
      <c r="A304" s="933"/>
      <c r="B304" s="952" t="s">
        <v>1110</v>
      </c>
      <c r="C304" s="940">
        <f>_xlfn.IFERROR(VLOOKUP(B304,'[1]ПО КОРИСНИЦИМА'!$C$3:$J$11609,5,FALSE),"")</f>
      </c>
      <c r="D304" s="943" t="e">
        <f>SUMIF('[1]ПО КОРИСНИЦИМА'!$G$3:$G$11609,"Свега за пројекат 2002-П25:",'[1]ПО КОРИСНИЦИМА'!$H$3:$H$11609)</f>
        <v>#VALUE!</v>
      </c>
      <c r="E304" s="938" t="e">
        <f t="shared" si="9"/>
        <v>#VALUE!</v>
      </c>
      <c r="F304" s="1237" t="e">
        <f>SUMIF('[1]ПО КОРИСНИЦИМА'!$G$3:$G$11609,"Свега за пројекат 2002-П25:",'[1]ПО КОРИСНИЦИМА'!$H$3:$H$11609)</f>
        <v>#VALUE!</v>
      </c>
      <c r="G304" s="941" t="e">
        <f t="shared" si="8"/>
        <v>#VALUE!</v>
      </c>
      <c r="H304" s="942"/>
    </row>
    <row r="305" spans="1:8" ht="12.75" hidden="1">
      <c r="A305" s="952"/>
      <c r="B305" s="952" t="s">
        <v>1111</v>
      </c>
      <c r="C305" s="940">
        <f>_xlfn.IFERROR(VLOOKUP(B305,'[1]ПО КОРИСНИЦИМА'!$C$3:$J$11609,5,FALSE),"")</f>
      </c>
      <c r="D305" s="943" t="e">
        <f>SUMIF('[1]ПО КОРИСНИЦИМА'!$G$3:$G$11609,"Свега за пројекат 2002-П26:",'[1]ПО КОРИСНИЦИМА'!$H$3:$H$11609)</f>
        <v>#VALUE!</v>
      </c>
      <c r="E305" s="938" t="e">
        <f t="shared" si="9"/>
        <v>#VALUE!</v>
      </c>
      <c r="F305" s="1237" t="e">
        <f>SUMIF('[1]ПО КОРИСНИЦИМА'!$G$3:$G$11609,"Свега за пројекат 2002-П26:",'[1]ПО КОРИСНИЦИМА'!$H$3:$H$11609)</f>
        <v>#VALUE!</v>
      </c>
      <c r="G305" s="941" t="e">
        <f t="shared" si="8"/>
        <v>#VALUE!</v>
      </c>
      <c r="H305" s="942"/>
    </row>
    <row r="306" spans="1:8" ht="12.75" hidden="1">
      <c r="A306" s="952"/>
      <c r="B306" s="952" t="s">
        <v>1112</v>
      </c>
      <c r="C306" s="940">
        <f>_xlfn.IFERROR(VLOOKUP(B306,'[1]ПО КОРИСНИЦИМА'!$C$3:$J$11609,5,FALSE),"")</f>
      </c>
      <c r="D306" s="943" t="e">
        <f>SUMIF('[1]ПО КОРИСНИЦИМА'!$G$3:$G$11609,"Свега за пројекат 2002-П27:",'[1]ПО КОРИСНИЦИМА'!$H$3:$H$11609)</f>
        <v>#VALUE!</v>
      </c>
      <c r="E306" s="938" t="e">
        <f t="shared" si="9"/>
        <v>#VALUE!</v>
      </c>
      <c r="F306" s="1237" t="e">
        <f>SUMIF('[1]ПО КОРИСНИЦИМА'!$G$3:$G$11609,"Свега за пројекат 2002-П27:",'[1]ПО КОРИСНИЦИМА'!$H$3:$H$11609)</f>
        <v>#VALUE!</v>
      </c>
      <c r="G306" s="941" t="e">
        <f t="shared" si="8"/>
        <v>#VALUE!</v>
      </c>
      <c r="H306" s="942"/>
    </row>
    <row r="307" spans="1:8" ht="12.75" hidden="1">
      <c r="A307" s="952"/>
      <c r="B307" s="952" t="s">
        <v>1113</v>
      </c>
      <c r="C307" s="940">
        <f>_xlfn.IFERROR(VLOOKUP(B307,'[1]ПО КОРИСНИЦИМА'!$C$3:$J$11609,5,FALSE),"")</f>
      </c>
      <c r="D307" s="943" t="e">
        <f>SUMIF('[1]ПО КОРИСНИЦИМА'!$G$3:$G$11609,"Свега за пројекат 2002-П28:",'[1]ПО КОРИСНИЦИМА'!$H$3:$H$11609)</f>
        <v>#VALUE!</v>
      </c>
      <c r="E307" s="938" t="e">
        <f t="shared" si="9"/>
        <v>#VALUE!</v>
      </c>
      <c r="F307" s="1237" t="e">
        <f>SUMIF('[1]ПО КОРИСНИЦИМА'!$G$3:$G$11609,"Свега за пројекат 2002-П28:",'[1]ПО КОРИСНИЦИМА'!$H$3:$H$11609)</f>
        <v>#VALUE!</v>
      </c>
      <c r="G307" s="941" t="e">
        <f t="shared" si="8"/>
        <v>#VALUE!</v>
      </c>
      <c r="H307" s="942"/>
    </row>
    <row r="308" spans="1:8" ht="12.75" hidden="1">
      <c r="A308" s="952"/>
      <c r="B308" s="952" t="s">
        <v>1114</v>
      </c>
      <c r="C308" s="940">
        <f>_xlfn.IFERROR(VLOOKUP(B308,'[1]ПО КОРИСНИЦИМА'!$C$3:$J$11609,5,FALSE),"")</f>
      </c>
      <c r="D308" s="943" t="e">
        <f>SUMIF('[1]ПО КОРИСНИЦИМА'!$G$3:$G$11609,"Свега за пројекат 2002-П29:",'[1]ПО КОРИСНИЦИМА'!$H$3:$H$11609)</f>
        <v>#VALUE!</v>
      </c>
      <c r="E308" s="938" t="e">
        <f t="shared" si="9"/>
        <v>#VALUE!</v>
      </c>
      <c r="F308" s="1237" t="e">
        <f>SUMIF('[1]ПО КОРИСНИЦИМА'!$G$3:$G$11609,"Свега за пројекат 2002-П29:",'[1]ПО КОРИСНИЦИМА'!$H$3:$H$11609)</f>
        <v>#VALUE!</v>
      </c>
      <c r="G308" s="941" t="e">
        <f t="shared" si="8"/>
        <v>#VALUE!</v>
      </c>
      <c r="H308" s="942"/>
    </row>
    <row r="309" spans="1:8" ht="12.75" hidden="1">
      <c r="A309" s="952"/>
      <c r="B309" s="952" t="s">
        <v>1115</v>
      </c>
      <c r="C309" s="940">
        <f>_xlfn.IFERROR(VLOOKUP(B309,'[1]ПО КОРИСНИЦИМА'!$C$3:$J$11609,5,FALSE),"")</f>
      </c>
      <c r="D309" s="943" t="e">
        <f>SUMIF('[1]ПО КОРИСНИЦИМА'!$G$3:$G$11609,"Свега за пројекат 2002-П30:",'[1]ПО КОРИСНИЦИМА'!$H$3:$H$11609)</f>
        <v>#VALUE!</v>
      </c>
      <c r="E309" s="938" t="e">
        <f t="shared" si="9"/>
        <v>#VALUE!</v>
      </c>
      <c r="F309" s="1237" t="e">
        <f>SUMIF('[1]ПО КОРИСНИЦИМА'!$G$3:$G$11609,"Свега за пројекат 2002-П30:",'[1]ПО КОРИСНИЦИМА'!$H$3:$H$11609)</f>
        <v>#VALUE!</v>
      </c>
      <c r="G309" s="941" t="e">
        <f t="shared" si="8"/>
        <v>#VALUE!</v>
      </c>
      <c r="H309" s="942"/>
    </row>
    <row r="310" spans="1:8" s="306" customFormat="1" ht="12.75">
      <c r="A310" s="934" t="s">
        <v>1513</v>
      </c>
      <c r="B310" s="935"/>
      <c r="C310" s="936" t="s">
        <v>1521</v>
      </c>
      <c r="D310" s="937">
        <f>SUM(D311:D321)</f>
        <v>5300000</v>
      </c>
      <c r="E310" s="938">
        <f t="shared" si="9"/>
        <v>0.010972676670751353</v>
      </c>
      <c r="F310" s="1235">
        <f>SUM(F311:F321)</f>
        <v>0</v>
      </c>
      <c r="G310" s="937">
        <f t="shared" si="8"/>
        <v>5300000</v>
      </c>
      <c r="H310" s="949"/>
    </row>
    <row r="311" spans="1:8" ht="12.75">
      <c r="A311" s="960"/>
      <c r="B311" s="952" t="s">
        <v>1514</v>
      </c>
      <c r="C311" s="958" t="s">
        <v>1523</v>
      </c>
      <c r="D311" s="941">
        <f>Rashodi!M192</f>
        <v>5300000</v>
      </c>
      <c r="E311" s="1242">
        <f t="shared" si="9"/>
        <v>0.010972676670751353</v>
      </c>
      <c r="F311" s="1236">
        <f>Rashodi!T192</f>
        <v>0</v>
      </c>
      <c r="G311" s="941">
        <f t="shared" si="8"/>
        <v>5300000</v>
      </c>
      <c r="H311" s="942" t="s">
        <v>1267</v>
      </c>
    </row>
    <row r="312" spans="1:8" ht="12.75" hidden="1">
      <c r="A312" s="952"/>
      <c r="B312" s="952" t="s">
        <v>1116</v>
      </c>
      <c r="C312" s="940">
        <f>_xlfn.IFERROR(VLOOKUP(B312,'[1]ПО КОРИСНИЦИМА'!$C$3:$J$11609,5,FALSE),"")</f>
      </c>
      <c r="D312" s="943"/>
      <c r="E312" s="938">
        <f t="shared" si="9"/>
        <v>0</v>
      </c>
      <c r="F312" s="1237"/>
      <c r="G312" s="941">
        <f t="shared" si="8"/>
        <v>0</v>
      </c>
      <c r="H312" s="942"/>
    </row>
    <row r="313" spans="1:8" ht="12.75" hidden="1">
      <c r="A313" s="952"/>
      <c r="B313" s="952" t="s">
        <v>1117</v>
      </c>
      <c r="C313" s="940">
        <f>_xlfn.IFERROR(VLOOKUP(B313,'[1]ПО КОРИСНИЦИМА'!$C$3:$J$11609,5,FALSE),"")</f>
      </c>
      <c r="D313" s="943"/>
      <c r="E313" s="938">
        <f t="shared" si="9"/>
        <v>0</v>
      </c>
      <c r="F313" s="1237"/>
      <c r="G313" s="941">
        <f t="shared" si="8"/>
        <v>0</v>
      </c>
      <c r="H313" s="942"/>
    </row>
    <row r="314" spans="1:8" ht="12.75" hidden="1">
      <c r="A314" s="952"/>
      <c r="B314" s="952" t="s">
        <v>1118</v>
      </c>
      <c r="C314" s="940">
        <f>_xlfn.IFERROR(VLOOKUP(B314,'[1]ПО КОРИСНИЦИМА'!$C$3:$J$11609,5,FALSE),"")</f>
      </c>
      <c r="D314" s="943"/>
      <c r="E314" s="938">
        <f t="shared" si="9"/>
        <v>0</v>
      </c>
      <c r="F314" s="1237"/>
      <c r="G314" s="941">
        <f t="shared" si="8"/>
        <v>0</v>
      </c>
      <c r="H314" s="942"/>
    </row>
    <row r="315" spans="1:8" ht="12.75" hidden="1">
      <c r="A315" s="952"/>
      <c r="B315" s="952" t="s">
        <v>1119</v>
      </c>
      <c r="C315" s="940">
        <f>_xlfn.IFERROR(VLOOKUP(B315,'[1]ПО КОРИСНИЦИМА'!$C$3:$J$11609,5,FALSE),"")</f>
      </c>
      <c r="D315" s="943"/>
      <c r="E315" s="938">
        <f t="shared" si="9"/>
        <v>0</v>
      </c>
      <c r="F315" s="1237"/>
      <c r="G315" s="941">
        <f t="shared" si="8"/>
        <v>0</v>
      </c>
      <c r="H315" s="942"/>
    </row>
    <row r="316" spans="1:8" ht="12.75" hidden="1">
      <c r="A316" s="952"/>
      <c r="B316" s="952" t="s">
        <v>1120</v>
      </c>
      <c r="C316" s="940">
        <f>_xlfn.IFERROR(VLOOKUP(B316,'[1]ПО КОРИСНИЦИМА'!$C$3:$J$11609,5,FALSE),"")</f>
      </c>
      <c r="D316" s="943"/>
      <c r="E316" s="938">
        <f t="shared" si="9"/>
        <v>0</v>
      </c>
      <c r="F316" s="1237"/>
      <c r="G316" s="941">
        <f t="shared" si="8"/>
        <v>0</v>
      </c>
      <c r="H316" s="942"/>
    </row>
    <row r="317" spans="1:8" ht="12.75" hidden="1">
      <c r="A317" s="952"/>
      <c r="B317" s="952" t="s">
        <v>1121</v>
      </c>
      <c r="C317" s="940">
        <f>_xlfn.IFERROR(VLOOKUP(B317,'[1]ПО КОРИСНИЦИМА'!$C$3:$J$11609,5,FALSE),"")</f>
      </c>
      <c r="D317" s="943"/>
      <c r="E317" s="938">
        <f t="shared" si="9"/>
        <v>0</v>
      </c>
      <c r="F317" s="1237"/>
      <c r="G317" s="941">
        <f t="shared" si="8"/>
        <v>0</v>
      </c>
      <c r="H317" s="942"/>
    </row>
    <row r="318" spans="1:8" ht="12.75" hidden="1">
      <c r="A318" s="952"/>
      <c r="B318" s="952" t="s">
        <v>1122</v>
      </c>
      <c r="C318" s="940">
        <f>_xlfn.IFERROR(VLOOKUP(B318,'[1]ПО КОРИСНИЦИМА'!$C$3:$J$11609,5,FALSE),"")</f>
      </c>
      <c r="D318" s="943"/>
      <c r="E318" s="938">
        <f t="shared" si="9"/>
        <v>0</v>
      </c>
      <c r="F318" s="1237"/>
      <c r="G318" s="941">
        <f t="shared" si="8"/>
        <v>0</v>
      </c>
      <c r="H318" s="942"/>
    </row>
    <row r="319" spans="1:8" ht="12.75" hidden="1">
      <c r="A319" s="952"/>
      <c r="B319" s="952" t="s">
        <v>1123</v>
      </c>
      <c r="C319" s="940">
        <f>_xlfn.IFERROR(VLOOKUP(B319,'[1]ПО КОРИСНИЦИМА'!$C$3:$J$11609,5,FALSE),"")</f>
      </c>
      <c r="D319" s="943"/>
      <c r="E319" s="938">
        <f t="shared" si="9"/>
        <v>0</v>
      </c>
      <c r="F319" s="1237"/>
      <c r="G319" s="941">
        <f t="shared" si="8"/>
        <v>0</v>
      </c>
      <c r="H319" s="942"/>
    </row>
    <row r="320" spans="1:8" ht="12.75" hidden="1">
      <c r="A320" s="952"/>
      <c r="B320" s="952" t="s">
        <v>1124</v>
      </c>
      <c r="C320" s="940">
        <f>_xlfn.IFERROR(VLOOKUP(B320,'[1]ПО КОРИСНИЦИМА'!$C$3:$J$11609,5,FALSE),"")</f>
      </c>
      <c r="D320" s="943"/>
      <c r="E320" s="938">
        <f t="shared" si="9"/>
        <v>0</v>
      </c>
      <c r="F320" s="1237"/>
      <c r="G320" s="941">
        <f t="shared" si="8"/>
        <v>0</v>
      </c>
      <c r="H320" s="942"/>
    </row>
    <row r="321" spans="1:8" ht="12.75" hidden="1">
      <c r="A321" s="952"/>
      <c r="B321" s="952" t="s">
        <v>1125</v>
      </c>
      <c r="C321" s="940">
        <f>_xlfn.IFERROR(VLOOKUP(B321,'[1]ПО КОРИСНИЦИМА'!$C$3:$J$11609,5,FALSE),"")</f>
      </c>
      <c r="D321" s="943"/>
      <c r="E321" s="938">
        <f t="shared" si="9"/>
        <v>0</v>
      </c>
      <c r="F321" s="1237"/>
      <c r="G321" s="941">
        <f t="shared" si="8"/>
        <v>0</v>
      </c>
      <c r="H321" s="942"/>
    </row>
    <row r="322" spans="1:8" ht="12.75" hidden="1">
      <c r="A322" s="952"/>
      <c r="B322" s="952" t="s">
        <v>1126</v>
      </c>
      <c r="C322" s="940">
        <f>_xlfn.IFERROR(VLOOKUP(B322,'[1]ПО КОРИСНИЦИМА'!$C$3:$J$11609,5,FALSE),"")</f>
      </c>
      <c r="D322" s="943" t="e">
        <f>SUMIF('[1]ПО КОРИСНИЦИМА'!$G$3:$G$11609,"Свега за пројекат 2003-П11:",'[1]ПО КОРИСНИЦИМА'!$H$3:$H$11609)</f>
        <v>#VALUE!</v>
      </c>
      <c r="E322" s="938" t="e">
        <f t="shared" si="9"/>
        <v>#VALUE!</v>
      </c>
      <c r="F322" s="1237" t="e">
        <f>SUMIF('[1]ПО КОРИСНИЦИМА'!$G$3:$G$11609,"Свега за пројекат 2003-П11:",'[1]ПО КОРИСНИЦИМА'!$H$3:$H$11609)</f>
        <v>#VALUE!</v>
      </c>
      <c r="G322" s="941" t="e">
        <f t="shared" si="8"/>
        <v>#VALUE!</v>
      </c>
      <c r="H322" s="942"/>
    </row>
    <row r="323" spans="1:8" ht="12.75" hidden="1">
      <c r="A323" s="952"/>
      <c r="B323" s="952" t="s">
        <v>1127</v>
      </c>
      <c r="C323" s="940">
        <f>_xlfn.IFERROR(VLOOKUP(B323,'[1]ПО КОРИСНИЦИМА'!$C$3:$J$11609,5,FALSE),"")</f>
      </c>
      <c r="D323" s="943" t="e">
        <f>SUMIF('[1]ПО КОРИСНИЦИМА'!$G$3:$G$11609,"Свега за пројекат 2003-П12:",'[1]ПО КОРИСНИЦИМА'!$H$3:$H$11609)</f>
        <v>#VALUE!</v>
      </c>
      <c r="E323" s="938" t="e">
        <f t="shared" si="9"/>
        <v>#VALUE!</v>
      </c>
      <c r="F323" s="1237" t="e">
        <f>SUMIF('[1]ПО КОРИСНИЦИМА'!$G$3:$G$11609,"Свега за пројекат 2003-П12:",'[1]ПО КОРИСНИЦИМА'!$H$3:$H$11609)</f>
        <v>#VALUE!</v>
      </c>
      <c r="G323" s="941" t="e">
        <f t="shared" si="8"/>
        <v>#VALUE!</v>
      </c>
      <c r="H323" s="942"/>
    </row>
    <row r="324" spans="1:8" ht="12.75" hidden="1">
      <c r="A324" s="952"/>
      <c r="B324" s="952" t="s">
        <v>1128</v>
      </c>
      <c r="C324" s="940">
        <f>_xlfn.IFERROR(VLOOKUP(B324,'[1]ПО КОРИСНИЦИМА'!$C$3:$J$11609,5,FALSE),"")</f>
      </c>
      <c r="D324" s="943" t="e">
        <f>SUMIF('[1]ПО КОРИСНИЦИМА'!$G$3:$G$11609,"Свега за пројекат 2003-П13:",'[1]ПО КОРИСНИЦИМА'!$H$3:$H$11609)</f>
        <v>#VALUE!</v>
      </c>
      <c r="E324" s="938" t="e">
        <f t="shared" si="9"/>
        <v>#VALUE!</v>
      </c>
      <c r="F324" s="1237" t="e">
        <f>SUMIF('[1]ПО КОРИСНИЦИМА'!$G$3:$G$11609,"Свега за пројекат 2003-П13:",'[1]ПО КОРИСНИЦИМА'!$H$3:$H$11609)</f>
        <v>#VALUE!</v>
      </c>
      <c r="G324" s="941" t="e">
        <f aca="true" t="shared" si="10" ref="G324:G388">D324+F324</f>
        <v>#VALUE!</v>
      </c>
      <c r="H324" s="942"/>
    </row>
    <row r="325" spans="1:8" ht="12.75" hidden="1">
      <c r="A325" s="952"/>
      <c r="B325" s="952" t="s">
        <v>1129</v>
      </c>
      <c r="C325" s="940">
        <f>_xlfn.IFERROR(VLOOKUP(B325,'[1]ПО КОРИСНИЦИМА'!$C$3:$J$11609,5,FALSE),"")</f>
      </c>
      <c r="D325" s="943" t="e">
        <f>SUMIF('[1]ПО КОРИСНИЦИМА'!$G$3:$G$11609,"Свега за пројекат 2003-П14:",'[1]ПО КОРИСНИЦИМА'!$H$3:$H$11609)</f>
        <v>#VALUE!</v>
      </c>
      <c r="E325" s="938" t="e">
        <f t="shared" si="9"/>
        <v>#VALUE!</v>
      </c>
      <c r="F325" s="1237" t="e">
        <f>SUMIF('[1]ПО КОРИСНИЦИМА'!$G$3:$G$11609,"Свега за пројекат 2003-П14:",'[1]ПО КОРИСНИЦИМА'!$H$3:$H$11609)</f>
        <v>#VALUE!</v>
      </c>
      <c r="G325" s="941" t="e">
        <f t="shared" si="10"/>
        <v>#VALUE!</v>
      </c>
      <c r="H325" s="942"/>
    </row>
    <row r="326" spans="1:8" ht="12.75" hidden="1">
      <c r="A326" s="952"/>
      <c r="B326" s="952" t="s">
        <v>1130</v>
      </c>
      <c r="C326" s="940">
        <f>_xlfn.IFERROR(VLOOKUP(B326,'[1]ПО КОРИСНИЦИМА'!$C$3:$J$11609,5,FALSE),"")</f>
      </c>
      <c r="D326" s="943" t="e">
        <f>SUMIF('[1]ПО КОРИСНИЦИМА'!$G$3:$G$11609,"Свега за пројекат 2003-П15:",'[1]ПО КОРИСНИЦИМА'!$H$3:$H$11609)</f>
        <v>#VALUE!</v>
      </c>
      <c r="E326" s="938" t="e">
        <f aca="true" t="shared" si="11" ref="E326:E389">D326/483017969</f>
        <v>#VALUE!</v>
      </c>
      <c r="F326" s="1237" t="e">
        <f>SUMIF('[1]ПО КОРИСНИЦИМА'!$G$3:$G$11609,"Свега за пројекат 2003-П15:",'[1]ПО КОРИСНИЦИМА'!$H$3:$H$11609)</f>
        <v>#VALUE!</v>
      </c>
      <c r="G326" s="941" t="e">
        <f t="shared" si="10"/>
        <v>#VALUE!</v>
      </c>
      <c r="H326" s="942"/>
    </row>
    <row r="327" spans="1:8" ht="12.75" hidden="1">
      <c r="A327" s="952"/>
      <c r="B327" s="952" t="s">
        <v>1131</v>
      </c>
      <c r="C327" s="940">
        <f>_xlfn.IFERROR(VLOOKUP(B327,'[1]ПО КОРИСНИЦИМА'!$C$3:$J$11609,5,FALSE),"")</f>
      </c>
      <c r="D327" s="943" t="e">
        <f>SUMIF('[1]ПО КОРИСНИЦИМА'!$G$3:$G$11609,"Свега за пројекат 2003-П16:",'[1]ПО КОРИСНИЦИМА'!$H$3:$H$11609)</f>
        <v>#VALUE!</v>
      </c>
      <c r="E327" s="938" t="e">
        <f t="shared" si="11"/>
        <v>#VALUE!</v>
      </c>
      <c r="F327" s="1237" t="e">
        <f>SUMIF('[1]ПО КОРИСНИЦИМА'!$G$3:$G$11609,"Свега за пројекат 2003-П16:",'[1]ПО КОРИСНИЦИМА'!$H$3:$H$11609)</f>
        <v>#VALUE!</v>
      </c>
      <c r="G327" s="941" t="e">
        <f t="shared" si="10"/>
        <v>#VALUE!</v>
      </c>
      <c r="H327" s="942"/>
    </row>
    <row r="328" spans="1:8" ht="12.75" hidden="1">
      <c r="A328" s="952"/>
      <c r="B328" s="952" t="s">
        <v>1132</v>
      </c>
      <c r="C328" s="940">
        <f>_xlfn.IFERROR(VLOOKUP(B328,'[1]ПО КОРИСНИЦИМА'!$C$3:$J$11609,5,FALSE),"")</f>
      </c>
      <c r="D328" s="943" t="e">
        <f>SUMIF('[1]ПО КОРИСНИЦИМА'!$G$3:$G$11609,"Свега за пројекат 2003-П17:",'[1]ПО КОРИСНИЦИМА'!$H$3:$H$11609)</f>
        <v>#VALUE!</v>
      </c>
      <c r="E328" s="938" t="e">
        <f t="shared" si="11"/>
        <v>#VALUE!</v>
      </c>
      <c r="F328" s="1237" t="e">
        <f>SUMIF('[1]ПО КОРИСНИЦИМА'!$G$3:$G$11609,"Свега за пројекат 2003-П17:",'[1]ПО КОРИСНИЦИМА'!$H$3:$H$11609)</f>
        <v>#VALUE!</v>
      </c>
      <c r="G328" s="941" t="e">
        <f t="shared" si="10"/>
        <v>#VALUE!</v>
      </c>
      <c r="H328" s="942"/>
    </row>
    <row r="329" spans="1:8" ht="12.75" hidden="1">
      <c r="A329" s="952"/>
      <c r="B329" s="952" t="s">
        <v>1133</v>
      </c>
      <c r="C329" s="940">
        <f>_xlfn.IFERROR(VLOOKUP(B329,'[1]ПО КОРИСНИЦИМА'!$C$3:$J$11609,5,FALSE),"")</f>
      </c>
      <c r="D329" s="943" t="e">
        <f>SUMIF('[1]ПО КОРИСНИЦИМА'!$G$3:$G$11609,"Свега за пројекат 2003-П18:",'[1]ПО КОРИСНИЦИМА'!$H$3:$H$11609)</f>
        <v>#VALUE!</v>
      </c>
      <c r="E329" s="938" t="e">
        <f t="shared" si="11"/>
        <v>#VALUE!</v>
      </c>
      <c r="F329" s="1237" t="e">
        <f>SUMIF('[1]ПО КОРИСНИЦИМА'!$G$3:$G$11609,"Свега за пројекат 2003-П18:",'[1]ПО КОРИСНИЦИМА'!$H$3:$H$11609)</f>
        <v>#VALUE!</v>
      </c>
      <c r="G329" s="941" t="e">
        <f t="shared" si="10"/>
        <v>#VALUE!</v>
      </c>
      <c r="H329" s="942"/>
    </row>
    <row r="330" spans="1:8" ht="12.75" hidden="1">
      <c r="A330" s="952"/>
      <c r="B330" s="952" t="s">
        <v>1134</v>
      </c>
      <c r="C330" s="940">
        <f>_xlfn.IFERROR(VLOOKUP(B330,'[1]ПО КОРИСНИЦИМА'!$C$3:$J$11609,5,FALSE),"")</f>
      </c>
      <c r="D330" s="943" t="e">
        <f>SUMIF('[1]ПО КОРИСНИЦИМА'!$G$3:$G$11609,"Свега за пројекат 2003-П19:",'[1]ПО КОРИСНИЦИМА'!$H$3:$H$11609)</f>
        <v>#VALUE!</v>
      </c>
      <c r="E330" s="938" t="e">
        <f t="shared" si="11"/>
        <v>#VALUE!</v>
      </c>
      <c r="F330" s="1237" t="e">
        <f>SUMIF('[1]ПО КОРИСНИЦИМА'!$G$3:$G$11609,"Свега за пројекат 2003-П19:",'[1]ПО КОРИСНИЦИМА'!$H$3:$H$11609)</f>
        <v>#VALUE!</v>
      </c>
      <c r="G330" s="941" t="e">
        <f t="shared" si="10"/>
        <v>#VALUE!</v>
      </c>
      <c r="H330" s="942"/>
    </row>
    <row r="331" spans="1:8" ht="12.75" hidden="1">
      <c r="A331" s="952"/>
      <c r="B331" s="952" t="s">
        <v>1135</v>
      </c>
      <c r="C331" s="940">
        <f>_xlfn.IFERROR(VLOOKUP(B331,'[1]ПО КОРИСНИЦИМА'!$C$3:$J$11609,5,FALSE),"")</f>
      </c>
      <c r="D331" s="943" t="e">
        <f>SUMIF('[1]ПО КОРИСНИЦИМА'!$G$3:$G$11609,"Свега за пројекат 2003-П20:",'[1]ПО КОРИСНИЦИМА'!$H$3:$H$11609)</f>
        <v>#VALUE!</v>
      </c>
      <c r="E331" s="938" t="e">
        <f t="shared" si="11"/>
        <v>#VALUE!</v>
      </c>
      <c r="F331" s="1237" t="e">
        <f>SUMIF('[1]ПО КОРИСНИЦИМА'!$G$3:$G$11609,"Свега за пројекат 2003-П20:",'[1]ПО КОРИСНИЦИМА'!$H$3:$H$11609)</f>
        <v>#VALUE!</v>
      </c>
      <c r="G331" s="941" t="e">
        <f t="shared" si="10"/>
        <v>#VALUE!</v>
      </c>
      <c r="H331" s="942"/>
    </row>
    <row r="332" spans="1:8" ht="12.75" hidden="1">
      <c r="A332" s="952"/>
      <c r="B332" s="952" t="s">
        <v>1136</v>
      </c>
      <c r="C332" s="940">
        <f>_xlfn.IFERROR(VLOOKUP(B332,'[1]ПО КОРИСНИЦИМА'!$C$3:$J$11609,5,FALSE),"")</f>
      </c>
      <c r="D332" s="943" t="e">
        <f>SUMIF('[1]ПО КОРИСНИЦИМА'!$G$3:$G$11609,"Свега за пројекат 2003-П21:",'[1]ПО КОРИСНИЦИМА'!$H$3:$H$11609)</f>
        <v>#VALUE!</v>
      </c>
      <c r="E332" s="938" t="e">
        <f t="shared" si="11"/>
        <v>#VALUE!</v>
      </c>
      <c r="F332" s="1237" t="e">
        <f>SUMIF('[1]ПО КОРИСНИЦИМА'!$G$3:$G$11609,"Свега за пројекат 2003-П21:",'[1]ПО КОРИСНИЦИМА'!$H$3:$H$11609)</f>
        <v>#VALUE!</v>
      </c>
      <c r="G332" s="941" t="e">
        <f t="shared" si="10"/>
        <v>#VALUE!</v>
      </c>
      <c r="H332" s="942"/>
    </row>
    <row r="333" spans="1:8" ht="12.75" hidden="1">
      <c r="A333" s="952"/>
      <c r="B333" s="952" t="s">
        <v>1137</v>
      </c>
      <c r="C333" s="940">
        <f>_xlfn.IFERROR(VLOOKUP(B333,'[1]ПО КОРИСНИЦИМА'!$C$3:$J$11609,5,FALSE),"")</f>
      </c>
      <c r="D333" s="943" t="e">
        <f>SUMIF('[1]ПО КОРИСНИЦИМА'!$G$3:$G$11609,"Свега за пројекат 2003-П22:",'[1]ПО КОРИСНИЦИМА'!$H$3:$H$11609)</f>
        <v>#VALUE!</v>
      </c>
      <c r="E333" s="938" t="e">
        <f t="shared" si="11"/>
        <v>#VALUE!</v>
      </c>
      <c r="F333" s="1237" t="e">
        <f>SUMIF('[1]ПО КОРИСНИЦИМА'!$G$3:$G$11609,"Свега за пројекат 2003-П22:",'[1]ПО КОРИСНИЦИМА'!$H$3:$H$11609)</f>
        <v>#VALUE!</v>
      </c>
      <c r="G333" s="941" t="e">
        <f t="shared" si="10"/>
        <v>#VALUE!</v>
      </c>
      <c r="H333" s="942"/>
    </row>
    <row r="334" spans="1:8" ht="12.75" hidden="1">
      <c r="A334" s="952"/>
      <c r="B334" s="952" t="s">
        <v>1138</v>
      </c>
      <c r="C334" s="940">
        <f>_xlfn.IFERROR(VLOOKUP(B334,'[1]ПО КОРИСНИЦИМА'!$C$3:$J$11609,5,FALSE),"")</f>
      </c>
      <c r="D334" s="943" t="e">
        <f>SUMIF('[1]ПО КОРИСНИЦИМА'!$G$3:$G$11609,"Свега за пројекат 2003-П23:",'[1]ПО КОРИСНИЦИМА'!$H$3:$H$11609)</f>
        <v>#VALUE!</v>
      </c>
      <c r="E334" s="938" t="e">
        <f t="shared" si="11"/>
        <v>#VALUE!</v>
      </c>
      <c r="F334" s="1237" t="e">
        <f>SUMIF('[1]ПО КОРИСНИЦИМА'!$G$3:$G$11609,"Свега за пројекат 2003-П23:",'[1]ПО КОРИСНИЦИМА'!$H$3:$H$11609)</f>
        <v>#VALUE!</v>
      </c>
      <c r="G334" s="941" t="e">
        <f t="shared" si="10"/>
        <v>#VALUE!</v>
      </c>
      <c r="H334" s="942"/>
    </row>
    <row r="335" spans="1:8" ht="12.75" hidden="1">
      <c r="A335" s="952"/>
      <c r="B335" s="952" t="s">
        <v>1139</v>
      </c>
      <c r="C335" s="940">
        <f>_xlfn.IFERROR(VLOOKUP(B335,'[1]ПО КОРИСНИЦИМА'!$C$3:$J$11609,5,FALSE),"")</f>
      </c>
      <c r="D335" s="943" t="e">
        <f>SUMIF('[1]ПО КОРИСНИЦИМА'!$G$3:$G$11609,"Свега за пројекат 2003-П24:",'[1]ПО КОРИСНИЦИМА'!$H$3:$H$11609)</f>
        <v>#VALUE!</v>
      </c>
      <c r="E335" s="938" t="e">
        <f t="shared" si="11"/>
        <v>#VALUE!</v>
      </c>
      <c r="F335" s="1237" t="e">
        <f>SUMIF('[1]ПО КОРИСНИЦИМА'!$G$3:$G$11609,"Свега за пројекат 2003-П24:",'[1]ПО КОРИСНИЦИМА'!$H$3:$H$11609)</f>
        <v>#VALUE!</v>
      </c>
      <c r="G335" s="941" t="e">
        <f t="shared" si="10"/>
        <v>#VALUE!</v>
      </c>
      <c r="H335" s="942"/>
    </row>
    <row r="336" spans="1:8" ht="12.75" hidden="1">
      <c r="A336" s="952"/>
      <c r="B336" s="952" t="s">
        <v>1140</v>
      </c>
      <c r="C336" s="940">
        <f>_xlfn.IFERROR(VLOOKUP(B336,'[1]ПО КОРИСНИЦИМА'!$C$3:$J$11609,5,FALSE),"")</f>
      </c>
      <c r="D336" s="943" t="e">
        <f>SUMIF('[1]ПО КОРИСНИЦИМА'!$G$3:$G$11609,"Свега за пројекат 2003-П25:",'[1]ПО КОРИСНИЦИМА'!$H$3:$H$11609)</f>
        <v>#VALUE!</v>
      </c>
      <c r="E336" s="938" t="e">
        <f t="shared" si="11"/>
        <v>#VALUE!</v>
      </c>
      <c r="F336" s="1237" t="e">
        <f>SUMIF('[1]ПО КОРИСНИЦИМА'!$G$3:$G$11609,"Свега за пројекат 2003-П25:",'[1]ПО КОРИСНИЦИМА'!$H$3:$H$11609)</f>
        <v>#VALUE!</v>
      </c>
      <c r="G336" s="941" t="e">
        <f t="shared" si="10"/>
        <v>#VALUE!</v>
      </c>
      <c r="H336" s="942"/>
    </row>
    <row r="337" spans="1:8" ht="12.75" hidden="1">
      <c r="A337" s="952"/>
      <c r="B337" s="952" t="s">
        <v>1141</v>
      </c>
      <c r="C337" s="940">
        <f>_xlfn.IFERROR(VLOOKUP(B337,'[1]ПО КОРИСНИЦИМА'!$C$3:$J$11609,5,FALSE),"")</f>
      </c>
      <c r="D337" s="943" t="e">
        <f>SUMIF('[1]ПО КОРИСНИЦИМА'!$G$3:$G$11609,"Свега за пројекат 2003-П26:",'[1]ПО КОРИСНИЦИМА'!$H$3:$H$11609)</f>
        <v>#VALUE!</v>
      </c>
      <c r="E337" s="938" t="e">
        <f t="shared" si="11"/>
        <v>#VALUE!</v>
      </c>
      <c r="F337" s="1237" t="e">
        <f>SUMIF('[1]ПО КОРИСНИЦИМА'!$G$3:$G$11609,"Свега за пројекат 2003-П26:",'[1]ПО КОРИСНИЦИМА'!$H$3:$H$11609)</f>
        <v>#VALUE!</v>
      </c>
      <c r="G337" s="941" t="e">
        <f t="shared" si="10"/>
        <v>#VALUE!</v>
      </c>
      <c r="H337" s="942"/>
    </row>
    <row r="338" spans="1:8" ht="12.75" hidden="1">
      <c r="A338" s="952"/>
      <c r="B338" s="952" t="s">
        <v>1142</v>
      </c>
      <c r="C338" s="940">
        <f>_xlfn.IFERROR(VLOOKUP(B338,'[1]ПО КОРИСНИЦИМА'!$C$3:$J$11609,5,FALSE),"")</f>
      </c>
      <c r="D338" s="943" t="e">
        <f>SUMIF('[1]ПО КОРИСНИЦИМА'!$G$3:$G$11609,"Свега за пројекат 2003-П27:",'[1]ПО КОРИСНИЦИМА'!$H$3:$H$11609)</f>
        <v>#VALUE!</v>
      </c>
      <c r="E338" s="938" t="e">
        <f t="shared" si="11"/>
        <v>#VALUE!</v>
      </c>
      <c r="F338" s="1237" t="e">
        <f>SUMIF('[1]ПО КОРИСНИЦИМА'!$G$3:$G$11609,"Свега за пројекат 2003-П27:",'[1]ПО КОРИСНИЦИМА'!$H$3:$H$11609)</f>
        <v>#VALUE!</v>
      </c>
      <c r="G338" s="941" t="e">
        <f t="shared" si="10"/>
        <v>#VALUE!</v>
      </c>
      <c r="H338" s="942"/>
    </row>
    <row r="339" spans="1:8" ht="12.75" hidden="1">
      <c r="A339" s="952"/>
      <c r="B339" s="952" t="s">
        <v>576</v>
      </c>
      <c r="C339" s="940">
        <f>_xlfn.IFERROR(VLOOKUP(B339,'[1]ПО КОРИСНИЦИМА'!$C$3:$J$11609,5,FALSE),"")</f>
      </c>
      <c r="D339" s="943" t="e">
        <f>SUMIF('[1]ПО КОРИСНИЦИМА'!$G$3:$G$11609,"Свега за пројекат 2003-П28:",'[1]ПО КОРИСНИЦИМА'!$H$3:$H$11609)</f>
        <v>#VALUE!</v>
      </c>
      <c r="E339" s="938" t="e">
        <f t="shared" si="11"/>
        <v>#VALUE!</v>
      </c>
      <c r="F339" s="1237" t="e">
        <f>SUMIF('[1]ПО КОРИСНИЦИМА'!$G$3:$G$11609,"Свега за пројекат 2003-П28:",'[1]ПО КОРИСНИЦИМА'!$H$3:$H$11609)</f>
        <v>#VALUE!</v>
      </c>
      <c r="G339" s="941" t="e">
        <f t="shared" si="10"/>
        <v>#VALUE!</v>
      </c>
      <c r="H339" s="942"/>
    </row>
    <row r="340" spans="1:8" ht="12.75" hidden="1">
      <c r="A340" s="952"/>
      <c r="B340" s="952" t="s">
        <v>577</v>
      </c>
      <c r="C340" s="940">
        <f>_xlfn.IFERROR(VLOOKUP(B340,'[1]ПО КОРИСНИЦИМА'!$C$3:$J$11609,5,FALSE),"")</f>
      </c>
      <c r="D340" s="943" t="e">
        <f>SUMIF('[1]ПО КОРИСНИЦИМА'!$G$3:$G$11609,"Свега за пројекат 2003-П29:",'[1]ПО КОРИСНИЦИМА'!$H$3:$H$11609)</f>
        <v>#VALUE!</v>
      </c>
      <c r="E340" s="938" t="e">
        <f t="shared" si="11"/>
        <v>#VALUE!</v>
      </c>
      <c r="F340" s="1237" t="e">
        <f>SUMIF('[1]ПО КОРИСНИЦИМА'!$G$3:$G$11609,"Свега за пројекат 2003-П29:",'[1]ПО КОРИСНИЦИМА'!$H$3:$H$11609)</f>
        <v>#VALUE!</v>
      </c>
      <c r="G340" s="941" t="e">
        <f t="shared" si="10"/>
        <v>#VALUE!</v>
      </c>
      <c r="H340" s="942"/>
    </row>
    <row r="341" spans="1:8" ht="12.75" hidden="1">
      <c r="A341" s="952"/>
      <c r="B341" s="952" t="s">
        <v>578</v>
      </c>
      <c r="C341" s="940">
        <f>_xlfn.IFERROR(VLOOKUP(B341,'[1]ПО КОРИСНИЦИМА'!$C$3:$J$11609,5,FALSE),"")</f>
      </c>
      <c r="D341" s="943" t="e">
        <f>SUMIF('[1]ПО КОРИСНИЦИМА'!$G$3:$G$11609,"Свега за пројекат 2003-П30:",'[1]ПО КОРИСНИЦИМА'!$H$3:$H$11609)</f>
        <v>#VALUE!</v>
      </c>
      <c r="E341" s="938" t="e">
        <f t="shared" si="11"/>
        <v>#VALUE!</v>
      </c>
      <c r="F341" s="1237" t="e">
        <f>SUMIF('[1]ПО КОРИСНИЦИМА'!$G$3:$G$11609,"Свега за пројекат 2003-П30:",'[1]ПО КОРИСНИЦИМА'!$H$3:$H$11609)</f>
        <v>#VALUE!</v>
      </c>
      <c r="G341" s="941" t="e">
        <f t="shared" si="10"/>
        <v>#VALUE!</v>
      </c>
      <c r="H341" s="942"/>
    </row>
    <row r="342" spans="1:8" s="306" customFormat="1" ht="12.75">
      <c r="A342" s="934" t="s">
        <v>1524</v>
      </c>
      <c r="B342" s="935"/>
      <c r="C342" s="936" t="s">
        <v>6</v>
      </c>
      <c r="D342" s="937">
        <f>SUM(D343:D348)</f>
        <v>58441300</v>
      </c>
      <c r="E342" s="938">
        <f t="shared" si="11"/>
        <v>0.12099197907893981</v>
      </c>
      <c r="F342" s="1235">
        <f>SUM(F343:F348)</f>
        <v>4056580</v>
      </c>
      <c r="G342" s="937">
        <f t="shared" si="10"/>
        <v>62497880</v>
      </c>
      <c r="H342" s="949"/>
    </row>
    <row r="343" spans="1:8" ht="12.75">
      <c r="A343" s="960"/>
      <c r="B343" s="950" t="s">
        <v>1525</v>
      </c>
      <c r="C343" s="961" t="s">
        <v>1294</v>
      </c>
      <c r="D343" s="941">
        <f>Rashodi!M206</f>
        <v>7069300</v>
      </c>
      <c r="E343" s="1242">
        <f t="shared" si="11"/>
        <v>0.01463568739406463</v>
      </c>
      <c r="F343" s="1236">
        <f>Rashodi!T206</f>
        <v>0</v>
      </c>
      <c r="G343" s="962">
        <f t="shared" si="10"/>
        <v>7069300</v>
      </c>
      <c r="H343" s="942" t="s">
        <v>1254</v>
      </c>
    </row>
    <row r="344" spans="1:8" ht="12.75" hidden="1">
      <c r="A344" s="960"/>
      <c r="B344" s="950" t="s">
        <v>836</v>
      </c>
      <c r="C344" s="961" t="s">
        <v>837</v>
      </c>
      <c r="D344" s="941"/>
      <c r="E344" s="1242">
        <f t="shared" si="11"/>
        <v>0</v>
      </c>
      <c r="F344" s="1236"/>
      <c r="G344" s="962">
        <f t="shared" si="10"/>
        <v>0</v>
      </c>
      <c r="H344" s="942"/>
    </row>
    <row r="345" spans="1:8" ht="12.75" hidden="1">
      <c r="A345" s="960"/>
      <c r="B345" s="950" t="s">
        <v>838</v>
      </c>
      <c r="C345" s="961" t="s">
        <v>839</v>
      </c>
      <c r="D345" s="941"/>
      <c r="E345" s="1242">
        <f t="shared" si="11"/>
        <v>0</v>
      </c>
      <c r="F345" s="1236"/>
      <c r="G345" s="962">
        <f t="shared" si="10"/>
        <v>0</v>
      </c>
      <c r="H345" s="942"/>
    </row>
    <row r="346" spans="1:8" ht="12.75">
      <c r="A346" s="960"/>
      <c r="B346" s="950" t="s">
        <v>1526</v>
      </c>
      <c r="C346" s="945" t="s">
        <v>1295</v>
      </c>
      <c r="D346" s="946">
        <f>Rashodi!M224+Rashodi!M245</f>
        <v>33152000</v>
      </c>
      <c r="E346" s="1242">
        <f t="shared" si="11"/>
        <v>0.0686351277337262</v>
      </c>
      <c r="F346" s="946">
        <f>Rashodi!T224+Rashodi!T245</f>
        <v>2256580</v>
      </c>
      <c r="G346" s="962">
        <f t="shared" si="10"/>
        <v>35408580</v>
      </c>
      <c r="H346" s="942" t="s">
        <v>1254</v>
      </c>
    </row>
    <row r="347" spans="1:8" ht="12.75">
      <c r="A347" s="960"/>
      <c r="B347" s="950" t="s">
        <v>1527</v>
      </c>
      <c r="C347" s="961" t="s">
        <v>1204</v>
      </c>
      <c r="D347" s="941">
        <f>Rashodi!M240</f>
        <v>6270000</v>
      </c>
      <c r="E347" s="1242">
        <f t="shared" si="11"/>
        <v>0.012980883533134147</v>
      </c>
      <c r="F347" s="1236">
        <f>Rashodi!T240</f>
        <v>0</v>
      </c>
      <c r="G347" s="962">
        <f t="shared" si="10"/>
        <v>6270000</v>
      </c>
      <c r="H347" s="942" t="s">
        <v>1150</v>
      </c>
    </row>
    <row r="348" spans="1:8" ht="12.75">
      <c r="A348" s="960"/>
      <c r="B348" s="950" t="s">
        <v>1528</v>
      </c>
      <c r="C348" s="945" t="s">
        <v>1203</v>
      </c>
      <c r="D348" s="946">
        <f>Rashodi!M232</f>
        <v>11950000</v>
      </c>
      <c r="E348" s="1242">
        <f t="shared" si="11"/>
        <v>0.02474028041801484</v>
      </c>
      <c r="F348" s="946">
        <f>Rashodi!T232</f>
        <v>1800000</v>
      </c>
      <c r="G348" s="962">
        <f t="shared" si="10"/>
        <v>13750000</v>
      </c>
      <c r="H348" s="942" t="s">
        <v>1150</v>
      </c>
    </row>
    <row r="349" spans="1:8" ht="12.75" hidden="1">
      <c r="A349" s="960"/>
      <c r="B349" s="950" t="s">
        <v>580</v>
      </c>
      <c r="C349" s="940">
        <f>_xlfn.IFERROR(VLOOKUP(B349,'[1]ПО КОРИСНИЦИМА'!$C$3:$J$11609,5,FALSE),"")</f>
      </c>
      <c r="D349" s="943"/>
      <c r="E349" s="938">
        <f t="shared" si="11"/>
        <v>0</v>
      </c>
      <c r="F349" s="1237"/>
      <c r="G349" s="962">
        <f t="shared" si="10"/>
        <v>0</v>
      </c>
      <c r="H349" s="942"/>
    </row>
    <row r="350" spans="1:8" ht="12.75" hidden="1">
      <c r="A350" s="960"/>
      <c r="B350" s="950" t="s">
        <v>581</v>
      </c>
      <c r="C350" s="940">
        <f>_xlfn.IFERROR(VLOOKUP(B350,'[1]ПО КОРИСНИЦИМА'!$C$3:$J$11609,5,FALSE),"")</f>
      </c>
      <c r="D350" s="943"/>
      <c r="E350" s="938">
        <f t="shared" si="11"/>
        <v>0</v>
      </c>
      <c r="F350" s="1237"/>
      <c r="G350" s="962">
        <f t="shared" si="10"/>
        <v>0</v>
      </c>
      <c r="H350" s="942"/>
    </row>
    <row r="351" spans="1:8" ht="12.75" hidden="1">
      <c r="A351" s="960"/>
      <c r="B351" s="950" t="s">
        <v>582</v>
      </c>
      <c r="C351" s="940">
        <f>_xlfn.IFERROR(VLOOKUP(B351,'[1]ПО КОРИСНИЦИМА'!$C$3:$J$11609,5,FALSE),"")</f>
      </c>
      <c r="D351" s="943"/>
      <c r="E351" s="938">
        <f t="shared" si="11"/>
        <v>0</v>
      </c>
      <c r="F351" s="1237"/>
      <c r="G351" s="962">
        <f t="shared" si="10"/>
        <v>0</v>
      </c>
      <c r="H351" s="942"/>
    </row>
    <row r="352" spans="1:8" ht="12.75" hidden="1">
      <c r="A352" s="960"/>
      <c r="B352" s="950" t="s">
        <v>583</v>
      </c>
      <c r="C352" s="940">
        <f>_xlfn.IFERROR(VLOOKUP(B352,'[1]ПО КОРИСНИЦИМА'!$C$3:$J$11609,5,FALSE),"")</f>
      </c>
      <c r="D352" s="943"/>
      <c r="E352" s="938">
        <f t="shared" si="11"/>
        <v>0</v>
      </c>
      <c r="F352" s="1237"/>
      <c r="G352" s="962">
        <f t="shared" si="10"/>
        <v>0</v>
      </c>
      <c r="H352" s="942"/>
    </row>
    <row r="353" spans="1:8" ht="12.75" hidden="1">
      <c r="A353" s="960"/>
      <c r="B353" s="950" t="s">
        <v>584</v>
      </c>
      <c r="C353" s="940">
        <f>_xlfn.IFERROR(VLOOKUP(B353,'[1]ПО КОРИСНИЦИМА'!$C$3:$J$11609,5,FALSE),"")</f>
      </c>
      <c r="D353" s="943" t="e">
        <f>SUMIF('[1]ПО КОРИСНИЦИМА'!$G$3:$G$11609,"Свега за пројекат 0901-П5:",'[1]ПО КОРИСНИЦИМА'!$H$3:$H$11609)</f>
        <v>#VALUE!</v>
      </c>
      <c r="E353" s="938" t="e">
        <f t="shared" si="11"/>
        <v>#VALUE!</v>
      </c>
      <c r="F353" s="1237" t="e">
        <f>SUMIF('[1]ПО КОРИСНИЦИМА'!$G$3:$G$11609,"Свега за пројекат 0901-П5:",'[1]ПО КОРИСНИЦИМА'!$H$3:$H$11609)</f>
        <v>#VALUE!</v>
      </c>
      <c r="G353" s="962" t="e">
        <f t="shared" si="10"/>
        <v>#VALUE!</v>
      </c>
      <c r="H353" s="942"/>
    </row>
    <row r="354" spans="1:8" ht="12.75" hidden="1">
      <c r="A354" s="960"/>
      <c r="B354" s="950" t="s">
        <v>585</v>
      </c>
      <c r="C354" s="940">
        <f>_xlfn.IFERROR(VLOOKUP(B354,'[1]ПО КОРИСНИЦИМА'!$C$3:$J$11609,5,FALSE),"")</f>
      </c>
      <c r="D354" s="943" t="e">
        <f>SUMIF('[1]ПО КОРИСНИЦИМА'!$G$3:$G$11609,"Свега за пројекат 0901-П6:",'[1]ПО КОРИСНИЦИМА'!$H$3:$H$11609)</f>
        <v>#VALUE!</v>
      </c>
      <c r="E354" s="938" t="e">
        <f t="shared" si="11"/>
        <v>#VALUE!</v>
      </c>
      <c r="F354" s="1237" t="e">
        <f>SUMIF('[1]ПО КОРИСНИЦИМА'!$G$3:$G$11609,"Свега за пројекат 0901-П6:",'[1]ПО КОРИСНИЦИМА'!$H$3:$H$11609)</f>
        <v>#VALUE!</v>
      </c>
      <c r="G354" s="962" t="e">
        <f t="shared" si="10"/>
        <v>#VALUE!</v>
      </c>
      <c r="H354" s="942"/>
    </row>
    <row r="355" spans="1:8" ht="12.75" hidden="1">
      <c r="A355" s="960"/>
      <c r="B355" s="950" t="s">
        <v>586</v>
      </c>
      <c r="C355" s="940">
        <f>_xlfn.IFERROR(VLOOKUP(B355,'[1]ПО КОРИСНИЦИМА'!$C$3:$J$11609,5,FALSE),"")</f>
      </c>
      <c r="D355" s="943" t="e">
        <f>SUMIF('[1]ПО КОРИСНИЦИМА'!$G$3:$G$11609,"Свега за пројекат 0901-П7:",'[1]ПО КОРИСНИЦИМА'!$H$3:$H$11609)</f>
        <v>#VALUE!</v>
      </c>
      <c r="E355" s="938" t="e">
        <f t="shared" si="11"/>
        <v>#VALUE!</v>
      </c>
      <c r="F355" s="1237" t="e">
        <f>SUMIF('[1]ПО КОРИСНИЦИМА'!$G$3:$G$11609,"Свега за пројекат 0901-П7:",'[1]ПО КОРИСНИЦИМА'!$H$3:$H$11609)</f>
        <v>#VALUE!</v>
      </c>
      <c r="G355" s="962" t="e">
        <f t="shared" si="10"/>
        <v>#VALUE!</v>
      </c>
      <c r="H355" s="942"/>
    </row>
    <row r="356" spans="1:8" ht="12.75" hidden="1">
      <c r="A356" s="960"/>
      <c r="B356" s="950" t="s">
        <v>587</v>
      </c>
      <c r="C356" s="940">
        <f>_xlfn.IFERROR(VLOOKUP(B356,'[1]ПО КОРИСНИЦИМА'!$C$3:$J$11609,5,FALSE),"")</f>
      </c>
      <c r="D356" s="943" t="e">
        <f>SUMIF('[1]ПО КОРИСНИЦИМА'!$G$3:$G$11609,"Свега за пројекат 0901-П8:",'[1]ПО КОРИСНИЦИМА'!$H$3:$H$11609)</f>
        <v>#VALUE!</v>
      </c>
      <c r="E356" s="938" t="e">
        <f t="shared" si="11"/>
        <v>#VALUE!</v>
      </c>
      <c r="F356" s="1237" t="e">
        <f>SUMIF('[1]ПО КОРИСНИЦИМА'!$G$3:$G$11609,"Свега за пројекат 0901-П8:",'[1]ПО КОРИСНИЦИМА'!$H$3:$H$11609)</f>
        <v>#VALUE!</v>
      </c>
      <c r="G356" s="962" t="e">
        <f t="shared" si="10"/>
        <v>#VALUE!</v>
      </c>
      <c r="H356" s="942"/>
    </row>
    <row r="357" spans="1:8" ht="12.75" hidden="1">
      <c r="A357" s="960"/>
      <c r="B357" s="950" t="s">
        <v>588</v>
      </c>
      <c r="C357" s="940">
        <f>_xlfn.IFERROR(VLOOKUP(B357,'[1]ПО КОРИСНИЦИМА'!$C$3:$J$11609,5,FALSE),"")</f>
      </c>
      <c r="D357" s="943" t="e">
        <f>SUMIF('[1]ПО КОРИСНИЦИМА'!$G$3:$G$11609,"Свега за пројекат 0901-П9:",'[1]ПО КОРИСНИЦИМА'!$H$3:$H$11609)</f>
        <v>#VALUE!</v>
      </c>
      <c r="E357" s="938" t="e">
        <f t="shared" si="11"/>
        <v>#VALUE!</v>
      </c>
      <c r="F357" s="1237" t="e">
        <f>SUMIF('[1]ПО КОРИСНИЦИМА'!$G$3:$G$11609,"Свега за пројекат 0901-П9:",'[1]ПО КОРИСНИЦИМА'!$H$3:$H$11609)</f>
        <v>#VALUE!</v>
      </c>
      <c r="G357" s="962" t="e">
        <f t="shared" si="10"/>
        <v>#VALUE!</v>
      </c>
      <c r="H357" s="942"/>
    </row>
    <row r="358" spans="1:8" ht="12.75" hidden="1">
      <c r="A358" s="960"/>
      <c r="B358" s="950" t="s">
        <v>589</v>
      </c>
      <c r="C358" s="940">
        <f>_xlfn.IFERROR(VLOOKUP(B358,'[1]ПО КОРИСНИЦИМА'!$C$3:$J$11609,5,FALSE),"")</f>
      </c>
      <c r="D358" s="943" t="e">
        <f>SUMIF('[1]ПО КОРИСНИЦИМА'!$G$3:$G$11609,"Свега за пројекат 0901-П10:",'[1]ПО КОРИСНИЦИМА'!$H$3:$H$11609)</f>
        <v>#VALUE!</v>
      </c>
      <c r="E358" s="938" t="e">
        <f t="shared" si="11"/>
        <v>#VALUE!</v>
      </c>
      <c r="F358" s="1237" t="e">
        <f>SUMIF('[1]ПО КОРИСНИЦИМА'!$G$3:$G$11609,"Свега за пројекат 0901-П10:",'[1]ПО КОРИСНИЦИМА'!$H$3:$H$11609)</f>
        <v>#VALUE!</v>
      </c>
      <c r="G358" s="962" t="e">
        <f t="shared" si="10"/>
        <v>#VALUE!</v>
      </c>
      <c r="H358" s="942"/>
    </row>
    <row r="359" spans="1:8" ht="12.75" hidden="1">
      <c r="A359" s="960"/>
      <c r="B359" s="950" t="s">
        <v>590</v>
      </c>
      <c r="C359" s="940">
        <f>_xlfn.IFERROR(VLOOKUP(B359,'[1]ПО КОРИСНИЦИМА'!$C$3:$J$11609,5,FALSE),"")</f>
      </c>
      <c r="D359" s="943" t="e">
        <f>SUMIF('[1]ПО КОРИСНИЦИМА'!$G$3:$G$11609,"Свега за пројекат 0901-П11:",'[1]ПО КОРИСНИЦИМА'!$H$3:$H$11609)</f>
        <v>#VALUE!</v>
      </c>
      <c r="E359" s="938" t="e">
        <f t="shared" si="11"/>
        <v>#VALUE!</v>
      </c>
      <c r="F359" s="1237" t="e">
        <f>SUMIF('[1]ПО КОРИСНИЦИМА'!$G$3:$G$11609,"Свега за пројекат 0901-П11:",'[1]ПО КОРИСНИЦИМА'!$H$3:$H$11609)</f>
        <v>#VALUE!</v>
      </c>
      <c r="G359" s="962" t="e">
        <f t="shared" si="10"/>
        <v>#VALUE!</v>
      </c>
      <c r="H359" s="942"/>
    </row>
    <row r="360" spans="1:8" ht="12.75" hidden="1">
      <c r="A360" s="960"/>
      <c r="B360" s="950" t="s">
        <v>591</v>
      </c>
      <c r="C360" s="940">
        <f>_xlfn.IFERROR(VLOOKUP(B360,'[1]ПО КОРИСНИЦИМА'!$C$3:$J$11609,5,FALSE),"")</f>
      </c>
      <c r="D360" s="943" t="e">
        <f>SUMIF('[1]ПО КОРИСНИЦИМА'!$G$3:$G$11609,"Свега за пројекат 0901-П12:",'[1]ПО КОРИСНИЦИМА'!$H$3:$H$11609)</f>
        <v>#VALUE!</v>
      </c>
      <c r="E360" s="938" t="e">
        <f t="shared" si="11"/>
        <v>#VALUE!</v>
      </c>
      <c r="F360" s="1237" t="e">
        <f>SUMIF('[1]ПО КОРИСНИЦИМА'!$G$3:$G$11609,"Свега за пројекат 0901-П12:",'[1]ПО КОРИСНИЦИМА'!$H$3:$H$11609)</f>
        <v>#VALUE!</v>
      </c>
      <c r="G360" s="962" t="e">
        <f t="shared" si="10"/>
        <v>#VALUE!</v>
      </c>
      <c r="H360" s="942"/>
    </row>
    <row r="361" spans="1:8" ht="12.75" hidden="1">
      <c r="A361" s="960"/>
      <c r="B361" s="950" t="s">
        <v>592</v>
      </c>
      <c r="C361" s="940">
        <f>_xlfn.IFERROR(VLOOKUP(B361,'[1]ПО КОРИСНИЦИМА'!$C$3:$J$11609,5,FALSE),"")</f>
      </c>
      <c r="D361" s="943" t="e">
        <f>SUMIF('[1]ПО КОРИСНИЦИМА'!$G$3:$G$11609,"Свега за пројекат 0901-П13:",'[1]ПО КОРИСНИЦИМА'!$H$3:$H$11609)</f>
        <v>#VALUE!</v>
      </c>
      <c r="E361" s="938" t="e">
        <f t="shared" si="11"/>
        <v>#VALUE!</v>
      </c>
      <c r="F361" s="1237" t="e">
        <f>SUMIF('[1]ПО КОРИСНИЦИМА'!$G$3:$G$11609,"Свега за пројекат 0901-П13:",'[1]ПО КОРИСНИЦИМА'!$H$3:$H$11609)</f>
        <v>#VALUE!</v>
      </c>
      <c r="G361" s="962" t="e">
        <f t="shared" si="10"/>
        <v>#VALUE!</v>
      </c>
      <c r="H361" s="942"/>
    </row>
    <row r="362" spans="1:8" ht="12.75" hidden="1">
      <c r="A362" s="960"/>
      <c r="B362" s="950" t="s">
        <v>593</v>
      </c>
      <c r="C362" s="940">
        <f>_xlfn.IFERROR(VLOOKUP(B362,'[1]ПО КОРИСНИЦИМА'!$C$3:$J$11609,5,FALSE),"")</f>
      </c>
      <c r="D362" s="943" t="e">
        <f>SUMIF('[1]ПО КОРИСНИЦИМА'!$G$3:$G$11609,"Свега за пројекат 0901-П14:",'[1]ПО КОРИСНИЦИМА'!$H$3:$H$11609)</f>
        <v>#VALUE!</v>
      </c>
      <c r="E362" s="938" t="e">
        <f t="shared" si="11"/>
        <v>#VALUE!</v>
      </c>
      <c r="F362" s="1237" t="e">
        <f>SUMIF('[1]ПО КОРИСНИЦИМА'!$G$3:$G$11609,"Свега за пројекат 0901-П14:",'[1]ПО КОРИСНИЦИМА'!$H$3:$H$11609)</f>
        <v>#VALUE!</v>
      </c>
      <c r="G362" s="962" t="e">
        <f t="shared" si="10"/>
        <v>#VALUE!</v>
      </c>
      <c r="H362" s="942"/>
    </row>
    <row r="363" spans="1:8" ht="12.75" hidden="1">
      <c r="A363" s="960"/>
      <c r="B363" s="950" t="s">
        <v>594</v>
      </c>
      <c r="C363" s="940">
        <f>_xlfn.IFERROR(VLOOKUP(B363,'[1]ПО КОРИСНИЦИМА'!$C$3:$J$11609,5,FALSE),"")</f>
      </c>
      <c r="D363" s="943" t="e">
        <f>SUMIF('[1]ПО КОРИСНИЦИМА'!$G$3:$G$11609,"Свега за пројекат 0901-П15:",'[1]ПО КОРИСНИЦИМА'!$H$3:$H$11609)</f>
        <v>#VALUE!</v>
      </c>
      <c r="E363" s="938" t="e">
        <f t="shared" si="11"/>
        <v>#VALUE!</v>
      </c>
      <c r="F363" s="1237" t="e">
        <f>SUMIF('[1]ПО КОРИСНИЦИМА'!$G$3:$G$11609,"Свега за пројекат 0901-П15:",'[1]ПО КОРИСНИЦИМА'!$H$3:$H$11609)</f>
        <v>#VALUE!</v>
      </c>
      <c r="G363" s="962" t="e">
        <f t="shared" si="10"/>
        <v>#VALUE!</v>
      </c>
      <c r="H363" s="942"/>
    </row>
    <row r="364" spans="1:8" ht="12.75" hidden="1">
      <c r="A364" s="960"/>
      <c r="B364" s="950" t="s">
        <v>595</v>
      </c>
      <c r="C364" s="940">
        <f>_xlfn.IFERROR(VLOOKUP(B364,'[1]ПО КОРИСНИЦИМА'!$C$3:$J$11609,5,FALSE),"")</f>
      </c>
      <c r="D364" s="943" t="e">
        <f>SUMIF('[1]ПО КОРИСНИЦИМА'!$G$3:$G$11609,"Свега за пројекат 0901-П16:",'[1]ПО КОРИСНИЦИМА'!$H$3:$H$11609)</f>
        <v>#VALUE!</v>
      </c>
      <c r="E364" s="938" t="e">
        <f t="shared" si="11"/>
        <v>#VALUE!</v>
      </c>
      <c r="F364" s="1237" t="e">
        <f>SUMIF('[1]ПО КОРИСНИЦИМА'!$G$3:$G$11609,"Свега за пројекат 0901-П16:",'[1]ПО КОРИСНИЦИМА'!$H$3:$H$11609)</f>
        <v>#VALUE!</v>
      </c>
      <c r="G364" s="962" t="e">
        <f t="shared" si="10"/>
        <v>#VALUE!</v>
      </c>
      <c r="H364" s="942"/>
    </row>
    <row r="365" spans="1:8" ht="12.75" hidden="1">
      <c r="A365" s="960"/>
      <c r="B365" s="950" t="s">
        <v>596</v>
      </c>
      <c r="C365" s="940">
        <f>_xlfn.IFERROR(VLOOKUP(B365,'[1]ПО КОРИСНИЦИМА'!$C$3:$J$11609,5,FALSE),"")</f>
      </c>
      <c r="D365" s="943" t="e">
        <f>SUMIF('[1]ПО КОРИСНИЦИМА'!$G$3:$G$11609,"Свега за пројекат 0901-П17:",'[1]ПО КОРИСНИЦИМА'!$H$3:$H$11609)</f>
        <v>#VALUE!</v>
      </c>
      <c r="E365" s="938" t="e">
        <f t="shared" si="11"/>
        <v>#VALUE!</v>
      </c>
      <c r="F365" s="1237" t="e">
        <f>SUMIF('[1]ПО КОРИСНИЦИМА'!$G$3:$G$11609,"Свега за пројекат 0901-П17:",'[1]ПО КОРИСНИЦИМА'!$H$3:$H$11609)</f>
        <v>#VALUE!</v>
      </c>
      <c r="G365" s="962" t="e">
        <f t="shared" si="10"/>
        <v>#VALUE!</v>
      </c>
      <c r="H365" s="942"/>
    </row>
    <row r="366" spans="1:8" ht="12.75" hidden="1">
      <c r="A366" s="960"/>
      <c r="B366" s="950" t="s">
        <v>597</v>
      </c>
      <c r="C366" s="940">
        <f>_xlfn.IFERROR(VLOOKUP(B366,'[1]ПО КОРИСНИЦИМА'!$C$3:$J$11609,5,FALSE),"")</f>
      </c>
      <c r="D366" s="943" t="e">
        <f>SUMIF('[1]ПО КОРИСНИЦИМА'!$G$3:$G$11609,"Свега за пројекат 0901-П18:",'[1]ПО КОРИСНИЦИМА'!$H$3:$H$11609)</f>
        <v>#VALUE!</v>
      </c>
      <c r="E366" s="938" t="e">
        <f t="shared" si="11"/>
        <v>#VALUE!</v>
      </c>
      <c r="F366" s="1237" t="e">
        <f>SUMIF('[1]ПО КОРИСНИЦИМА'!$G$3:$G$11609,"Свега за пројекат 0901-П18:",'[1]ПО КОРИСНИЦИМА'!$H$3:$H$11609)</f>
        <v>#VALUE!</v>
      </c>
      <c r="G366" s="962" t="e">
        <f t="shared" si="10"/>
        <v>#VALUE!</v>
      </c>
      <c r="H366" s="942"/>
    </row>
    <row r="367" spans="1:8" ht="12.75" hidden="1">
      <c r="A367" s="960"/>
      <c r="B367" s="950" t="s">
        <v>598</v>
      </c>
      <c r="C367" s="940">
        <f>_xlfn.IFERROR(VLOOKUP(B367,'[1]ПО КОРИСНИЦИМА'!$C$3:$J$11609,5,FALSE),"")</f>
      </c>
      <c r="D367" s="943" t="e">
        <f>SUMIF('[1]ПО КОРИСНИЦИМА'!$G$3:$G$11609,"Свега за пројекат 0901-П19:",'[1]ПО КОРИСНИЦИМА'!$H$3:$H$11609)</f>
        <v>#VALUE!</v>
      </c>
      <c r="E367" s="938" t="e">
        <f t="shared" si="11"/>
        <v>#VALUE!</v>
      </c>
      <c r="F367" s="1237" t="e">
        <f>SUMIF('[1]ПО КОРИСНИЦИМА'!$G$3:$G$11609,"Свега за пројекат 0901-П19:",'[1]ПО КОРИСНИЦИМА'!$H$3:$H$11609)</f>
        <v>#VALUE!</v>
      </c>
      <c r="G367" s="962" t="e">
        <f t="shared" si="10"/>
        <v>#VALUE!</v>
      </c>
      <c r="H367" s="942"/>
    </row>
    <row r="368" spans="1:8" ht="12.75" hidden="1">
      <c r="A368" s="960"/>
      <c r="B368" s="950" t="s">
        <v>599</v>
      </c>
      <c r="C368" s="940">
        <f>_xlfn.IFERROR(VLOOKUP(B368,'[1]ПО КОРИСНИЦИМА'!$C$3:$J$11609,5,FALSE),"")</f>
      </c>
      <c r="D368" s="943" t="e">
        <f>SUMIF('[1]ПО КОРИСНИЦИМА'!$G$3:$G$11609,"Свега за пројекат 0901-П20:",'[1]ПО КОРИСНИЦИМА'!$H$3:$H$11609)</f>
        <v>#VALUE!</v>
      </c>
      <c r="E368" s="938" t="e">
        <f t="shared" si="11"/>
        <v>#VALUE!</v>
      </c>
      <c r="F368" s="1237" t="e">
        <f>SUMIF('[1]ПО КОРИСНИЦИМА'!$G$3:$G$11609,"Свега за пројекат 0901-П20:",'[1]ПО КОРИСНИЦИМА'!$H$3:$H$11609)</f>
        <v>#VALUE!</v>
      </c>
      <c r="G368" s="962" t="e">
        <f t="shared" si="10"/>
        <v>#VALUE!</v>
      </c>
      <c r="H368" s="942"/>
    </row>
    <row r="369" spans="1:8" ht="12.75" hidden="1">
      <c r="A369" s="960"/>
      <c r="B369" s="950" t="s">
        <v>600</v>
      </c>
      <c r="C369" s="940">
        <f>_xlfn.IFERROR(VLOOKUP(B369,'[1]ПО КОРИСНИЦИМА'!$C$3:$J$11609,5,FALSE),"")</f>
      </c>
      <c r="D369" s="943" t="e">
        <f>SUMIF('[1]ПО КОРИСНИЦИМА'!$G$3:$G$11609,"Свега за пројекат 0901-П21:",'[1]ПО КОРИСНИЦИМА'!$H$3:$H$11609)</f>
        <v>#VALUE!</v>
      </c>
      <c r="E369" s="938" t="e">
        <f t="shared" si="11"/>
        <v>#VALUE!</v>
      </c>
      <c r="F369" s="1237" t="e">
        <f>SUMIF('[1]ПО КОРИСНИЦИМА'!$G$3:$G$11609,"Свега за пројекат 0901-П21:",'[1]ПО КОРИСНИЦИМА'!$H$3:$H$11609)</f>
        <v>#VALUE!</v>
      </c>
      <c r="G369" s="962" t="e">
        <f t="shared" si="10"/>
        <v>#VALUE!</v>
      </c>
      <c r="H369" s="942"/>
    </row>
    <row r="370" spans="1:8" ht="12.75" hidden="1">
      <c r="A370" s="960"/>
      <c r="B370" s="950" t="s">
        <v>601</v>
      </c>
      <c r="C370" s="940">
        <f>_xlfn.IFERROR(VLOOKUP(B370,'[1]ПО КОРИСНИЦИМА'!$C$3:$J$11609,5,FALSE),"")</f>
      </c>
      <c r="D370" s="943" t="e">
        <f>SUMIF('[1]ПО КОРИСНИЦИМА'!$G$3:$G$11609,"Свега за пројекат 0901-П22:",'[1]ПО КОРИСНИЦИМА'!$H$3:$H$11609)</f>
        <v>#VALUE!</v>
      </c>
      <c r="E370" s="938" t="e">
        <f t="shared" si="11"/>
        <v>#VALUE!</v>
      </c>
      <c r="F370" s="1237" t="e">
        <f>SUMIF('[1]ПО КОРИСНИЦИМА'!$G$3:$G$11609,"Свега за пројекат 0901-П22:",'[1]ПО КОРИСНИЦИМА'!$H$3:$H$11609)</f>
        <v>#VALUE!</v>
      </c>
      <c r="G370" s="962" t="e">
        <f t="shared" si="10"/>
        <v>#VALUE!</v>
      </c>
      <c r="H370" s="942"/>
    </row>
    <row r="371" spans="1:8" ht="12.75" hidden="1">
      <c r="A371" s="960"/>
      <c r="B371" s="950" t="s">
        <v>602</v>
      </c>
      <c r="C371" s="940">
        <f>_xlfn.IFERROR(VLOOKUP(B371,'[1]ПО КОРИСНИЦИМА'!$C$3:$J$11609,5,FALSE),"")</f>
      </c>
      <c r="D371" s="943" t="e">
        <f>SUMIF('[1]ПО КОРИСНИЦИМА'!$G$3:$G$11609,"Свега за пројекат 0901-П23:",'[1]ПО КОРИСНИЦИМА'!$H$3:$H$11609)</f>
        <v>#VALUE!</v>
      </c>
      <c r="E371" s="938" t="e">
        <f t="shared" si="11"/>
        <v>#VALUE!</v>
      </c>
      <c r="F371" s="1237" t="e">
        <f>SUMIF('[1]ПО КОРИСНИЦИМА'!$G$3:$G$11609,"Свега за пројекат 0901-П23:",'[1]ПО КОРИСНИЦИМА'!$H$3:$H$11609)</f>
        <v>#VALUE!</v>
      </c>
      <c r="G371" s="962" t="e">
        <f t="shared" si="10"/>
        <v>#VALUE!</v>
      </c>
      <c r="H371" s="942"/>
    </row>
    <row r="372" spans="1:8" ht="12.75" hidden="1">
      <c r="A372" s="960"/>
      <c r="B372" s="950" t="s">
        <v>603</v>
      </c>
      <c r="C372" s="940">
        <f>_xlfn.IFERROR(VLOOKUP(B372,'[1]ПО КОРИСНИЦИМА'!$C$3:$J$11609,5,FALSE),"")</f>
      </c>
      <c r="D372" s="943" t="e">
        <f>SUMIF('[1]ПО КОРИСНИЦИМА'!$G$3:$G$11609,"Свега за пројекат 0901-П24:",'[1]ПО КОРИСНИЦИМА'!$H$3:$H$11609)</f>
        <v>#VALUE!</v>
      </c>
      <c r="E372" s="938" t="e">
        <f t="shared" si="11"/>
        <v>#VALUE!</v>
      </c>
      <c r="F372" s="1237" t="e">
        <f>SUMIF('[1]ПО КОРИСНИЦИМА'!$G$3:$G$11609,"Свега за пројекат 0901-П24:",'[1]ПО КОРИСНИЦИМА'!$H$3:$H$11609)</f>
        <v>#VALUE!</v>
      </c>
      <c r="G372" s="962" t="e">
        <f t="shared" si="10"/>
        <v>#VALUE!</v>
      </c>
      <c r="H372" s="942"/>
    </row>
    <row r="373" spans="1:8" ht="12.75" hidden="1">
      <c r="A373" s="960"/>
      <c r="B373" s="950" t="s">
        <v>604</v>
      </c>
      <c r="C373" s="940">
        <f>_xlfn.IFERROR(VLOOKUP(B373,'[1]ПО КОРИСНИЦИМА'!$C$3:$J$11609,5,FALSE),"")</f>
      </c>
      <c r="D373" s="943" t="e">
        <f>SUMIF('[1]ПО КОРИСНИЦИМА'!$G$3:$G$11609,"Свега за пројекат 0901-П25:",'[1]ПО КОРИСНИЦИМА'!$H$3:$H$11609)</f>
        <v>#VALUE!</v>
      </c>
      <c r="E373" s="938" t="e">
        <f t="shared" si="11"/>
        <v>#VALUE!</v>
      </c>
      <c r="F373" s="1237" t="e">
        <f>SUMIF('[1]ПО КОРИСНИЦИМА'!$G$3:$G$11609,"Свега за пројекат 0901-П25:",'[1]ПО КОРИСНИЦИМА'!$H$3:$H$11609)</f>
        <v>#VALUE!</v>
      </c>
      <c r="G373" s="962" t="e">
        <f t="shared" si="10"/>
        <v>#VALUE!</v>
      </c>
      <c r="H373" s="942"/>
    </row>
    <row r="374" spans="1:8" ht="12.75" hidden="1">
      <c r="A374" s="960"/>
      <c r="B374" s="950" t="s">
        <v>605</v>
      </c>
      <c r="C374" s="940">
        <f>_xlfn.IFERROR(VLOOKUP(B374,'[1]ПО КОРИСНИЦИМА'!$C$3:$J$11609,5,FALSE),"")</f>
      </c>
      <c r="D374" s="943" t="e">
        <f>SUMIF('[1]ПО КОРИСНИЦИМА'!$G$3:$G$11609,"Свега за пројекат 0901-П26:",'[1]ПО КОРИСНИЦИМА'!$H$3:$H$11609)</f>
        <v>#VALUE!</v>
      </c>
      <c r="E374" s="938" t="e">
        <f t="shared" si="11"/>
        <v>#VALUE!</v>
      </c>
      <c r="F374" s="1237" t="e">
        <f>SUMIF('[1]ПО КОРИСНИЦИМА'!$G$3:$G$11609,"Свега за пројекат 0901-П26:",'[1]ПО КОРИСНИЦИМА'!$H$3:$H$11609)</f>
        <v>#VALUE!</v>
      </c>
      <c r="G374" s="962" t="e">
        <f t="shared" si="10"/>
        <v>#VALUE!</v>
      </c>
      <c r="H374" s="942"/>
    </row>
    <row r="375" spans="1:8" ht="12.75" hidden="1">
      <c r="A375" s="960"/>
      <c r="B375" s="950" t="s">
        <v>606</v>
      </c>
      <c r="C375" s="940">
        <f>_xlfn.IFERROR(VLOOKUP(B375,'[1]ПО КОРИСНИЦИМА'!$C$3:$J$11609,5,FALSE),"")</f>
      </c>
      <c r="D375" s="943" t="e">
        <f>SUMIF('[1]ПО КОРИСНИЦИМА'!$G$3:$G$11609,"Свега за пројекат 0901-П27:",'[1]ПО КОРИСНИЦИМА'!$H$3:$H$11609)</f>
        <v>#VALUE!</v>
      </c>
      <c r="E375" s="938" t="e">
        <f t="shared" si="11"/>
        <v>#VALUE!</v>
      </c>
      <c r="F375" s="1237" t="e">
        <f>SUMIF('[1]ПО КОРИСНИЦИМА'!$G$3:$G$11609,"Свега за пројекат 0901-П27:",'[1]ПО КОРИСНИЦИМА'!$H$3:$H$11609)</f>
        <v>#VALUE!</v>
      </c>
      <c r="G375" s="962" t="e">
        <f t="shared" si="10"/>
        <v>#VALUE!</v>
      </c>
      <c r="H375" s="942"/>
    </row>
    <row r="376" spans="1:8" ht="12.75" hidden="1">
      <c r="A376" s="960"/>
      <c r="B376" s="950" t="s">
        <v>607</v>
      </c>
      <c r="C376" s="940">
        <f>_xlfn.IFERROR(VLOOKUP(B376,'[1]ПО КОРИСНИЦИМА'!$C$3:$J$11609,5,FALSE),"")</f>
      </c>
      <c r="D376" s="943" t="e">
        <f>SUMIF('[1]ПО КОРИСНИЦИМА'!$G$3:$G$11609,"Свега за пројекат 0901-П28:",'[1]ПО КОРИСНИЦИМА'!$H$3:$H$11609)</f>
        <v>#VALUE!</v>
      </c>
      <c r="E376" s="938" t="e">
        <f t="shared" si="11"/>
        <v>#VALUE!</v>
      </c>
      <c r="F376" s="1237" t="e">
        <f>SUMIF('[1]ПО КОРИСНИЦИМА'!$G$3:$G$11609,"Свега за пројекат 0901-П28:",'[1]ПО КОРИСНИЦИМА'!$H$3:$H$11609)</f>
        <v>#VALUE!</v>
      </c>
      <c r="G376" s="962" t="e">
        <f t="shared" si="10"/>
        <v>#VALUE!</v>
      </c>
      <c r="H376" s="942"/>
    </row>
    <row r="377" spans="1:8" ht="12.75" hidden="1">
      <c r="A377" s="960"/>
      <c r="B377" s="950" t="s">
        <v>608</v>
      </c>
      <c r="C377" s="940">
        <f>_xlfn.IFERROR(VLOOKUP(B377,'[1]ПО КОРИСНИЦИМА'!$C$3:$J$11609,5,FALSE),"")</f>
      </c>
      <c r="D377" s="943" t="e">
        <f>SUMIF('[1]ПО КОРИСНИЦИМА'!$G$3:$G$11609,"Свега за пројекат 0901-П29:",'[1]ПО КОРИСНИЦИМА'!$H$3:$H$11609)</f>
        <v>#VALUE!</v>
      </c>
      <c r="E377" s="938" t="e">
        <f t="shared" si="11"/>
        <v>#VALUE!</v>
      </c>
      <c r="F377" s="1237" t="e">
        <f>SUMIF('[1]ПО КОРИСНИЦИМА'!$G$3:$G$11609,"Свега за пројекат 0901-П29:",'[1]ПО КОРИСНИЦИМА'!$H$3:$H$11609)</f>
        <v>#VALUE!</v>
      </c>
      <c r="G377" s="962" t="e">
        <f t="shared" si="10"/>
        <v>#VALUE!</v>
      </c>
      <c r="H377" s="942"/>
    </row>
    <row r="378" spans="1:8" ht="12.75" hidden="1">
      <c r="A378" s="960"/>
      <c r="B378" s="950" t="s">
        <v>609</v>
      </c>
      <c r="C378" s="940">
        <f>_xlfn.IFERROR(VLOOKUP(B378,'[1]ПО КОРИСНИЦИМА'!$C$3:$J$11609,5,FALSE),"")</f>
      </c>
      <c r="D378" s="943" t="e">
        <f>SUMIF('[1]ПО КОРИСНИЦИМА'!$G$3:$G$11609,"Свега за пројекат 0901-П30:",'[1]ПО КОРИСНИЦИМА'!$H$3:$H$11609)</f>
        <v>#VALUE!</v>
      </c>
      <c r="E378" s="938" t="e">
        <f t="shared" si="11"/>
        <v>#VALUE!</v>
      </c>
      <c r="F378" s="1237" t="e">
        <f>SUMIF('[1]ПО КОРИСНИЦИМА'!$G$3:$G$11609,"Свега за пројекат 0901-П30:",'[1]ПО КОРИСНИЦИМА'!$H$3:$H$11609)</f>
        <v>#VALUE!</v>
      </c>
      <c r="G378" s="962" t="e">
        <f t="shared" si="10"/>
        <v>#VALUE!</v>
      </c>
      <c r="H378" s="942"/>
    </row>
    <row r="379" spans="1:8" s="306" customFormat="1" ht="12.75">
      <c r="A379" s="934" t="s">
        <v>289</v>
      </c>
      <c r="B379" s="935"/>
      <c r="C379" s="936" t="s">
        <v>1206</v>
      </c>
      <c r="D379" s="937">
        <f>SUM(D380:D389)</f>
        <v>16600000</v>
      </c>
      <c r="E379" s="938">
        <f t="shared" si="11"/>
        <v>0.034367251459334426</v>
      </c>
      <c r="F379" s="1235">
        <f>SUM(F380:F389)</f>
        <v>0</v>
      </c>
      <c r="G379" s="937">
        <f t="shared" si="10"/>
        <v>16600000</v>
      </c>
      <c r="H379" s="949"/>
    </row>
    <row r="380" spans="1:8" ht="24">
      <c r="A380" s="960"/>
      <c r="B380" s="950" t="s">
        <v>290</v>
      </c>
      <c r="C380" s="963" t="s">
        <v>311</v>
      </c>
      <c r="D380" s="941">
        <f>Rashodi!M248</f>
        <v>16300000</v>
      </c>
      <c r="E380" s="1242">
        <f t="shared" si="11"/>
        <v>0.03374615655344284</v>
      </c>
      <c r="F380" s="1236">
        <f>Rashodi!T248</f>
        <v>0</v>
      </c>
      <c r="G380" s="941">
        <f t="shared" si="10"/>
        <v>16300000</v>
      </c>
      <c r="H380" s="942" t="s">
        <v>1262</v>
      </c>
    </row>
    <row r="381" spans="1:8" ht="12.75" hidden="1">
      <c r="A381" s="960"/>
      <c r="B381" s="975" t="s">
        <v>1441</v>
      </c>
      <c r="C381" s="963" t="s">
        <v>1442</v>
      </c>
      <c r="D381" s="941"/>
      <c r="E381" s="1242">
        <f t="shared" si="11"/>
        <v>0</v>
      </c>
      <c r="F381" s="1236"/>
      <c r="G381" s="941">
        <f>D381+F381</f>
        <v>0</v>
      </c>
      <c r="H381" s="942" t="s">
        <v>1150</v>
      </c>
    </row>
    <row r="382" spans="1:8" ht="12.75">
      <c r="A382" s="952"/>
      <c r="B382" s="952" t="s">
        <v>1207</v>
      </c>
      <c r="C382" s="940" t="s">
        <v>1208</v>
      </c>
      <c r="D382" s="943">
        <f>Rashodi!M258</f>
        <v>300000</v>
      </c>
      <c r="E382" s="1242">
        <f t="shared" si="11"/>
        <v>0.000621094905891586</v>
      </c>
      <c r="F382" s="1237">
        <f>Rashodi!T258</f>
        <v>0</v>
      </c>
      <c r="G382" s="941">
        <f t="shared" si="10"/>
        <v>300000</v>
      </c>
      <c r="H382" s="942" t="s">
        <v>1150</v>
      </c>
    </row>
    <row r="383" spans="1:8" ht="12.75" hidden="1">
      <c r="A383" s="952"/>
      <c r="B383" s="952" t="s">
        <v>610</v>
      </c>
      <c r="C383" s="940">
        <f>_xlfn.IFERROR(VLOOKUP(B383,'[1]ПО КОРИСНИЦИМА'!$C$3:$J$11609,5,FALSE),"")</f>
      </c>
      <c r="D383" s="943"/>
      <c r="E383" s="938">
        <f t="shared" si="11"/>
        <v>0</v>
      </c>
      <c r="F383" s="1237"/>
      <c r="G383" s="941">
        <f t="shared" si="10"/>
        <v>0</v>
      </c>
      <c r="H383" s="942"/>
    </row>
    <row r="384" spans="1:8" ht="12.75" hidden="1">
      <c r="A384" s="952"/>
      <c r="B384" s="952" t="s">
        <v>611</v>
      </c>
      <c r="C384" s="940">
        <f>_xlfn.IFERROR(VLOOKUP(B384,'[1]ПО КОРИСНИЦИМА'!$C$3:$J$11609,5,FALSE),"")</f>
      </c>
      <c r="D384" s="943"/>
      <c r="E384" s="938">
        <f t="shared" si="11"/>
        <v>0</v>
      </c>
      <c r="F384" s="1237"/>
      <c r="G384" s="941">
        <f t="shared" si="10"/>
        <v>0</v>
      </c>
      <c r="H384" s="942"/>
    </row>
    <row r="385" spans="1:8" ht="12.75" hidden="1">
      <c r="A385" s="952"/>
      <c r="B385" s="952" t="s">
        <v>612</v>
      </c>
      <c r="C385" s="940">
        <f>_xlfn.IFERROR(VLOOKUP(B385,'[1]ПО КОРИСНИЦИМА'!$C$3:$J$11609,5,FALSE),"")</f>
      </c>
      <c r="D385" s="943"/>
      <c r="E385" s="938">
        <f t="shared" si="11"/>
        <v>0</v>
      </c>
      <c r="F385" s="1237"/>
      <c r="G385" s="941">
        <f t="shared" si="10"/>
        <v>0</v>
      </c>
      <c r="H385" s="942"/>
    </row>
    <row r="386" spans="1:8" ht="12.75" hidden="1">
      <c r="A386" s="952"/>
      <c r="B386" s="952" t="s">
        <v>613</v>
      </c>
      <c r="C386" s="940">
        <f>_xlfn.IFERROR(VLOOKUP(B386,'[1]ПО КОРИСНИЦИМА'!$C$3:$J$11609,5,FALSE),"")</f>
      </c>
      <c r="D386" s="943"/>
      <c r="E386" s="938">
        <f t="shared" si="11"/>
        <v>0</v>
      </c>
      <c r="F386" s="1237"/>
      <c r="G386" s="941">
        <f t="shared" si="10"/>
        <v>0</v>
      </c>
      <c r="H386" s="942"/>
    </row>
    <row r="387" spans="1:8" ht="12.75" hidden="1">
      <c r="A387" s="952"/>
      <c r="B387" s="952" t="s">
        <v>614</v>
      </c>
      <c r="C387" s="940">
        <f>_xlfn.IFERROR(VLOOKUP(B387,'[1]ПО КОРИСНИЦИМА'!$C$3:$J$11609,5,FALSE),"")</f>
      </c>
      <c r="D387" s="943"/>
      <c r="E387" s="938">
        <f t="shared" si="11"/>
        <v>0</v>
      </c>
      <c r="F387" s="1237"/>
      <c r="G387" s="941">
        <f t="shared" si="10"/>
        <v>0</v>
      </c>
      <c r="H387" s="942"/>
    </row>
    <row r="388" spans="1:8" ht="12.75" hidden="1">
      <c r="A388" s="952"/>
      <c r="B388" s="952" t="s">
        <v>615</v>
      </c>
      <c r="C388" s="940">
        <f>_xlfn.IFERROR(VLOOKUP(B388,'[1]ПО КОРИСНИЦИМА'!$C$3:$J$11609,5,FALSE),"")</f>
      </c>
      <c r="D388" s="943"/>
      <c r="E388" s="938">
        <f t="shared" si="11"/>
        <v>0</v>
      </c>
      <c r="F388" s="1237"/>
      <c r="G388" s="941">
        <f t="shared" si="10"/>
        <v>0</v>
      </c>
      <c r="H388" s="942"/>
    </row>
    <row r="389" spans="1:8" ht="12.75" hidden="1">
      <c r="A389" s="952"/>
      <c r="B389" s="952" t="s">
        <v>616</v>
      </c>
      <c r="C389" s="940">
        <f>_xlfn.IFERROR(VLOOKUP(B389,'[1]ПО КОРИСНИЦИМА'!$C$3:$J$11609,5,FALSE),"")</f>
      </c>
      <c r="D389" s="943"/>
      <c r="E389" s="938">
        <f t="shared" si="11"/>
        <v>0</v>
      </c>
      <c r="F389" s="1237"/>
      <c r="G389" s="941">
        <f aca="true" t="shared" si="12" ref="G389:G452">D389+F389</f>
        <v>0</v>
      </c>
      <c r="H389" s="942"/>
    </row>
    <row r="390" spans="1:8" ht="12.75" hidden="1">
      <c r="A390" s="952"/>
      <c r="B390" s="952" t="s">
        <v>617</v>
      </c>
      <c r="C390" s="940">
        <f>_xlfn.IFERROR(VLOOKUP(B390,'[1]ПО КОРИСНИЦИМА'!$C$3:$J$11609,5,FALSE),"")</f>
      </c>
      <c r="D390" s="943"/>
      <c r="E390" s="938">
        <f aca="true" t="shared" si="13" ref="E390:E453">D390/483017969</f>
        <v>0</v>
      </c>
      <c r="F390" s="1237"/>
      <c r="G390" s="941">
        <f t="shared" si="12"/>
        <v>0</v>
      </c>
      <c r="H390" s="942"/>
    </row>
    <row r="391" spans="1:8" ht="12.75" hidden="1">
      <c r="A391" s="952"/>
      <c r="B391" s="952" t="s">
        <v>618</v>
      </c>
      <c r="C391" s="940">
        <f>_xlfn.IFERROR(VLOOKUP(B391,'[1]ПО КОРИСНИЦИМА'!$C$3:$J$11609,5,FALSE),"")</f>
      </c>
      <c r="D391" s="943"/>
      <c r="E391" s="938">
        <f t="shared" si="13"/>
        <v>0</v>
      </c>
      <c r="F391" s="1237"/>
      <c r="G391" s="941">
        <f t="shared" si="12"/>
        <v>0</v>
      </c>
      <c r="H391" s="942"/>
    </row>
    <row r="392" spans="1:8" ht="12.75" hidden="1">
      <c r="A392" s="952"/>
      <c r="B392" s="952" t="s">
        <v>619</v>
      </c>
      <c r="C392" s="940">
        <f>_xlfn.IFERROR(VLOOKUP(B392,'[1]ПО КОРИСНИЦИМА'!$C$3:$J$11609,5,FALSE),"")</f>
      </c>
      <c r="D392" s="943"/>
      <c r="E392" s="938">
        <f t="shared" si="13"/>
        <v>0</v>
      </c>
      <c r="F392" s="1237"/>
      <c r="G392" s="941">
        <f t="shared" si="12"/>
        <v>0</v>
      </c>
      <c r="H392" s="942"/>
    </row>
    <row r="393" spans="1:8" ht="12.75" hidden="1">
      <c r="A393" s="952"/>
      <c r="B393" s="952" t="s">
        <v>620</v>
      </c>
      <c r="C393" s="940">
        <f>_xlfn.IFERROR(VLOOKUP(B393,'[1]ПО КОРИСНИЦИМА'!$C$3:$J$11609,5,FALSE),"")</f>
      </c>
      <c r="D393" s="943"/>
      <c r="E393" s="938">
        <f t="shared" si="13"/>
        <v>0</v>
      </c>
      <c r="F393" s="1237"/>
      <c r="G393" s="941">
        <f t="shared" si="12"/>
        <v>0</v>
      </c>
      <c r="H393" s="942"/>
    </row>
    <row r="394" spans="1:8" ht="12.75" hidden="1">
      <c r="A394" s="952"/>
      <c r="B394" s="952" t="s">
        <v>621</v>
      </c>
      <c r="C394" s="940">
        <f>_xlfn.IFERROR(VLOOKUP(B394,'[1]ПО КОРИСНИЦИМА'!$C$3:$J$11609,5,FALSE),"")</f>
      </c>
      <c r="D394" s="943"/>
      <c r="E394" s="938">
        <f t="shared" si="13"/>
        <v>0</v>
      </c>
      <c r="F394" s="1237"/>
      <c r="G394" s="941">
        <f t="shared" si="12"/>
        <v>0</v>
      </c>
      <c r="H394" s="942"/>
    </row>
    <row r="395" spans="1:8" ht="12.75" hidden="1">
      <c r="A395" s="952"/>
      <c r="B395" s="952" t="s">
        <v>622</v>
      </c>
      <c r="C395" s="940">
        <f>_xlfn.IFERROR(VLOOKUP(B395,'[1]ПО КОРИСНИЦИМА'!$C$3:$J$11609,5,FALSE),"")</f>
      </c>
      <c r="D395" s="943"/>
      <c r="E395" s="938">
        <f t="shared" si="13"/>
        <v>0</v>
      </c>
      <c r="F395" s="1237"/>
      <c r="G395" s="941">
        <f t="shared" si="12"/>
        <v>0</v>
      </c>
      <c r="H395" s="942"/>
    </row>
    <row r="396" spans="1:8" ht="12.75" hidden="1">
      <c r="A396" s="952"/>
      <c r="B396" s="952" t="s">
        <v>623</v>
      </c>
      <c r="C396" s="940">
        <f>_xlfn.IFERROR(VLOOKUP(B396,'[1]ПО КОРИСНИЦИМА'!$C$3:$J$11609,5,FALSE),"")</f>
      </c>
      <c r="D396" s="943"/>
      <c r="E396" s="938">
        <f t="shared" si="13"/>
        <v>0</v>
      </c>
      <c r="F396" s="1237"/>
      <c r="G396" s="941">
        <f t="shared" si="12"/>
        <v>0</v>
      </c>
      <c r="H396" s="942"/>
    </row>
    <row r="397" spans="1:8" ht="12.75" hidden="1">
      <c r="A397" s="952"/>
      <c r="B397" s="952" t="s">
        <v>624</v>
      </c>
      <c r="C397" s="940">
        <f>_xlfn.IFERROR(VLOOKUP(B397,'[1]ПО КОРИСНИЦИМА'!$C$3:$J$11609,5,FALSE),"")</f>
      </c>
      <c r="D397" s="943"/>
      <c r="E397" s="938">
        <f t="shared" si="13"/>
        <v>0</v>
      </c>
      <c r="F397" s="1237"/>
      <c r="G397" s="941">
        <f t="shared" si="12"/>
        <v>0</v>
      </c>
      <c r="H397" s="942"/>
    </row>
    <row r="398" spans="1:8" ht="12.75" hidden="1">
      <c r="A398" s="952"/>
      <c r="B398" s="952" t="s">
        <v>625</v>
      </c>
      <c r="C398" s="940">
        <f>_xlfn.IFERROR(VLOOKUP(B398,'[1]ПО КОРИСНИЦИМА'!$C$3:$J$11609,5,FALSE),"")</f>
      </c>
      <c r="D398" s="943"/>
      <c r="E398" s="938">
        <f t="shared" si="13"/>
        <v>0</v>
      </c>
      <c r="F398" s="1237"/>
      <c r="G398" s="941">
        <f t="shared" si="12"/>
        <v>0</v>
      </c>
      <c r="H398" s="942"/>
    </row>
    <row r="399" spans="1:8" ht="12.75" hidden="1">
      <c r="A399" s="952"/>
      <c r="B399" s="952" t="s">
        <v>626</v>
      </c>
      <c r="C399" s="940">
        <f>_xlfn.IFERROR(VLOOKUP(B399,'[1]ПО КОРИСНИЦИМА'!$C$3:$J$11609,5,FALSE),"")</f>
      </c>
      <c r="D399" s="943"/>
      <c r="E399" s="938">
        <f t="shared" si="13"/>
        <v>0</v>
      </c>
      <c r="F399" s="1237"/>
      <c r="G399" s="941">
        <f t="shared" si="12"/>
        <v>0</v>
      </c>
      <c r="H399" s="942"/>
    </row>
    <row r="400" spans="1:8" ht="12.75" hidden="1">
      <c r="A400" s="952"/>
      <c r="B400" s="952" t="s">
        <v>627</v>
      </c>
      <c r="C400" s="940">
        <f>_xlfn.IFERROR(VLOOKUP(B400,'[1]ПО КОРИСНИЦИМА'!$C$3:$J$11609,5,FALSE),"")</f>
      </c>
      <c r="D400" s="943"/>
      <c r="E400" s="938">
        <f t="shared" si="13"/>
        <v>0</v>
      </c>
      <c r="F400" s="1237"/>
      <c r="G400" s="941">
        <f t="shared" si="12"/>
        <v>0</v>
      </c>
      <c r="H400" s="942"/>
    </row>
    <row r="401" spans="1:8" ht="12.75" hidden="1">
      <c r="A401" s="952"/>
      <c r="B401" s="952" t="s">
        <v>628</v>
      </c>
      <c r="C401" s="940">
        <f>_xlfn.IFERROR(VLOOKUP(B401,'[1]ПО КОРИСНИЦИМА'!$C$3:$J$11609,5,FALSE),"")</f>
      </c>
      <c r="D401" s="943"/>
      <c r="E401" s="938">
        <f t="shared" si="13"/>
        <v>0</v>
      </c>
      <c r="F401" s="1237"/>
      <c r="G401" s="941">
        <f t="shared" si="12"/>
        <v>0</v>
      </c>
      <c r="H401" s="942"/>
    </row>
    <row r="402" spans="1:8" ht="12.75" hidden="1">
      <c r="A402" s="952"/>
      <c r="B402" s="952" t="s">
        <v>629</v>
      </c>
      <c r="C402" s="940">
        <f>_xlfn.IFERROR(VLOOKUP(B402,'[1]ПО КОРИСНИЦИМА'!$C$3:$J$11609,5,FALSE),"")</f>
      </c>
      <c r="D402" s="943"/>
      <c r="E402" s="938">
        <f t="shared" si="13"/>
        <v>0</v>
      </c>
      <c r="F402" s="1237"/>
      <c r="G402" s="941">
        <f t="shared" si="12"/>
        <v>0</v>
      </c>
      <c r="H402" s="942"/>
    </row>
    <row r="403" spans="1:8" ht="12.75" hidden="1">
      <c r="A403" s="952"/>
      <c r="B403" s="952" t="s">
        <v>630</v>
      </c>
      <c r="C403" s="940">
        <f>_xlfn.IFERROR(VLOOKUP(B403,'[1]ПО КОРИСНИЦИМА'!$C$3:$J$11609,5,FALSE),"")</f>
      </c>
      <c r="D403" s="943"/>
      <c r="E403" s="938">
        <f t="shared" si="13"/>
        <v>0</v>
      </c>
      <c r="F403" s="1237"/>
      <c r="G403" s="941">
        <f t="shared" si="12"/>
        <v>0</v>
      </c>
      <c r="H403" s="942"/>
    </row>
    <row r="404" spans="1:8" ht="12.75" hidden="1">
      <c r="A404" s="952"/>
      <c r="B404" s="952" t="s">
        <v>631</v>
      </c>
      <c r="C404" s="940">
        <f>_xlfn.IFERROR(VLOOKUP(B404,'[1]ПО КОРИСНИЦИМА'!$C$3:$J$11609,5,FALSE),"")</f>
      </c>
      <c r="D404" s="943"/>
      <c r="E404" s="938">
        <f t="shared" si="13"/>
        <v>0</v>
      </c>
      <c r="F404" s="1237"/>
      <c r="G404" s="941">
        <f t="shared" si="12"/>
        <v>0</v>
      </c>
      <c r="H404" s="942"/>
    </row>
    <row r="405" spans="1:8" ht="12.75" hidden="1">
      <c r="A405" s="952"/>
      <c r="B405" s="952" t="s">
        <v>632</v>
      </c>
      <c r="C405" s="940">
        <f>_xlfn.IFERROR(VLOOKUP(B405,'[1]ПО КОРИСНИЦИМА'!$C$3:$J$11609,5,FALSE),"")</f>
      </c>
      <c r="D405" s="943"/>
      <c r="E405" s="938">
        <f t="shared" si="13"/>
        <v>0</v>
      </c>
      <c r="F405" s="1237"/>
      <c r="G405" s="941">
        <f t="shared" si="12"/>
        <v>0</v>
      </c>
      <c r="H405" s="942"/>
    </row>
    <row r="406" spans="1:8" ht="12.75" hidden="1">
      <c r="A406" s="952"/>
      <c r="B406" s="952" t="s">
        <v>633</v>
      </c>
      <c r="C406" s="940">
        <f>_xlfn.IFERROR(VLOOKUP(B406,'[1]ПО КОРИСНИЦИМА'!$C$3:$J$11609,5,FALSE),"")</f>
      </c>
      <c r="D406" s="943"/>
      <c r="E406" s="938">
        <f t="shared" si="13"/>
        <v>0</v>
      </c>
      <c r="F406" s="1237"/>
      <c r="G406" s="941">
        <f t="shared" si="12"/>
        <v>0</v>
      </c>
      <c r="H406" s="942"/>
    </row>
    <row r="407" spans="1:8" ht="12.75" hidden="1">
      <c r="A407" s="952"/>
      <c r="B407" s="952" t="s">
        <v>634</v>
      </c>
      <c r="C407" s="940">
        <f>_xlfn.IFERROR(VLOOKUP(B407,'[1]ПО КОРИСНИЦИМА'!$C$3:$J$11609,5,FALSE),"")</f>
      </c>
      <c r="D407" s="943"/>
      <c r="E407" s="938">
        <f t="shared" si="13"/>
        <v>0</v>
      </c>
      <c r="F407" s="1237"/>
      <c r="G407" s="941">
        <f t="shared" si="12"/>
        <v>0</v>
      </c>
      <c r="H407" s="942"/>
    </row>
    <row r="408" spans="1:8" ht="12.75" hidden="1">
      <c r="A408" s="952"/>
      <c r="B408" s="952" t="s">
        <v>635</v>
      </c>
      <c r="C408" s="940">
        <f>_xlfn.IFERROR(VLOOKUP(B408,'[1]ПО КОРИСНИЦИМА'!$C$3:$J$11609,5,FALSE),"")</f>
      </c>
      <c r="D408" s="943"/>
      <c r="E408" s="938">
        <f t="shared" si="13"/>
        <v>0</v>
      </c>
      <c r="F408" s="1237"/>
      <c r="G408" s="941">
        <f t="shared" si="12"/>
        <v>0</v>
      </c>
      <c r="H408" s="942"/>
    </row>
    <row r="409" spans="1:8" ht="12.75" hidden="1">
      <c r="A409" s="952"/>
      <c r="B409" s="952" t="s">
        <v>636</v>
      </c>
      <c r="C409" s="940">
        <f>_xlfn.IFERROR(VLOOKUP(B409,'[1]ПО КОРИСНИЦИМА'!$C$3:$J$11609,5,FALSE),"")</f>
      </c>
      <c r="D409" s="943"/>
      <c r="E409" s="938">
        <f t="shared" si="13"/>
        <v>0</v>
      </c>
      <c r="F409" s="1237"/>
      <c r="G409" s="941">
        <f t="shared" si="12"/>
        <v>0</v>
      </c>
      <c r="H409" s="942"/>
    </row>
    <row r="410" spans="1:8" ht="12.75" hidden="1">
      <c r="A410" s="952"/>
      <c r="B410" s="952" t="s">
        <v>637</v>
      </c>
      <c r="C410" s="940">
        <f>_xlfn.IFERROR(VLOOKUP(B410,'[1]ПО КОРИСНИЦИМА'!$C$3:$J$11609,5,FALSE),"")</f>
      </c>
      <c r="D410" s="943"/>
      <c r="E410" s="938">
        <f t="shared" si="13"/>
        <v>0</v>
      </c>
      <c r="F410" s="1237"/>
      <c r="G410" s="941">
        <f t="shared" si="12"/>
        <v>0</v>
      </c>
      <c r="H410" s="942"/>
    </row>
    <row r="411" spans="1:8" ht="12.75" hidden="1">
      <c r="A411" s="952"/>
      <c r="B411" s="952" t="s">
        <v>638</v>
      </c>
      <c r="C411" s="940">
        <f>_xlfn.IFERROR(VLOOKUP(B411,'[1]ПО КОРИСНИЦИМА'!$C$3:$J$11609,5,FALSE),"")</f>
      </c>
      <c r="D411" s="943"/>
      <c r="E411" s="938">
        <f t="shared" si="13"/>
        <v>0</v>
      </c>
      <c r="F411" s="1237"/>
      <c r="G411" s="941">
        <f t="shared" si="12"/>
        <v>0</v>
      </c>
      <c r="H411" s="942"/>
    </row>
    <row r="412" spans="1:8" s="306" customFormat="1" ht="12.75" hidden="1">
      <c r="A412" s="934" t="s">
        <v>286</v>
      </c>
      <c r="B412" s="935"/>
      <c r="C412" s="936" t="s">
        <v>8</v>
      </c>
      <c r="D412" s="937"/>
      <c r="E412" s="938">
        <f t="shared" si="13"/>
        <v>0</v>
      </c>
      <c r="F412" s="1235"/>
      <c r="G412" s="937">
        <f t="shared" si="12"/>
        <v>0</v>
      </c>
      <c r="H412" s="949"/>
    </row>
    <row r="413" spans="1:8" ht="12.75" hidden="1">
      <c r="A413" s="960"/>
      <c r="B413" s="964"/>
      <c r="C413" s="944"/>
      <c r="D413" s="941"/>
      <c r="E413" s="938">
        <f t="shared" si="13"/>
        <v>0</v>
      </c>
      <c r="F413" s="1236"/>
      <c r="G413" s="941">
        <f t="shared" si="12"/>
        <v>0</v>
      </c>
      <c r="H413" s="942"/>
    </row>
    <row r="414" spans="1:8" ht="12.75" hidden="1">
      <c r="A414" s="960"/>
      <c r="B414" s="964"/>
      <c r="C414" s="961"/>
      <c r="D414" s="941"/>
      <c r="E414" s="938">
        <f t="shared" si="13"/>
        <v>0</v>
      </c>
      <c r="F414" s="1236"/>
      <c r="G414" s="941">
        <f t="shared" si="12"/>
        <v>0</v>
      </c>
      <c r="H414" s="942"/>
    </row>
    <row r="415" spans="1:8" ht="25.5" customHeight="1" hidden="1">
      <c r="A415" s="960"/>
      <c r="B415" s="964"/>
      <c r="C415" s="945"/>
      <c r="D415" s="965"/>
      <c r="E415" s="938">
        <f t="shared" si="13"/>
        <v>0</v>
      </c>
      <c r="F415" s="946"/>
      <c r="G415" s="941">
        <f t="shared" si="12"/>
        <v>0</v>
      </c>
      <c r="H415" s="942"/>
    </row>
    <row r="416" spans="1:8" s="306" customFormat="1" ht="12.75">
      <c r="A416" s="934" t="s">
        <v>286</v>
      </c>
      <c r="B416" s="935"/>
      <c r="C416" s="936" t="s">
        <v>1246</v>
      </c>
      <c r="D416" s="937">
        <f>SUM(D417:D420)</f>
        <v>25166402</v>
      </c>
      <c r="E416" s="938">
        <f t="shared" si="13"/>
        <v>0.05210241360606607</v>
      </c>
      <c r="F416" s="1235">
        <f>SUM(F417:F420)</f>
        <v>1098271</v>
      </c>
      <c r="G416" s="937">
        <f t="shared" si="12"/>
        <v>26264673</v>
      </c>
      <c r="H416" s="949"/>
    </row>
    <row r="417" spans="1:8" s="279" customFormat="1" ht="12.75">
      <c r="A417" s="966"/>
      <c r="B417" s="966" t="s">
        <v>287</v>
      </c>
      <c r="C417" s="951" t="s">
        <v>1251</v>
      </c>
      <c r="D417" s="962">
        <f>Rashodi!M387</f>
        <v>13151084</v>
      </c>
      <c r="E417" s="1242">
        <f t="shared" si="13"/>
        <v>0.027226904264507808</v>
      </c>
      <c r="F417" s="969">
        <f>Rashodi!T387</f>
        <v>760271</v>
      </c>
      <c r="G417" s="962">
        <f t="shared" si="12"/>
        <v>13911355</v>
      </c>
      <c r="H417" s="955" t="s">
        <v>1152</v>
      </c>
    </row>
    <row r="418" spans="1:8" ht="12.75">
      <c r="A418" s="960"/>
      <c r="B418" s="952" t="s">
        <v>297</v>
      </c>
      <c r="C418" s="967" t="s">
        <v>1247</v>
      </c>
      <c r="D418" s="941">
        <f>Rashodi!M131+Rashodi!M402</f>
        <v>7615318</v>
      </c>
      <c r="E418" s="1242">
        <f t="shared" si="13"/>
        <v>0.01576611738848167</v>
      </c>
      <c r="F418" s="1236">
        <f>Rashodi!T131+Rashodi!T402</f>
        <v>338000</v>
      </c>
      <c r="G418" s="962">
        <f t="shared" si="12"/>
        <v>7953318</v>
      </c>
      <c r="H418" s="942" t="s">
        <v>1151</v>
      </c>
    </row>
    <row r="419" spans="1:8" ht="24">
      <c r="A419" s="960"/>
      <c r="B419" s="952" t="s">
        <v>1199</v>
      </c>
      <c r="C419" s="945" t="s">
        <v>1263</v>
      </c>
      <c r="D419" s="946">
        <f>Rashodi!M135</f>
        <v>4400000</v>
      </c>
      <c r="E419" s="1242">
        <f t="shared" si="13"/>
        <v>0.009109391953076595</v>
      </c>
      <c r="F419" s="946">
        <f>Rashodi!T135</f>
        <v>0</v>
      </c>
      <c r="G419" s="962">
        <f t="shared" si="12"/>
        <v>4400000</v>
      </c>
      <c r="H419" s="942" t="s">
        <v>1150</v>
      </c>
    </row>
    <row r="420" spans="1:8" ht="12.75" hidden="1">
      <c r="A420" s="952"/>
      <c r="B420" s="952" t="s">
        <v>642</v>
      </c>
      <c r="C420" s="940" t="s">
        <v>1449</v>
      </c>
      <c r="D420" s="943"/>
      <c r="E420" s="1100">
        <f t="shared" si="13"/>
        <v>0</v>
      </c>
      <c r="F420" s="1237"/>
      <c r="G420" s="941">
        <f t="shared" si="12"/>
        <v>0</v>
      </c>
      <c r="H420" s="942" t="s">
        <v>1152</v>
      </c>
    </row>
    <row r="421" spans="1:8" ht="12.75" hidden="1">
      <c r="A421" s="952"/>
      <c r="B421" s="952" t="s">
        <v>639</v>
      </c>
      <c r="C421" s="940">
        <f>_xlfn.IFERROR(VLOOKUP(B421,'[1]ПО КОРИСНИЦИМА'!$C$3:$J$11609,5,FALSE),"")</f>
      </c>
      <c r="D421" s="943"/>
      <c r="E421" s="938">
        <f t="shared" si="13"/>
        <v>0</v>
      </c>
      <c r="F421" s="1237"/>
      <c r="G421" s="941">
        <f t="shared" si="12"/>
        <v>0</v>
      </c>
      <c r="H421" s="942"/>
    </row>
    <row r="422" spans="1:8" ht="12.75" hidden="1">
      <c r="A422" s="952"/>
      <c r="B422" s="952" t="s">
        <v>640</v>
      </c>
      <c r="C422" s="940">
        <f>_xlfn.IFERROR(VLOOKUP(B422,'[1]ПО КОРИСНИЦИМА'!$C$3:$J$11609,5,FALSE),"")</f>
      </c>
      <c r="D422" s="943"/>
      <c r="E422" s="938">
        <f t="shared" si="13"/>
        <v>0</v>
      </c>
      <c r="F422" s="1237"/>
      <c r="G422" s="941">
        <f t="shared" si="12"/>
        <v>0</v>
      </c>
      <c r="H422" s="942"/>
    </row>
    <row r="423" spans="1:8" ht="12.75" hidden="1">
      <c r="A423" s="952"/>
      <c r="B423" s="952" t="s">
        <v>641</v>
      </c>
      <c r="C423" s="940">
        <f>_xlfn.IFERROR(VLOOKUP(B423,'[1]ПО КОРИСНИЦИМА'!$C$3:$J$11609,5,FALSE),"")</f>
      </c>
      <c r="D423" s="943"/>
      <c r="E423" s="938">
        <f t="shared" si="13"/>
        <v>0</v>
      </c>
      <c r="F423" s="1237"/>
      <c r="G423" s="941">
        <f t="shared" si="12"/>
        <v>0</v>
      </c>
      <c r="H423" s="942"/>
    </row>
    <row r="424" spans="1:8" ht="12.75" hidden="1">
      <c r="A424" s="952"/>
      <c r="B424" s="952" t="s">
        <v>642</v>
      </c>
      <c r="C424" s="940">
        <f>_xlfn.IFERROR(VLOOKUP(B424,'[1]ПО КОРИСНИЦИМА'!$C$3:$J$11609,5,FALSE),"")</f>
      </c>
      <c r="D424" s="943"/>
      <c r="E424" s="938">
        <f t="shared" si="13"/>
        <v>0</v>
      </c>
      <c r="F424" s="1237"/>
      <c r="G424" s="941">
        <f t="shared" si="12"/>
        <v>0</v>
      </c>
      <c r="H424" s="942"/>
    </row>
    <row r="425" spans="1:8" ht="12.75" hidden="1">
      <c r="A425" s="952"/>
      <c r="B425" s="952" t="s">
        <v>643</v>
      </c>
      <c r="C425" s="940">
        <f>_xlfn.IFERROR(VLOOKUP(B425,'[1]ПО КОРИСНИЦИМА'!$C$3:$J$11609,5,FALSE),"")</f>
      </c>
      <c r="D425" s="943"/>
      <c r="E425" s="938">
        <f t="shared" si="13"/>
        <v>0</v>
      </c>
      <c r="F425" s="1237"/>
      <c r="G425" s="941">
        <f t="shared" si="12"/>
        <v>0</v>
      </c>
      <c r="H425" s="942"/>
    </row>
    <row r="426" spans="1:8" ht="12.75" hidden="1">
      <c r="A426" s="952"/>
      <c r="B426" s="952" t="s">
        <v>644</v>
      </c>
      <c r="C426" s="940">
        <f>_xlfn.IFERROR(VLOOKUP(B426,'[1]ПО КОРИСНИЦИМА'!$C$3:$J$11609,5,FALSE),"")</f>
      </c>
      <c r="D426" s="943"/>
      <c r="E426" s="938">
        <f t="shared" si="13"/>
        <v>0</v>
      </c>
      <c r="F426" s="1237"/>
      <c r="G426" s="941">
        <f t="shared" si="12"/>
        <v>0</v>
      </c>
      <c r="H426" s="942"/>
    </row>
    <row r="427" spans="1:8" ht="12.75" hidden="1">
      <c r="A427" s="952"/>
      <c r="B427" s="952" t="s">
        <v>645</v>
      </c>
      <c r="C427" s="940">
        <f>_xlfn.IFERROR(VLOOKUP(B427,'[1]ПО КОРИСНИЦИМА'!$C$3:$J$11609,5,FALSE),"")</f>
      </c>
      <c r="D427" s="943"/>
      <c r="E427" s="938">
        <f t="shared" si="13"/>
        <v>0</v>
      </c>
      <c r="F427" s="1237"/>
      <c r="G427" s="941">
        <f t="shared" si="12"/>
        <v>0</v>
      </c>
      <c r="H427" s="942"/>
    </row>
    <row r="428" spans="1:8" ht="12.75" hidden="1">
      <c r="A428" s="952"/>
      <c r="B428" s="952" t="s">
        <v>646</v>
      </c>
      <c r="C428" s="940">
        <f>_xlfn.IFERROR(VLOOKUP(B428,'[1]ПО КОРИСНИЦИМА'!$C$3:$J$11609,5,FALSE),"")</f>
      </c>
      <c r="D428" s="943"/>
      <c r="E428" s="938">
        <f t="shared" si="13"/>
        <v>0</v>
      </c>
      <c r="F428" s="1237"/>
      <c r="G428" s="941">
        <f t="shared" si="12"/>
        <v>0</v>
      </c>
      <c r="H428" s="942"/>
    </row>
    <row r="429" spans="1:8" ht="12.75" hidden="1">
      <c r="A429" s="952"/>
      <c r="B429" s="952" t="s">
        <v>647</v>
      </c>
      <c r="C429" s="940">
        <f>_xlfn.IFERROR(VLOOKUP(B429,'[1]ПО КОРИСНИЦИМА'!$C$3:$J$11609,5,FALSE),"")</f>
      </c>
      <c r="D429" s="943"/>
      <c r="E429" s="938">
        <f t="shared" si="13"/>
        <v>0</v>
      </c>
      <c r="F429" s="1237"/>
      <c r="G429" s="941">
        <f t="shared" si="12"/>
        <v>0</v>
      </c>
      <c r="H429" s="942"/>
    </row>
    <row r="430" spans="1:8" ht="12.75" hidden="1">
      <c r="A430" s="952"/>
      <c r="B430" s="952" t="s">
        <v>648</v>
      </c>
      <c r="C430" s="940">
        <f>_xlfn.IFERROR(VLOOKUP(B430,'[1]ПО КОРИСНИЦИМА'!$C$3:$J$11609,5,FALSE),"")</f>
      </c>
      <c r="D430" s="943"/>
      <c r="E430" s="938">
        <f t="shared" si="13"/>
        <v>0</v>
      </c>
      <c r="F430" s="1237"/>
      <c r="G430" s="941">
        <f t="shared" si="12"/>
        <v>0</v>
      </c>
      <c r="H430" s="942"/>
    </row>
    <row r="431" spans="1:8" ht="12.75" hidden="1">
      <c r="A431" s="952"/>
      <c r="B431" s="952" t="s">
        <v>649</v>
      </c>
      <c r="C431" s="940">
        <f>_xlfn.IFERROR(VLOOKUP(B431,'[1]ПО КОРИСНИЦИМА'!$C$3:$J$11609,5,FALSE),"")</f>
      </c>
      <c r="D431" s="943"/>
      <c r="E431" s="938">
        <f t="shared" si="13"/>
        <v>0</v>
      </c>
      <c r="F431" s="1237"/>
      <c r="G431" s="941">
        <f t="shared" si="12"/>
        <v>0</v>
      </c>
      <c r="H431" s="942"/>
    </row>
    <row r="432" spans="1:8" ht="12.75" hidden="1">
      <c r="A432" s="952"/>
      <c r="B432" s="952" t="s">
        <v>650</v>
      </c>
      <c r="C432" s="940">
        <f>_xlfn.IFERROR(VLOOKUP(B432,'[1]ПО КОРИСНИЦИМА'!$C$3:$J$11609,5,FALSE),"")</f>
      </c>
      <c r="D432" s="943"/>
      <c r="E432" s="938">
        <f t="shared" si="13"/>
        <v>0</v>
      </c>
      <c r="F432" s="1237"/>
      <c r="G432" s="941">
        <f t="shared" si="12"/>
        <v>0</v>
      </c>
      <c r="H432" s="942"/>
    </row>
    <row r="433" spans="1:8" ht="12.75" hidden="1">
      <c r="A433" s="952"/>
      <c r="B433" s="952" t="s">
        <v>651</v>
      </c>
      <c r="C433" s="940">
        <f>_xlfn.IFERROR(VLOOKUP(B433,'[1]ПО КОРИСНИЦИМА'!$C$3:$J$11609,5,FALSE),"")</f>
      </c>
      <c r="D433" s="943"/>
      <c r="E433" s="938">
        <f t="shared" si="13"/>
        <v>0</v>
      </c>
      <c r="F433" s="1237"/>
      <c r="G433" s="941">
        <f t="shared" si="12"/>
        <v>0</v>
      </c>
      <c r="H433" s="942"/>
    </row>
    <row r="434" spans="1:8" ht="12.75" hidden="1">
      <c r="A434" s="952"/>
      <c r="B434" s="952" t="s">
        <v>652</v>
      </c>
      <c r="C434" s="940">
        <f>_xlfn.IFERROR(VLOOKUP(B434,'[1]ПО КОРИСНИЦИМА'!$C$3:$J$11609,5,FALSE),"")</f>
      </c>
      <c r="D434" s="943"/>
      <c r="E434" s="938">
        <f t="shared" si="13"/>
        <v>0</v>
      </c>
      <c r="F434" s="1237"/>
      <c r="G434" s="941">
        <f t="shared" si="12"/>
        <v>0</v>
      </c>
      <c r="H434" s="942"/>
    </row>
    <row r="435" spans="1:8" ht="12.75" hidden="1">
      <c r="A435" s="952"/>
      <c r="B435" s="952" t="s">
        <v>653</v>
      </c>
      <c r="C435" s="940">
        <f>_xlfn.IFERROR(VLOOKUP(B435,'[1]ПО КОРИСНИЦИМА'!$C$3:$J$11609,5,FALSE),"")</f>
      </c>
      <c r="D435" s="943"/>
      <c r="E435" s="938">
        <f t="shared" si="13"/>
        <v>0</v>
      </c>
      <c r="F435" s="1237"/>
      <c r="G435" s="941">
        <f t="shared" si="12"/>
        <v>0</v>
      </c>
      <c r="H435" s="942"/>
    </row>
    <row r="436" spans="1:8" ht="12.75" hidden="1">
      <c r="A436" s="952"/>
      <c r="B436" s="952" t="s">
        <v>654</v>
      </c>
      <c r="C436" s="940">
        <f>_xlfn.IFERROR(VLOOKUP(B436,'[1]ПО КОРИСНИЦИМА'!$C$3:$J$11609,5,FALSE),"")</f>
      </c>
      <c r="D436" s="943"/>
      <c r="E436" s="938">
        <f t="shared" si="13"/>
        <v>0</v>
      </c>
      <c r="F436" s="1237"/>
      <c r="G436" s="941">
        <f t="shared" si="12"/>
        <v>0</v>
      </c>
      <c r="H436" s="942"/>
    </row>
    <row r="437" spans="1:8" ht="12.75" hidden="1">
      <c r="A437" s="952"/>
      <c r="B437" s="952" t="s">
        <v>655</v>
      </c>
      <c r="C437" s="940">
        <f>_xlfn.IFERROR(VLOOKUP(B437,'[1]ПО КОРИСНИЦИМА'!$C$3:$J$11609,5,FALSE),"")</f>
      </c>
      <c r="D437" s="943"/>
      <c r="E437" s="938">
        <f t="shared" si="13"/>
        <v>0</v>
      </c>
      <c r="F437" s="1237"/>
      <c r="G437" s="941">
        <f t="shared" si="12"/>
        <v>0</v>
      </c>
      <c r="H437" s="942"/>
    </row>
    <row r="438" spans="1:8" ht="12.75" hidden="1">
      <c r="A438" s="952"/>
      <c r="B438" s="952" t="s">
        <v>656</v>
      </c>
      <c r="C438" s="940">
        <f>_xlfn.IFERROR(VLOOKUP(B438,'[1]ПО КОРИСНИЦИМА'!$C$3:$J$11609,5,FALSE),"")</f>
      </c>
      <c r="D438" s="943"/>
      <c r="E438" s="938">
        <f t="shared" si="13"/>
        <v>0</v>
      </c>
      <c r="F438" s="1237"/>
      <c r="G438" s="941">
        <f t="shared" si="12"/>
        <v>0</v>
      </c>
      <c r="H438" s="942"/>
    </row>
    <row r="439" spans="1:8" ht="12.75" hidden="1">
      <c r="A439" s="952"/>
      <c r="B439" s="952" t="s">
        <v>657</v>
      </c>
      <c r="C439" s="940">
        <f>_xlfn.IFERROR(VLOOKUP(B439,'[1]ПО КОРИСНИЦИМА'!$C$3:$J$11609,5,FALSE),"")</f>
      </c>
      <c r="D439" s="943"/>
      <c r="E439" s="938">
        <f t="shared" si="13"/>
        <v>0</v>
      </c>
      <c r="F439" s="1237"/>
      <c r="G439" s="941">
        <f t="shared" si="12"/>
        <v>0</v>
      </c>
      <c r="H439" s="942"/>
    </row>
    <row r="440" spans="1:8" ht="12.75" hidden="1">
      <c r="A440" s="952"/>
      <c r="B440" s="952" t="s">
        <v>658</v>
      </c>
      <c r="C440" s="940">
        <f>_xlfn.IFERROR(VLOOKUP(B440,'[1]ПО КОРИСНИЦИМА'!$C$3:$J$11609,5,FALSE),"")</f>
      </c>
      <c r="D440" s="943"/>
      <c r="E440" s="938">
        <f t="shared" si="13"/>
        <v>0</v>
      </c>
      <c r="F440" s="1237"/>
      <c r="G440" s="941">
        <f t="shared" si="12"/>
        <v>0</v>
      </c>
      <c r="H440" s="942"/>
    </row>
    <row r="441" spans="1:8" ht="12.75" hidden="1">
      <c r="A441" s="952"/>
      <c r="B441" s="952" t="s">
        <v>659</v>
      </c>
      <c r="C441" s="940">
        <f>_xlfn.IFERROR(VLOOKUP(B441,'[1]ПО КОРИСНИЦИМА'!$C$3:$J$11609,5,FALSE),"")</f>
      </c>
      <c r="D441" s="943"/>
      <c r="E441" s="938">
        <f t="shared" si="13"/>
        <v>0</v>
      </c>
      <c r="F441" s="1237"/>
      <c r="G441" s="941">
        <f t="shared" si="12"/>
        <v>0</v>
      </c>
      <c r="H441" s="942"/>
    </row>
    <row r="442" spans="1:8" ht="12.75" hidden="1">
      <c r="A442" s="952"/>
      <c r="B442" s="952" t="s">
        <v>660</v>
      </c>
      <c r="C442" s="940">
        <f>_xlfn.IFERROR(VLOOKUP(B442,'[1]ПО КОРИСНИЦИМА'!$C$3:$J$11609,5,FALSE),"")</f>
      </c>
      <c r="D442" s="943"/>
      <c r="E442" s="938">
        <f t="shared" si="13"/>
        <v>0</v>
      </c>
      <c r="F442" s="1237"/>
      <c r="G442" s="941">
        <f t="shared" si="12"/>
        <v>0</v>
      </c>
      <c r="H442" s="942"/>
    </row>
    <row r="443" spans="1:8" ht="12.75" hidden="1">
      <c r="A443" s="952"/>
      <c r="B443" s="952" t="s">
        <v>661</v>
      </c>
      <c r="C443" s="940">
        <f>_xlfn.IFERROR(VLOOKUP(B443,'[1]ПО КОРИСНИЦИМА'!$C$3:$J$11609,5,FALSE),"")</f>
      </c>
      <c r="D443" s="943" t="e">
        <f>SUMIF('[1]ПО КОРИСНИЦИМА'!$G$3:$G$11609,"Свега за пројекат 1201-П25:",'[1]ПО КОРИСНИЦИМА'!$H$3:$H$11609)</f>
        <v>#VALUE!</v>
      </c>
      <c r="E443" s="938" t="e">
        <f t="shared" si="13"/>
        <v>#VALUE!</v>
      </c>
      <c r="F443" s="1237" t="e">
        <f>SUMIF('[1]ПО КОРИСНИЦИМА'!$G$3:$G$11609,"Свега за пројекат 1201-П25:",'[1]ПО КОРИСНИЦИМА'!$H$3:$H$11609)</f>
        <v>#VALUE!</v>
      </c>
      <c r="G443" s="941" t="e">
        <f t="shared" si="12"/>
        <v>#VALUE!</v>
      </c>
      <c r="H443" s="942"/>
    </row>
    <row r="444" spans="1:8" ht="12.75" hidden="1">
      <c r="A444" s="952"/>
      <c r="B444" s="952" t="s">
        <v>662</v>
      </c>
      <c r="C444" s="940">
        <f>_xlfn.IFERROR(VLOOKUP(B444,'[1]ПО КОРИСНИЦИМА'!$C$3:$J$11609,5,FALSE),"")</f>
      </c>
      <c r="D444" s="943" t="e">
        <f>SUMIF('[1]ПО КОРИСНИЦИМА'!$G$3:$G$11609,"Свега за пројекат 1201-П26:",'[1]ПО КОРИСНИЦИМА'!$H$3:$H$11609)</f>
        <v>#VALUE!</v>
      </c>
      <c r="E444" s="938" t="e">
        <f t="shared" si="13"/>
        <v>#VALUE!</v>
      </c>
      <c r="F444" s="1237" t="e">
        <f>SUMIF('[1]ПО КОРИСНИЦИМА'!$G$3:$G$11609,"Свега за пројекат 1201-П26:",'[1]ПО КОРИСНИЦИМА'!$H$3:$H$11609)</f>
        <v>#VALUE!</v>
      </c>
      <c r="G444" s="941" t="e">
        <f t="shared" si="12"/>
        <v>#VALUE!</v>
      </c>
      <c r="H444" s="942"/>
    </row>
    <row r="445" spans="1:8" ht="12.75" hidden="1">
      <c r="A445" s="952"/>
      <c r="B445" s="952" t="s">
        <v>663</v>
      </c>
      <c r="C445" s="940">
        <f>_xlfn.IFERROR(VLOOKUP(B445,'[1]ПО КОРИСНИЦИМА'!$C$3:$J$11609,5,FALSE),"")</f>
      </c>
      <c r="D445" s="943" t="e">
        <f>SUMIF('[1]ПО КОРИСНИЦИМА'!$G$3:$G$11609,"Свега за пројекат 1201-П27:",'[1]ПО КОРИСНИЦИМА'!$H$3:$H$11609)</f>
        <v>#VALUE!</v>
      </c>
      <c r="E445" s="938" t="e">
        <f t="shared" si="13"/>
        <v>#VALUE!</v>
      </c>
      <c r="F445" s="1237" t="e">
        <f>SUMIF('[1]ПО КОРИСНИЦИМА'!$G$3:$G$11609,"Свега за пројекат 1201-П27:",'[1]ПО КОРИСНИЦИМА'!$H$3:$H$11609)</f>
        <v>#VALUE!</v>
      </c>
      <c r="G445" s="941" t="e">
        <f t="shared" si="12"/>
        <v>#VALUE!</v>
      </c>
      <c r="H445" s="942"/>
    </row>
    <row r="446" spans="1:8" ht="12.75" hidden="1">
      <c r="A446" s="952"/>
      <c r="B446" s="952" t="s">
        <v>664</v>
      </c>
      <c r="C446" s="940">
        <f>_xlfn.IFERROR(VLOOKUP(B446,'[1]ПО КОРИСНИЦИМА'!$C$3:$J$11609,5,FALSE),"")</f>
      </c>
      <c r="D446" s="943" t="e">
        <f>SUMIF('[1]ПО КОРИСНИЦИМА'!$G$3:$G$11609,"Свега за пројекат 1201-П28:",'[1]ПО КОРИСНИЦИМА'!$H$3:$H$11609)</f>
        <v>#VALUE!</v>
      </c>
      <c r="E446" s="938" t="e">
        <f t="shared" si="13"/>
        <v>#VALUE!</v>
      </c>
      <c r="F446" s="1237" t="e">
        <f>SUMIF('[1]ПО КОРИСНИЦИМА'!$G$3:$G$11609,"Свега за пројекат 1201-П28:",'[1]ПО КОРИСНИЦИМА'!$H$3:$H$11609)</f>
        <v>#VALUE!</v>
      </c>
      <c r="G446" s="941" t="e">
        <f t="shared" si="12"/>
        <v>#VALUE!</v>
      </c>
      <c r="H446" s="942"/>
    </row>
    <row r="447" spans="1:8" ht="12.75" hidden="1">
      <c r="A447" s="952"/>
      <c r="B447" s="952" t="s">
        <v>665</v>
      </c>
      <c r="C447" s="940">
        <f>_xlfn.IFERROR(VLOOKUP(B447,'[1]ПО КОРИСНИЦИМА'!$C$3:$J$11609,5,FALSE),"")</f>
      </c>
      <c r="D447" s="943" t="e">
        <f>SUMIF('[1]ПО КОРИСНИЦИМА'!$G$3:$G$11609,"Свега за пројекат 1201-П29:",'[1]ПО КОРИСНИЦИМА'!$H$3:$H$11609)</f>
        <v>#VALUE!</v>
      </c>
      <c r="E447" s="938" t="e">
        <f t="shared" si="13"/>
        <v>#VALUE!</v>
      </c>
      <c r="F447" s="1237" t="e">
        <f>SUMIF('[1]ПО КОРИСНИЦИМА'!$G$3:$G$11609,"Свега за пројекат 1201-П29:",'[1]ПО КОРИСНИЦИМА'!$H$3:$H$11609)</f>
        <v>#VALUE!</v>
      </c>
      <c r="G447" s="941" t="e">
        <f t="shared" si="12"/>
        <v>#VALUE!</v>
      </c>
      <c r="H447" s="942"/>
    </row>
    <row r="448" spans="1:8" ht="12.75" hidden="1">
      <c r="A448" s="952"/>
      <c r="B448" s="952" t="s">
        <v>666</v>
      </c>
      <c r="C448" s="940">
        <f>_xlfn.IFERROR(VLOOKUP(B448,'[1]ПО КОРИСНИЦИМА'!$C$3:$J$11609,5,FALSE),"")</f>
      </c>
      <c r="D448" s="943" t="e">
        <f>SUMIF('[1]ПО КОРИСНИЦИМА'!$G$3:$G$11609,"Свега за пројекат 1201-П30:",'[1]ПО КОРИСНИЦИМА'!$H$3:$H$11609)</f>
        <v>#VALUE!</v>
      </c>
      <c r="E448" s="938" t="e">
        <f t="shared" si="13"/>
        <v>#VALUE!</v>
      </c>
      <c r="F448" s="1237" t="e">
        <f>SUMIF('[1]ПО КОРИСНИЦИМА'!$G$3:$G$11609,"Свега за пројекат 1201-П30:",'[1]ПО КОРИСНИЦИМА'!$H$3:$H$11609)</f>
        <v>#VALUE!</v>
      </c>
      <c r="G448" s="941" t="e">
        <f t="shared" si="12"/>
        <v>#VALUE!</v>
      </c>
      <c r="H448" s="942"/>
    </row>
    <row r="449" spans="1:8" ht="12.75" hidden="1">
      <c r="A449" s="952"/>
      <c r="B449" s="952" t="s">
        <v>667</v>
      </c>
      <c r="C449" s="940">
        <f>_xlfn.IFERROR(VLOOKUP(B449,'[1]ПО КОРИСНИЦИМА'!$C$3:$J$11609,5,FALSE),"")</f>
      </c>
      <c r="D449" s="943" t="e">
        <f>SUMIF('[1]ПО КОРИСНИЦИМА'!$G$3:$G$11609,"Свега за пројекат 1201-П31:",'[1]ПО КОРИСНИЦИМА'!$H$3:$H$11609)</f>
        <v>#VALUE!</v>
      </c>
      <c r="E449" s="938" t="e">
        <f t="shared" si="13"/>
        <v>#VALUE!</v>
      </c>
      <c r="F449" s="1237" t="e">
        <f>SUMIF('[1]ПО КОРИСНИЦИМА'!$G$3:$G$11609,"Свега за пројекат 1201-П31:",'[1]ПО КОРИСНИЦИМА'!$H$3:$H$11609)</f>
        <v>#VALUE!</v>
      </c>
      <c r="G449" s="941" t="e">
        <f t="shared" si="12"/>
        <v>#VALUE!</v>
      </c>
      <c r="H449" s="942"/>
    </row>
    <row r="450" spans="1:8" ht="12.75" hidden="1">
      <c r="A450" s="952"/>
      <c r="B450" s="952" t="s">
        <v>668</v>
      </c>
      <c r="C450" s="940">
        <f>_xlfn.IFERROR(VLOOKUP(B450,'[1]ПО КОРИСНИЦИМА'!$C$3:$J$11609,5,FALSE),"")</f>
      </c>
      <c r="D450" s="943" t="e">
        <f>SUMIF('[1]ПО КОРИСНИЦИМА'!$G$3:$G$11609,"Свега за пројекат 1201-П32:",'[1]ПО КОРИСНИЦИМА'!$H$3:$H$11609)</f>
        <v>#VALUE!</v>
      </c>
      <c r="E450" s="938" t="e">
        <f t="shared" si="13"/>
        <v>#VALUE!</v>
      </c>
      <c r="F450" s="1237" t="e">
        <f>SUMIF('[1]ПО КОРИСНИЦИМА'!$G$3:$G$11609,"Свега за пројекат 1201-П32:",'[1]ПО КОРИСНИЦИМА'!$H$3:$H$11609)</f>
        <v>#VALUE!</v>
      </c>
      <c r="G450" s="941" t="e">
        <f t="shared" si="12"/>
        <v>#VALUE!</v>
      </c>
      <c r="H450" s="942"/>
    </row>
    <row r="451" spans="1:8" ht="12.75" hidden="1">
      <c r="A451" s="952"/>
      <c r="B451" s="952" t="s">
        <v>669</v>
      </c>
      <c r="C451" s="940">
        <f>_xlfn.IFERROR(VLOOKUP(B451,'[1]ПО КОРИСНИЦИМА'!$C$3:$J$11609,5,FALSE),"")</f>
      </c>
      <c r="D451" s="943" t="e">
        <f>SUMIF('[1]ПО КОРИСНИЦИМА'!$G$3:$G$11609,"Свега за пројекат 1201-П33:",'[1]ПО КОРИСНИЦИМА'!$H$3:$H$11609)</f>
        <v>#VALUE!</v>
      </c>
      <c r="E451" s="938" t="e">
        <f t="shared" si="13"/>
        <v>#VALUE!</v>
      </c>
      <c r="F451" s="1237" t="e">
        <f>SUMIF('[1]ПО КОРИСНИЦИМА'!$G$3:$G$11609,"Свега за пројекат 1201-П33:",'[1]ПО КОРИСНИЦИМА'!$H$3:$H$11609)</f>
        <v>#VALUE!</v>
      </c>
      <c r="G451" s="941" t="e">
        <f t="shared" si="12"/>
        <v>#VALUE!</v>
      </c>
      <c r="H451" s="942"/>
    </row>
    <row r="452" spans="1:8" ht="12.75" hidden="1">
      <c r="A452" s="952"/>
      <c r="B452" s="952" t="s">
        <v>670</v>
      </c>
      <c r="C452" s="940">
        <f>_xlfn.IFERROR(VLOOKUP(B452,'[1]ПО КОРИСНИЦИМА'!$C$3:$J$11609,5,FALSE),"")</f>
      </c>
      <c r="D452" s="943" t="e">
        <f>SUMIF('[1]ПО КОРИСНИЦИМА'!$G$3:$G$11609,"Свега за пројекат 1201-П34:",'[1]ПО КОРИСНИЦИМА'!$H$3:$H$11609)</f>
        <v>#VALUE!</v>
      </c>
      <c r="E452" s="938" t="e">
        <f t="shared" si="13"/>
        <v>#VALUE!</v>
      </c>
      <c r="F452" s="1237" t="e">
        <f>SUMIF('[1]ПО КОРИСНИЦИМА'!$G$3:$G$11609,"Свега за пројекат 1201-П34:",'[1]ПО КОРИСНИЦИМА'!$H$3:$H$11609)</f>
        <v>#VALUE!</v>
      </c>
      <c r="G452" s="941" t="e">
        <f t="shared" si="12"/>
        <v>#VALUE!</v>
      </c>
      <c r="H452" s="942"/>
    </row>
    <row r="453" spans="1:8" ht="12.75" hidden="1">
      <c r="A453" s="952"/>
      <c r="B453" s="952" t="s">
        <v>671</v>
      </c>
      <c r="C453" s="940">
        <f>_xlfn.IFERROR(VLOOKUP(B453,'[1]ПО КОРИСНИЦИМА'!$C$3:$J$11609,5,FALSE),"")</f>
      </c>
      <c r="D453" s="943" t="e">
        <f>SUMIF('[1]ПО КОРИСНИЦИМА'!$G$3:$G$11609,"Свега за пројекат 1201-П35:",'[1]ПО КОРИСНИЦИМА'!$H$3:$H$11609)</f>
        <v>#VALUE!</v>
      </c>
      <c r="E453" s="938" t="e">
        <f t="shared" si="13"/>
        <v>#VALUE!</v>
      </c>
      <c r="F453" s="1237" t="e">
        <f>SUMIF('[1]ПО КОРИСНИЦИМА'!$G$3:$G$11609,"Свега за пројекат 1201-П35:",'[1]ПО КОРИСНИЦИМА'!$H$3:$H$11609)</f>
        <v>#VALUE!</v>
      </c>
      <c r="G453" s="941" t="e">
        <f aca="true" t="shared" si="14" ref="G453:G516">D453+F453</f>
        <v>#VALUE!</v>
      </c>
      <c r="H453" s="942"/>
    </row>
    <row r="454" spans="1:8" ht="12.75" hidden="1">
      <c r="A454" s="952"/>
      <c r="B454" s="952" t="s">
        <v>672</v>
      </c>
      <c r="C454" s="940">
        <f>_xlfn.IFERROR(VLOOKUP(B454,'[1]ПО КОРИСНИЦИМА'!$C$3:$J$11609,5,FALSE),"")</f>
      </c>
      <c r="D454" s="943" t="e">
        <f>SUMIF('[1]ПО КОРИСНИЦИМА'!$G$3:$G$11609,"Свега за пројекат 1201-П36:",'[1]ПО КОРИСНИЦИМА'!$H$3:$H$11609)</f>
        <v>#VALUE!</v>
      </c>
      <c r="E454" s="938" t="e">
        <f aca="true" t="shared" si="15" ref="E454:E517">D454/483017969</f>
        <v>#VALUE!</v>
      </c>
      <c r="F454" s="1237" t="e">
        <f>SUMIF('[1]ПО КОРИСНИЦИМА'!$G$3:$G$11609,"Свега за пројекат 1201-П36:",'[1]ПО КОРИСНИЦИМА'!$H$3:$H$11609)</f>
        <v>#VALUE!</v>
      </c>
      <c r="G454" s="941" t="e">
        <f t="shared" si="14"/>
        <v>#VALUE!</v>
      </c>
      <c r="H454" s="942"/>
    </row>
    <row r="455" spans="1:8" ht="12.75" hidden="1">
      <c r="A455" s="952"/>
      <c r="B455" s="952" t="s">
        <v>673</v>
      </c>
      <c r="C455" s="940">
        <f>_xlfn.IFERROR(VLOOKUP(B455,'[1]ПО КОРИСНИЦИМА'!$C$3:$J$11609,5,FALSE),"")</f>
      </c>
      <c r="D455" s="943" t="e">
        <f>SUMIF('[1]ПО КОРИСНИЦИМА'!$G$3:$G$11609,"Свега за пројекат 1201-П37:",'[1]ПО КОРИСНИЦИМА'!$H$3:$H$11609)</f>
        <v>#VALUE!</v>
      </c>
      <c r="E455" s="938" t="e">
        <f t="shared" si="15"/>
        <v>#VALUE!</v>
      </c>
      <c r="F455" s="1237" t="e">
        <f>SUMIF('[1]ПО КОРИСНИЦИМА'!$G$3:$G$11609,"Свега за пројекат 1201-П37:",'[1]ПО КОРИСНИЦИМА'!$H$3:$H$11609)</f>
        <v>#VALUE!</v>
      </c>
      <c r="G455" s="941" t="e">
        <f t="shared" si="14"/>
        <v>#VALUE!</v>
      </c>
      <c r="H455" s="942"/>
    </row>
    <row r="456" spans="1:8" ht="12.75" hidden="1">
      <c r="A456" s="952"/>
      <c r="B456" s="952" t="s">
        <v>674</v>
      </c>
      <c r="C456" s="940">
        <f>_xlfn.IFERROR(VLOOKUP(B456,'[1]ПО КОРИСНИЦИМА'!$C$3:$J$11609,5,FALSE),"")</f>
      </c>
      <c r="D456" s="943" t="e">
        <f>SUMIF('[1]ПО КОРИСНИЦИМА'!$G$3:$G$11609,"Свега за пројекат 1201-П38:",'[1]ПО КОРИСНИЦИМА'!$H$3:$H$11609)</f>
        <v>#VALUE!</v>
      </c>
      <c r="E456" s="938" t="e">
        <f t="shared" si="15"/>
        <v>#VALUE!</v>
      </c>
      <c r="F456" s="1237" t="e">
        <f>SUMIF('[1]ПО КОРИСНИЦИМА'!$G$3:$G$11609,"Свега за пројекат 1201-П38:",'[1]ПО КОРИСНИЦИМА'!$H$3:$H$11609)</f>
        <v>#VALUE!</v>
      </c>
      <c r="G456" s="941" t="e">
        <f t="shared" si="14"/>
        <v>#VALUE!</v>
      </c>
      <c r="H456" s="942"/>
    </row>
    <row r="457" spans="1:8" ht="12.75" hidden="1">
      <c r="A457" s="952"/>
      <c r="B457" s="952" t="s">
        <v>675</v>
      </c>
      <c r="C457" s="940">
        <f>_xlfn.IFERROR(VLOOKUP(B457,'[1]ПО КОРИСНИЦИМА'!$C$3:$J$11609,5,FALSE),"")</f>
      </c>
      <c r="D457" s="943" t="e">
        <f>SUMIF('[1]ПО КОРИСНИЦИМА'!$G$3:$G$11609,"Свега за пројекат 1201-П39:",'[1]ПО КОРИСНИЦИМА'!$H$3:$H$11609)</f>
        <v>#VALUE!</v>
      </c>
      <c r="E457" s="938" t="e">
        <f t="shared" si="15"/>
        <v>#VALUE!</v>
      </c>
      <c r="F457" s="1237" t="e">
        <f>SUMIF('[1]ПО КОРИСНИЦИМА'!$G$3:$G$11609,"Свега за пројекат 1201-П39:",'[1]ПО КОРИСНИЦИМА'!$H$3:$H$11609)</f>
        <v>#VALUE!</v>
      </c>
      <c r="G457" s="941" t="e">
        <f t="shared" si="14"/>
        <v>#VALUE!</v>
      </c>
      <c r="H457" s="942"/>
    </row>
    <row r="458" spans="1:8" ht="12.75" hidden="1">
      <c r="A458" s="952"/>
      <c r="B458" s="952" t="s">
        <v>676</v>
      </c>
      <c r="C458" s="940">
        <f>_xlfn.IFERROR(VLOOKUP(B458,'[1]ПО КОРИСНИЦИМА'!$C$3:$J$11609,5,FALSE),"")</f>
      </c>
      <c r="D458" s="943" t="e">
        <f>SUMIF('[1]ПО КОРИСНИЦИМА'!$G$3:$G$11609,"Свега за пројекат 1201-П40:",'[1]ПО КОРИСНИЦИМА'!$H$3:$H$11609)</f>
        <v>#VALUE!</v>
      </c>
      <c r="E458" s="938" t="e">
        <f t="shared" si="15"/>
        <v>#VALUE!</v>
      </c>
      <c r="F458" s="1237" t="e">
        <f>SUMIF('[1]ПО КОРИСНИЦИМА'!$G$3:$G$11609,"Свега за пројекат 1201-П40:",'[1]ПО КОРИСНИЦИМА'!$H$3:$H$11609)</f>
        <v>#VALUE!</v>
      </c>
      <c r="G458" s="941" t="e">
        <f t="shared" si="14"/>
        <v>#VALUE!</v>
      </c>
      <c r="H458" s="942"/>
    </row>
    <row r="459" spans="1:8" ht="12.75" hidden="1">
      <c r="A459" s="952"/>
      <c r="B459" s="952" t="s">
        <v>677</v>
      </c>
      <c r="C459" s="940">
        <f>_xlfn.IFERROR(VLOOKUP(B459,'[1]ПО КОРИСНИЦИМА'!$C$3:$J$11609,5,FALSE),"")</f>
      </c>
      <c r="D459" s="943" t="e">
        <f>SUMIF('[1]ПО КОРИСНИЦИМА'!$G$3:$G$11609,"Свега за пројекат 1201-П41:",'[1]ПО КОРИСНИЦИМА'!$H$3:$H$11609)</f>
        <v>#VALUE!</v>
      </c>
      <c r="E459" s="938" t="e">
        <f t="shared" si="15"/>
        <v>#VALUE!</v>
      </c>
      <c r="F459" s="1237" t="e">
        <f>SUMIF('[1]ПО КОРИСНИЦИМА'!$G$3:$G$11609,"Свега за пројекат 1201-П41:",'[1]ПО КОРИСНИЦИМА'!$H$3:$H$11609)</f>
        <v>#VALUE!</v>
      </c>
      <c r="G459" s="941" t="e">
        <f t="shared" si="14"/>
        <v>#VALUE!</v>
      </c>
      <c r="H459" s="942"/>
    </row>
    <row r="460" spans="1:8" ht="12.75" hidden="1">
      <c r="A460" s="952"/>
      <c r="B460" s="952" t="s">
        <v>678</v>
      </c>
      <c r="C460" s="940">
        <f>_xlfn.IFERROR(VLOOKUP(B460,'[1]ПО КОРИСНИЦИМА'!$C$3:$J$11609,5,FALSE),"")</f>
      </c>
      <c r="D460" s="943" t="e">
        <f>SUMIF('[1]ПО КОРИСНИЦИМА'!$G$3:$G$11609,"Свега за пројекат 1201-П42:",'[1]ПО КОРИСНИЦИМА'!$H$3:$H$11609)</f>
        <v>#VALUE!</v>
      </c>
      <c r="E460" s="938" t="e">
        <f t="shared" si="15"/>
        <v>#VALUE!</v>
      </c>
      <c r="F460" s="1237" t="e">
        <f>SUMIF('[1]ПО КОРИСНИЦИМА'!$G$3:$G$11609,"Свега за пројекат 1201-П42:",'[1]ПО КОРИСНИЦИМА'!$H$3:$H$11609)</f>
        <v>#VALUE!</v>
      </c>
      <c r="G460" s="941" t="e">
        <f t="shared" si="14"/>
        <v>#VALUE!</v>
      </c>
      <c r="H460" s="942"/>
    </row>
    <row r="461" spans="1:8" ht="12.75" hidden="1">
      <c r="A461" s="952"/>
      <c r="B461" s="952" t="s">
        <v>679</v>
      </c>
      <c r="C461" s="940">
        <f>_xlfn.IFERROR(VLOOKUP(B461,'[1]ПО КОРИСНИЦИМА'!$C$3:$J$11609,5,FALSE),"")</f>
      </c>
      <c r="D461" s="943" t="e">
        <f>SUMIF('[1]ПО КОРИСНИЦИМА'!$G$3:$G$11609,"Свега за пројекат 1201-П43:",'[1]ПО КОРИСНИЦИМА'!$H$3:$H$11609)</f>
        <v>#VALUE!</v>
      </c>
      <c r="E461" s="938" t="e">
        <f t="shared" si="15"/>
        <v>#VALUE!</v>
      </c>
      <c r="F461" s="1237" t="e">
        <f>SUMIF('[1]ПО КОРИСНИЦИМА'!$G$3:$G$11609,"Свега за пројекат 1201-П43:",'[1]ПО КОРИСНИЦИМА'!$H$3:$H$11609)</f>
        <v>#VALUE!</v>
      </c>
      <c r="G461" s="941" t="e">
        <f t="shared" si="14"/>
        <v>#VALUE!</v>
      </c>
      <c r="H461" s="942"/>
    </row>
    <row r="462" spans="1:8" ht="12.75" hidden="1">
      <c r="A462" s="952"/>
      <c r="B462" s="952" t="s">
        <v>680</v>
      </c>
      <c r="C462" s="940">
        <f>_xlfn.IFERROR(VLOOKUP(B462,'[1]ПО КОРИСНИЦИМА'!$C$3:$J$11609,5,FALSE),"")</f>
      </c>
      <c r="D462" s="943" t="e">
        <f>SUMIF('[1]ПО КОРИСНИЦИМА'!$G$3:$G$11609,"Свега за пројекат 1201-П44:",'[1]ПО КОРИСНИЦИМА'!$H$3:$H$11609)</f>
        <v>#VALUE!</v>
      </c>
      <c r="E462" s="938" t="e">
        <f t="shared" si="15"/>
        <v>#VALUE!</v>
      </c>
      <c r="F462" s="1237" t="e">
        <f>SUMIF('[1]ПО КОРИСНИЦИМА'!$G$3:$G$11609,"Свега за пројекат 1201-П44:",'[1]ПО КОРИСНИЦИМА'!$H$3:$H$11609)</f>
        <v>#VALUE!</v>
      </c>
      <c r="G462" s="941" t="e">
        <f t="shared" si="14"/>
        <v>#VALUE!</v>
      </c>
      <c r="H462" s="942"/>
    </row>
    <row r="463" spans="1:8" ht="12.75" hidden="1">
      <c r="A463" s="952"/>
      <c r="B463" s="952" t="s">
        <v>681</v>
      </c>
      <c r="C463" s="940">
        <f>_xlfn.IFERROR(VLOOKUP(B463,'[1]ПО КОРИСНИЦИМА'!$C$3:$J$11609,5,FALSE),"")</f>
      </c>
      <c r="D463" s="943" t="e">
        <f>SUMIF('[1]ПО КОРИСНИЦИМА'!$G$3:$G$11609,"Свега за пројекат 1201-П45:",'[1]ПО КОРИСНИЦИМА'!$H$3:$H$11609)</f>
        <v>#VALUE!</v>
      </c>
      <c r="E463" s="938" t="e">
        <f t="shared" si="15"/>
        <v>#VALUE!</v>
      </c>
      <c r="F463" s="1237" t="e">
        <f>SUMIF('[1]ПО КОРИСНИЦИМА'!$G$3:$G$11609,"Свега за пројекат 1201-П45:",'[1]ПО КОРИСНИЦИМА'!$H$3:$H$11609)</f>
        <v>#VALUE!</v>
      </c>
      <c r="G463" s="941" t="e">
        <f t="shared" si="14"/>
        <v>#VALUE!</v>
      </c>
      <c r="H463" s="942"/>
    </row>
    <row r="464" spans="1:8" ht="12.75" hidden="1">
      <c r="A464" s="952"/>
      <c r="B464" s="952" t="s">
        <v>682</v>
      </c>
      <c r="C464" s="940">
        <f>_xlfn.IFERROR(VLOOKUP(B464,'[1]ПО КОРИСНИЦИМА'!$C$3:$J$11609,5,FALSE),"")</f>
      </c>
      <c r="D464" s="943" t="e">
        <f>SUMIF('[1]ПО КОРИСНИЦИМА'!$G$3:$G$11609,"Свега за пројекат 1201-П46:",'[1]ПО КОРИСНИЦИМА'!$H$3:$H$11609)</f>
        <v>#VALUE!</v>
      </c>
      <c r="E464" s="938" t="e">
        <f t="shared" si="15"/>
        <v>#VALUE!</v>
      </c>
      <c r="F464" s="1237" t="e">
        <f>SUMIF('[1]ПО КОРИСНИЦИМА'!$G$3:$G$11609,"Свега за пројекат 1201-П46:",'[1]ПО КОРИСНИЦИМА'!$H$3:$H$11609)</f>
        <v>#VALUE!</v>
      </c>
      <c r="G464" s="941" t="e">
        <f t="shared" si="14"/>
        <v>#VALUE!</v>
      </c>
      <c r="H464" s="942"/>
    </row>
    <row r="465" spans="1:8" ht="12.75" hidden="1">
      <c r="A465" s="952"/>
      <c r="B465" s="952" t="s">
        <v>683</v>
      </c>
      <c r="C465" s="940">
        <f>_xlfn.IFERROR(VLOOKUP(B465,'[1]ПО КОРИСНИЦИМА'!$C$3:$J$11609,5,FALSE),"")</f>
      </c>
      <c r="D465" s="943" t="e">
        <f>SUMIF('[1]ПО КОРИСНИЦИМА'!$G$3:$G$11609,"Свега за пројекат 1201-П47:",'[1]ПО КОРИСНИЦИМА'!$H$3:$H$11609)</f>
        <v>#VALUE!</v>
      </c>
      <c r="E465" s="938" t="e">
        <f t="shared" si="15"/>
        <v>#VALUE!</v>
      </c>
      <c r="F465" s="1237" t="e">
        <f>SUMIF('[1]ПО КОРИСНИЦИМА'!$G$3:$G$11609,"Свега за пројекат 1201-П47:",'[1]ПО КОРИСНИЦИМА'!$H$3:$H$11609)</f>
        <v>#VALUE!</v>
      </c>
      <c r="G465" s="941" t="e">
        <f t="shared" si="14"/>
        <v>#VALUE!</v>
      </c>
      <c r="H465" s="942"/>
    </row>
    <row r="466" spans="1:8" ht="12.75" hidden="1">
      <c r="A466" s="952"/>
      <c r="B466" s="952" t="s">
        <v>684</v>
      </c>
      <c r="C466" s="940">
        <f>_xlfn.IFERROR(VLOOKUP(B466,'[1]ПО КОРИСНИЦИМА'!$C$3:$J$11609,5,FALSE),"")</f>
      </c>
      <c r="D466" s="943" t="e">
        <f>SUMIF('[1]ПО КОРИСНИЦИМА'!$G$3:$G$11609,"Свега за пројекат 1201-П48:",'[1]ПО КОРИСНИЦИМА'!$H$3:$H$11609)</f>
        <v>#VALUE!</v>
      </c>
      <c r="E466" s="938" t="e">
        <f t="shared" si="15"/>
        <v>#VALUE!</v>
      </c>
      <c r="F466" s="1237" t="e">
        <f>SUMIF('[1]ПО КОРИСНИЦИМА'!$G$3:$G$11609,"Свега за пројекат 1201-П48:",'[1]ПО КОРИСНИЦИМА'!$H$3:$H$11609)</f>
        <v>#VALUE!</v>
      </c>
      <c r="G466" s="941" t="e">
        <f t="shared" si="14"/>
        <v>#VALUE!</v>
      </c>
      <c r="H466" s="942"/>
    </row>
    <row r="467" spans="1:8" ht="12.75" hidden="1">
      <c r="A467" s="952"/>
      <c r="B467" s="952" t="s">
        <v>685</v>
      </c>
      <c r="C467" s="940">
        <f>_xlfn.IFERROR(VLOOKUP(B467,'[1]ПО КОРИСНИЦИМА'!$C$3:$J$11609,5,FALSE),"")</f>
      </c>
      <c r="D467" s="943" t="e">
        <f>SUMIF('[1]ПО КОРИСНИЦИМА'!$G$3:$G$11609,"Свега за пројекат 1201-П49:",'[1]ПО КОРИСНИЦИМА'!$H$3:$H$11609)</f>
        <v>#VALUE!</v>
      </c>
      <c r="E467" s="938" t="e">
        <f t="shared" si="15"/>
        <v>#VALUE!</v>
      </c>
      <c r="F467" s="1237" t="e">
        <f>SUMIF('[1]ПО КОРИСНИЦИМА'!$G$3:$G$11609,"Свега за пројекат 1201-П49:",'[1]ПО КОРИСНИЦИМА'!$H$3:$H$11609)</f>
        <v>#VALUE!</v>
      </c>
      <c r="G467" s="941" t="e">
        <f t="shared" si="14"/>
        <v>#VALUE!</v>
      </c>
      <c r="H467" s="942"/>
    </row>
    <row r="468" spans="1:8" ht="12.75" hidden="1">
      <c r="A468" s="952"/>
      <c r="B468" s="952" t="s">
        <v>686</v>
      </c>
      <c r="C468" s="940">
        <f>_xlfn.IFERROR(VLOOKUP(B468,'[1]ПО КОРИСНИЦИМА'!$C$3:$J$11609,5,FALSE),"")</f>
      </c>
      <c r="D468" s="943" t="e">
        <f>SUMIF('[1]ПО КОРИСНИЦИМА'!$G$3:$G$11609,"Свега за пројекат 1201-П50:",'[1]ПО КОРИСНИЦИМА'!$H$3:$H$11609)</f>
        <v>#VALUE!</v>
      </c>
      <c r="E468" s="938" t="e">
        <f t="shared" si="15"/>
        <v>#VALUE!</v>
      </c>
      <c r="F468" s="1237" t="e">
        <f>SUMIF('[1]ПО КОРИСНИЦИМА'!$G$3:$G$11609,"Свега за пројекат 1201-П50:",'[1]ПО КОРИСНИЦИМА'!$H$3:$H$11609)</f>
        <v>#VALUE!</v>
      </c>
      <c r="G468" s="941" t="e">
        <f t="shared" si="14"/>
        <v>#VALUE!</v>
      </c>
      <c r="H468" s="942"/>
    </row>
    <row r="469" spans="1:8" s="306" customFormat="1" ht="12.75">
      <c r="A469" s="934" t="s">
        <v>294</v>
      </c>
      <c r="B469" s="935"/>
      <c r="C469" s="936" t="s">
        <v>9</v>
      </c>
      <c r="D469" s="937">
        <f>SUM(D470:D471)</f>
        <v>8201000</v>
      </c>
      <c r="E469" s="938">
        <f t="shared" si="15"/>
        <v>0.016978664410722988</v>
      </c>
      <c r="F469" s="1235">
        <f>SUM(F470:F471)</f>
        <v>0</v>
      </c>
      <c r="G469" s="937">
        <f t="shared" si="14"/>
        <v>8201000</v>
      </c>
      <c r="H469" s="949"/>
    </row>
    <row r="470" spans="1:8" ht="24">
      <c r="A470" s="960"/>
      <c r="B470" s="952" t="s">
        <v>296</v>
      </c>
      <c r="C470" s="967" t="s">
        <v>310</v>
      </c>
      <c r="D470" s="941">
        <f>Rashodi!M139</f>
        <v>8201000</v>
      </c>
      <c r="E470" s="1242">
        <f t="shared" si="15"/>
        <v>0.016978664410722988</v>
      </c>
      <c r="F470" s="1236">
        <f>Rashodi!T139</f>
        <v>0</v>
      </c>
      <c r="G470" s="962">
        <f t="shared" si="14"/>
        <v>8201000</v>
      </c>
      <c r="H470" s="942" t="s">
        <v>1151</v>
      </c>
    </row>
    <row r="471" spans="1:8" ht="26.25" customHeight="1" hidden="1">
      <c r="A471" s="960"/>
      <c r="B471" s="952"/>
      <c r="C471" s="967"/>
      <c r="D471" s="941"/>
      <c r="E471" s="938">
        <f t="shared" si="15"/>
        <v>0</v>
      </c>
      <c r="F471" s="1236"/>
      <c r="G471" s="962">
        <f t="shared" si="14"/>
        <v>0</v>
      </c>
      <c r="H471" s="942"/>
    </row>
    <row r="472" spans="1:8" ht="12.75" hidden="1">
      <c r="A472" s="960"/>
      <c r="B472" s="952" t="s">
        <v>840</v>
      </c>
      <c r="C472" s="961" t="s">
        <v>841</v>
      </c>
      <c r="D472" s="941"/>
      <c r="E472" s="938">
        <f t="shared" si="15"/>
        <v>0</v>
      </c>
      <c r="F472" s="1236"/>
      <c r="G472" s="962">
        <f t="shared" si="14"/>
        <v>0</v>
      </c>
      <c r="H472" s="942"/>
    </row>
    <row r="473" spans="1:8" ht="12.75" hidden="1">
      <c r="A473" s="952"/>
      <c r="B473" s="952" t="s">
        <v>687</v>
      </c>
      <c r="C473" s="940">
        <f>_xlfn.IFERROR(VLOOKUP(B473,'[1]ПО КОРИСНИЦИМА'!$C$3:$J$11609,5,FALSE),"")</f>
      </c>
      <c r="D473" s="943"/>
      <c r="E473" s="938">
        <f t="shared" si="15"/>
        <v>0</v>
      </c>
      <c r="F473" s="1237"/>
      <c r="G473" s="962">
        <f t="shared" si="14"/>
        <v>0</v>
      </c>
      <c r="H473" s="942"/>
    </row>
    <row r="474" spans="1:8" ht="12.75" hidden="1">
      <c r="A474" s="952"/>
      <c r="B474" s="952" t="s">
        <v>688</v>
      </c>
      <c r="C474" s="940">
        <f>_xlfn.IFERROR(VLOOKUP(B474,'[1]ПО КОРИСНИЦИМА'!$C$3:$J$11609,5,FALSE),"")</f>
      </c>
      <c r="D474" s="943"/>
      <c r="E474" s="938">
        <f t="shared" si="15"/>
        <v>0</v>
      </c>
      <c r="F474" s="1237"/>
      <c r="G474" s="941">
        <f t="shared" si="14"/>
        <v>0</v>
      </c>
      <c r="H474" s="942"/>
    </row>
    <row r="475" spans="1:8" ht="12.75" hidden="1">
      <c r="A475" s="952"/>
      <c r="B475" s="952" t="s">
        <v>689</v>
      </c>
      <c r="C475" s="940">
        <f>_xlfn.IFERROR(VLOOKUP(B475,'[1]ПО КОРИСНИЦИМА'!$C$3:$J$11609,5,FALSE),"")</f>
      </c>
      <c r="D475" s="943"/>
      <c r="E475" s="938">
        <f t="shared" si="15"/>
        <v>0</v>
      </c>
      <c r="F475" s="1237"/>
      <c r="G475" s="941">
        <f t="shared" si="14"/>
        <v>0</v>
      </c>
      <c r="H475" s="942"/>
    </row>
    <row r="476" spans="1:8" ht="12.75" hidden="1">
      <c r="A476" s="952"/>
      <c r="B476" s="952" t="s">
        <v>690</v>
      </c>
      <c r="C476" s="940">
        <f>_xlfn.IFERROR(VLOOKUP(B476,'[1]ПО КОРИСНИЦИМА'!$C$3:$J$11609,5,FALSE),"")</f>
      </c>
      <c r="D476" s="943"/>
      <c r="E476" s="938">
        <f t="shared" si="15"/>
        <v>0</v>
      </c>
      <c r="F476" s="1237"/>
      <c r="G476" s="941">
        <f t="shared" si="14"/>
        <v>0</v>
      </c>
      <c r="H476" s="942"/>
    </row>
    <row r="477" spans="1:8" ht="12.75" hidden="1">
      <c r="A477" s="952"/>
      <c r="B477" s="952" t="s">
        <v>691</v>
      </c>
      <c r="C477" s="940">
        <f>_xlfn.IFERROR(VLOOKUP(B477,'[1]ПО КОРИСНИЦИМА'!$C$3:$J$11609,5,FALSE),"")</f>
      </c>
      <c r="D477" s="943"/>
      <c r="E477" s="938">
        <f t="shared" si="15"/>
        <v>0</v>
      </c>
      <c r="F477" s="1237"/>
      <c r="G477" s="941">
        <f t="shared" si="14"/>
        <v>0</v>
      </c>
      <c r="H477" s="942"/>
    </row>
    <row r="478" spans="1:8" ht="12.75" hidden="1">
      <c r="A478" s="952"/>
      <c r="B478" s="952" t="s">
        <v>692</v>
      </c>
      <c r="C478" s="940">
        <f>_xlfn.IFERROR(VLOOKUP(B478,'[1]ПО КОРИСНИЦИМА'!$C$3:$J$11609,5,FALSE),"")</f>
      </c>
      <c r="D478" s="943"/>
      <c r="E478" s="938">
        <f t="shared" si="15"/>
        <v>0</v>
      </c>
      <c r="F478" s="1237"/>
      <c r="G478" s="941">
        <f t="shared" si="14"/>
        <v>0</v>
      </c>
      <c r="H478" s="942"/>
    </row>
    <row r="479" spans="1:8" ht="12.75" hidden="1">
      <c r="A479" s="952"/>
      <c r="B479" s="952" t="s">
        <v>693</v>
      </c>
      <c r="C479" s="940">
        <f>_xlfn.IFERROR(VLOOKUP(B479,'[1]ПО КОРИСНИЦИМА'!$C$3:$J$11609,5,FALSE),"")</f>
      </c>
      <c r="D479" s="943"/>
      <c r="E479" s="938">
        <f t="shared" si="15"/>
        <v>0</v>
      </c>
      <c r="F479" s="1237"/>
      <c r="G479" s="941">
        <f t="shared" si="14"/>
        <v>0</v>
      </c>
      <c r="H479" s="942"/>
    </row>
    <row r="480" spans="1:8" ht="12.75" hidden="1">
      <c r="A480" s="952"/>
      <c r="B480" s="952" t="s">
        <v>694</v>
      </c>
      <c r="C480" s="940">
        <f>_xlfn.IFERROR(VLOOKUP(B480,'[1]ПО КОРИСНИЦИМА'!$C$3:$J$11609,5,FALSE),"")</f>
      </c>
      <c r="D480" s="943"/>
      <c r="E480" s="938">
        <f t="shared" si="15"/>
        <v>0</v>
      </c>
      <c r="F480" s="1237"/>
      <c r="G480" s="941">
        <f t="shared" si="14"/>
        <v>0</v>
      </c>
      <c r="H480" s="942"/>
    </row>
    <row r="481" spans="1:8" ht="12.75" hidden="1">
      <c r="A481" s="952"/>
      <c r="B481" s="952" t="s">
        <v>695</v>
      </c>
      <c r="C481" s="940">
        <f>_xlfn.IFERROR(VLOOKUP(B481,'[1]ПО КОРИСНИЦИМА'!$C$3:$J$11609,5,FALSE),"")</f>
      </c>
      <c r="D481" s="943" t="e">
        <f>SUMIF('[1]ПО КОРИСНИЦИМА'!$G$3:$G$11609,"Свега за пројекат 1301-П9:",'[1]ПО КОРИСНИЦИМА'!$H$3:$H$11609)</f>
        <v>#VALUE!</v>
      </c>
      <c r="E481" s="938" t="e">
        <f t="shared" si="15"/>
        <v>#VALUE!</v>
      </c>
      <c r="F481" s="1237" t="e">
        <f>SUMIF('[1]ПО КОРИСНИЦИМА'!$G$3:$G$11609,"Свега за пројекат 1301-П9:",'[1]ПО КОРИСНИЦИМА'!$H$3:$H$11609)</f>
        <v>#VALUE!</v>
      </c>
      <c r="G481" s="941" t="e">
        <f t="shared" si="14"/>
        <v>#VALUE!</v>
      </c>
      <c r="H481" s="942"/>
    </row>
    <row r="482" spans="1:8" ht="12.75" hidden="1">
      <c r="A482" s="952"/>
      <c r="B482" s="952" t="s">
        <v>696</v>
      </c>
      <c r="C482" s="940">
        <f>_xlfn.IFERROR(VLOOKUP(B482,'[1]ПО КОРИСНИЦИМА'!$C$3:$J$11609,5,FALSE),"")</f>
      </c>
      <c r="D482" s="943" t="e">
        <f>SUMIF('[1]ПО КОРИСНИЦИМА'!$G$3:$G$11609,"Свега за пројекат 1301-П10:",'[1]ПО КОРИСНИЦИМА'!$H$3:$H$11609)</f>
        <v>#VALUE!</v>
      </c>
      <c r="E482" s="938" t="e">
        <f t="shared" si="15"/>
        <v>#VALUE!</v>
      </c>
      <c r="F482" s="1237" t="e">
        <f>SUMIF('[1]ПО КОРИСНИЦИМА'!$G$3:$G$11609,"Свега за пројекат 1301-П10:",'[1]ПО КОРИСНИЦИМА'!$H$3:$H$11609)</f>
        <v>#VALUE!</v>
      </c>
      <c r="G482" s="941" t="e">
        <f t="shared" si="14"/>
        <v>#VALUE!</v>
      </c>
      <c r="H482" s="942"/>
    </row>
    <row r="483" spans="1:8" ht="12.75" hidden="1">
      <c r="A483" s="952"/>
      <c r="B483" s="952" t="s">
        <v>697</v>
      </c>
      <c r="C483" s="940">
        <f>_xlfn.IFERROR(VLOOKUP(B483,'[1]ПО КОРИСНИЦИМА'!$C$3:$J$11609,5,FALSE),"")</f>
      </c>
      <c r="D483" s="943" t="e">
        <f>SUMIF('[1]ПО КОРИСНИЦИМА'!$G$3:$G$11609,"Свега за пројекат 1301-П11:",'[1]ПО КОРИСНИЦИМА'!$H$3:$H$11609)</f>
        <v>#VALUE!</v>
      </c>
      <c r="E483" s="938" t="e">
        <f t="shared" si="15"/>
        <v>#VALUE!</v>
      </c>
      <c r="F483" s="1237" t="e">
        <f>SUMIF('[1]ПО КОРИСНИЦИМА'!$G$3:$G$11609,"Свега за пројекат 1301-П11:",'[1]ПО КОРИСНИЦИМА'!$H$3:$H$11609)</f>
        <v>#VALUE!</v>
      </c>
      <c r="G483" s="941" t="e">
        <f t="shared" si="14"/>
        <v>#VALUE!</v>
      </c>
      <c r="H483" s="942"/>
    </row>
    <row r="484" spans="1:8" ht="12.75" hidden="1">
      <c r="A484" s="952"/>
      <c r="B484" s="952" t="s">
        <v>698</v>
      </c>
      <c r="C484" s="940">
        <f>_xlfn.IFERROR(VLOOKUP(B484,'[1]ПО КОРИСНИЦИМА'!$C$3:$J$11609,5,FALSE),"")</f>
      </c>
      <c r="D484" s="943" t="e">
        <f>SUMIF('[1]ПО КОРИСНИЦИМА'!$G$3:$G$11609,"Свега за пројекат 1301-П12:",'[1]ПО КОРИСНИЦИМА'!$H$3:$H$11609)</f>
        <v>#VALUE!</v>
      </c>
      <c r="E484" s="938" t="e">
        <f t="shared" si="15"/>
        <v>#VALUE!</v>
      </c>
      <c r="F484" s="1237" t="e">
        <f>SUMIF('[1]ПО КОРИСНИЦИМА'!$G$3:$G$11609,"Свега за пројекат 1301-П12:",'[1]ПО КОРИСНИЦИМА'!$H$3:$H$11609)</f>
        <v>#VALUE!</v>
      </c>
      <c r="G484" s="941" t="e">
        <f t="shared" si="14"/>
        <v>#VALUE!</v>
      </c>
      <c r="H484" s="942"/>
    </row>
    <row r="485" spans="1:8" ht="12.75" hidden="1">
      <c r="A485" s="952"/>
      <c r="B485" s="952" t="s">
        <v>699</v>
      </c>
      <c r="C485" s="940">
        <f>_xlfn.IFERROR(VLOOKUP(B485,'[1]ПО КОРИСНИЦИМА'!$C$3:$J$11609,5,FALSE),"")</f>
      </c>
      <c r="D485" s="943" t="e">
        <f>SUMIF('[1]ПО КОРИСНИЦИМА'!$G$3:$G$11609,"Свега за пројекат 1301-П13:",'[1]ПО КОРИСНИЦИМА'!$H$3:$H$11609)</f>
        <v>#VALUE!</v>
      </c>
      <c r="E485" s="938" t="e">
        <f t="shared" si="15"/>
        <v>#VALUE!</v>
      </c>
      <c r="F485" s="1237" t="e">
        <f>SUMIF('[1]ПО КОРИСНИЦИМА'!$G$3:$G$11609,"Свега за пројекат 1301-П13:",'[1]ПО КОРИСНИЦИМА'!$H$3:$H$11609)</f>
        <v>#VALUE!</v>
      </c>
      <c r="G485" s="941" t="e">
        <f t="shared" si="14"/>
        <v>#VALUE!</v>
      </c>
      <c r="H485" s="942"/>
    </row>
    <row r="486" spans="1:8" ht="12.75" hidden="1">
      <c r="A486" s="952"/>
      <c r="B486" s="952" t="s">
        <v>700</v>
      </c>
      <c r="C486" s="940">
        <f>_xlfn.IFERROR(VLOOKUP(B486,'[1]ПО КОРИСНИЦИМА'!$C$3:$J$11609,5,FALSE),"")</f>
      </c>
      <c r="D486" s="943" t="e">
        <f>SUMIF('[1]ПО КОРИСНИЦИМА'!$G$3:$G$11609,"Свега за пројекат 1301-П14:",'[1]ПО КОРИСНИЦИМА'!$H$3:$H$11609)</f>
        <v>#VALUE!</v>
      </c>
      <c r="E486" s="938" t="e">
        <f t="shared" si="15"/>
        <v>#VALUE!</v>
      </c>
      <c r="F486" s="1237" t="e">
        <f>SUMIF('[1]ПО КОРИСНИЦИМА'!$G$3:$G$11609,"Свега за пројекат 1301-П14:",'[1]ПО КОРИСНИЦИМА'!$H$3:$H$11609)</f>
        <v>#VALUE!</v>
      </c>
      <c r="G486" s="941" t="e">
        <f t="shared" si="14"/>
        <v>#VALUE!</v>
      </c>
      <c r="H486" s="942"/>
    </row>
    <row r="487" spans="1:8" ht="12.75" hidden="1">
      <c r="A487" s="952"/>
      <c r="B487" s="952" t="s">
        <v>701</v>
      </c>
      <c r="C487" s="940">
        <f>_xlfn.IFERROR(VLOOKUP(B487,'[1]ПО КОРИСНИЦИМА'!$C$3:$J$11609,5,FALSE),"")</f>
      </c>
      <c r="D487" s="943" t="e">
        <f>SUMIF('[1]ПО КОРИСНИЦИМА'!$G$3:$G$11609,"Свега за пројекат 1301-П15:",'[1]ПО КОРИСНИЦИМА'!$H$3:$H$11609)</f>
        <v>#VALUE!</v>
      </c>
      <c r="E487" s="938" t="e">
        <f t="shared" si="15"/>
        <v>#VALUE!</v>
      </c>
      <c r="F487" s="1237" t="e">
        <f>SUMIF('[1]ПО КОРИСНИЦИМА'!$G$3:$G$11609,"Свега за пројекат 1301-П15:",'[1]ПО КОРИСНИЦИМА'!$H$3:$H$11609)</f>
        <v>#VALUE!</v>
      </c>
      <c r="G487" s="941" t="e">
        <f t="shared" si="14"/>
        <v>#VALUE!</v>
      </c>
      <c r="H487" s="942"/>
    </row>
    <row r="488" spans="1:8" ht="12.75" hidden="1">
      <c r="A488" s="952"/>
      <c r="B488" s="952" t="s">
        <v>702</v>
      </c>
      <c r="C488" s="940">
        <f>_xlfn.IFERROR(VLOOKUP(B488,'[1]ПО КОРИСНИЦИМА'!$C$3:$J$11609,5,FALSE),"")</f>
      </c>
      <c r="D488" s="943" t="e">
        <f>SUMIF('[1]ПО КОРИСНИЦИМА'!$G$3:$G$11609,"Свега за пројекат 1301-П16:",'[1]ПО КОРИСНИЦИМА'!$H$3:$H$11609)</f>
        <v>#VALUE!</v>
      </c>
      <c r="E488" s="938" t="e">
        <f t="shared" si="15"/>
        <v>#VALUE!</v>
      </c>
      <c r="F488" s="1237" t="e">
        <f>SUMIF('[1]ПО КОРИСНИЦИМА'!$G$3:$G$11609,"Свега за пројекат 1301-П16:",'[1]ПО КОРИСНИЦИМА'!$H$3:$H$11609)</f>
        <v>#VALUE!</v>
      </c>
      <c r="G488" s="941" t="e">
        <f t="shared" si="14"/>
        <v>#VALUE!</v>
      </c>
      <c r="H488" s="942"/>
    </row>
    <row r="489" spans="1:8" ht="12.75" hidden="1">
      <c r="A489" s="952"/>
      <c r="B489" s="952" t="s">
        <v>703</v>
      </c>
      <c r="C489" s="940">
        <f>_xlfn.IFERROR(VLOOKUP(B489,'[1]ПО КОРИСНИЦИМА'!$C$3:$J$11609,5,FALSE),"")</f>
      </c>
      <c r="D489" s="943" t="e">
        <f>SUMIF('[1]ПО КОРИСНИЦИМА'!$G$3:$G$11609,"Свега за пројекат 1301-П17:",'[1]ПО КОРИСНИЦИМА'!$H$3:$H$11609)</f>
        <v>#VALUE!</v>
      </c>
      <c r="E489" s="938" t="e">
        <f t="shared" si="15"/>
        <v>#VALUE!</v>
      </c>
      <c r="F489" s="1237" t="e">
        <f>SUMIF('[1]ПО КОРИСНИЦИМА'!$G$3:$G$11609,"Свега за пројекат 1301-П17:",'[1]ПО КОРИСНИЦИМА'!$H$3:$H$11609)</f>
        <v>#VALUE!</v>
      </c>
      <c r="G489" s="941" t="e">
        <f t="shared" si="14"/>
        <v>#VALUE!</v>
      </c>
      <c r="H489" s="942"/>
    </row>
    <row r="490" spans="1:8" ht="12.75" hidden="1">
      <c r="A490" s="952"/>
      <c r="B490" s="952" t="s">
        <v>704</v>
      </c>
      <c r="C490" s="940">
        <f>_xlfn.IFERROR(VLOOKUP(B490,'[1]ПО КОРИСНИЦИМА'!$C$3:$J$11609,5,FALSE),"")</f>
      </c>
      <c r="D490" s="943" t="e">
        <f>SUMIF('[1]ПО КОРИСНИЦИМА'!$G$3:$G$11609,"Свега за пројекат 1301-П18:",'[1]ПО КОРИСНИЦИМА'!$H$3:$H$11609)</f>
        <v>#VALUE!</v>
      </c>
      <c r="E490" s="938" t="e">
        <f t="shared" si="15"/>
        <v>#VALUE!</v>
      </c>
      <c r="F490" s="1237" t="e">
        <f>SUMIF('[1]ПО КОРИСНИЦИМА'!$G$3:$G$11609,"Свега за пројекат 1301-П18:",'[1]ПО КОРИСНИЦИМА'!$H$3:$H$11609)</f>
        <v>#VALUE!</v>
      </c>
      <c r="G490" s="941" t="e">
        <f t="shared" si="14"/>
        <v>#VALUE!</v>
      </c>
      <c r="H490" s="942"/>
    </row>
    <row r="491" spans="1:8" ht="12.75" hidden="1">
      <c r="A491" s="952"/>
      <c r="B491" s="952" t="s">
        <v>705</v>
      </c>
      <c r="C491" s="940">
        <f>_xlfn.IFERROR(VLOOKUP(B491,'[1]ПО КОРИСНИЦИМА'!$C$3:$J$11609,5,FALSE),"")</f>
      </c>
      <c r="D491" s="943" t="e">
        <f>SUMIF('[1]ПО КОРИСНИЦИМА'!$G$3:$G$11609,"Свега за пројекат 1301-П19:",'[1]ПО КОРИСНИЦИМА'!$H$3:$H$11609)</f>
        <v>#VALUE!</v>
      </c>
      <c r="E491" s="938" t="e">
        <f t="shared" si="15"/>
        <v>#VALUE!</v>
      </c>
      <c r="F491" s="1237" t="e">
        <f>SUMIF('[1]ПО КОРИСНИЦИМА'!$G$3:$G$11609,"Свега за пројекат 1301-П19:",'[1]ПО КОРИСНИЦИМА'!$H$3:$H$11609)</f>
        <v>#VALUE!</v>
      </c>
      <c r="G491" s="941" t="e">
        <f t="shared" si="14"/>
        <v>#VALUE!</v>
      </c>
      <c r="H491" s="942"/>
    </row>
    <row r="492" spans="1:8" ht="12.75" hidden="1">
      <c r="A492" s="952"/>
      <c r="B492" s="952" t="s">
        <v>706</v>
      </c>
      <c r="C492" s="940">
        <f>_xlfn.IFERROR(VLOOKUP(B492,'[1]ПО КОРИСНИЦИМА'!$C$3:$J$11609,5,FALSE),"")</f>
      </c>
      <c r="D492" s="943" t="e">
        <f>SUMIF('[1]ПО КОРИСНИЦИМА'!$G$3:$G$11609,"Свега за пројекат 1301-П20:",'[1]ПО КОРИСНИЦИМА'!$H$3:$H$11609)</f>
        <v>#VALUE!</v>
      </c>
      <c r="E492" s="938" t="e">
        <f t="shared" si="15"/>
        <v>#VALUE!</v>
      </c>
      <c r="F492" s="1237" t="e">
        <f>SUMIF('[1]ПО КОРИСНИЦИМА'!$G$3:$G$11609,"Свега за пројекат 1301-П20:",'[1]ПО КОРИСНИЦИМА'!$H$3:$H$11609)</f>
        <v>#VALUE!</v>
      </c>
      <c r="G492" s="941" t="e">
        <f t="shared" si="14"/>
        <v>#VALUE!</v>
      </c>
      <c r="H492" s="942"/>
    </row>
    <row r="493" spans="1:8" ht="12.75" hidden="1">
      <c r="A493" s="952"/>
      <c r="B493" s="952" t="s">
        <v>707</v>
      </c>
      <c r="C493" s="940">
        <f>_xlfn.IFERROR(VLOOKUP(B493,'[1]ПО КОРИСНИЦИМА'!$C$3:$J$11609,5,FALSE),"")</f>
      </c>
      <c r="D493" s="943" t="e">
        <f>SUMIF('[1]ПО КОРИСНИЦИМА'!$G$3:$G$11609,"Свега за пројекат 1301-П21:",'[1]ПО КОРИСНИЦИМА'!$H$3:$H$11609)</f>
        <v>#VALUE!</v>
      </c>
      <c r="E493" s="938" t="e">
        <f t="shared" si="15"/>
        <v>#VALUE!</v>
      </c>
      <c r="F493" s="1237" t="e">
        <f>SUMIF('[1]ПО КОРИСНИЦИМА'!$G$3:$G$11609,"Свега за пројекат 1301-П21:",'[1]ПО КОРИСНИЦИМА'!$H$3:$H$11609)</f>
        <v>#VALUE!</v>
      </c>
      <c r="G493" s="941" t="e">
        <f t="shared" si="14"/>
        <v>#VALUE!</v>
      </c>
      <c r="H493" s="942"/>
    </row>
    <row r="494" spans="1:8" ht="12.75" hidden="1">
      <c r="A494" s="952"/>
      <c r="B494" s="952" t="s">
        <v>708</v>
      </c>
      <c r="C494" s="940">
        <f>_xlfn.IFERROR(VLOOKUP(B494,'[1]ПО КОРИСНИЦИМА'!$C$3:$J$11609,5,FALSE),"")</f>
      </c>
      <c r="D494" s="943" t="e">
        <f>SUMIF('[1]ПО КОРИСНИЦИМА'!$G$3:$G$11609,"Свега за пројекат 1301-П22:",'[1]ПО КОРИСНИЦИМА'!$H$3:$H$11609)</f>
        <v>#VALUE!</v>
      </c>
      <c r="E494" s="938" t="e">
        <f t="shared" si="15"/>
        <v>#VALUE!</v>
      </c>
      <c r="F494" s="1237" t="e">
        <f>SUMIF('[1]ПО КОРИСНИЦИМА'!$G$3:$G$11609,"Свега за пројекат 1301-П22:",'[1]ПО КОРИСНИЦИМА'!$H$3:$H$11609)</f>
        <v>#VALUE!</v>
      </c>
      <c r="G494" s="941" t="e">
        <f t="shared" si="14"/>
        <v>#VALUE!</v>
      </c>
      <c r="H494" s="942"/>
    </row>
    <row r="495" spans="1:8" ht="12.75" hidden="1">
      <c r="A495" s="952"/>
      <c r="B495" s="952" t="s">
        <v>709</v>
      </c>
      <c r="C495" s="940">
        <f>_xlfn.IFERROR(VLOOKUP(B495,'[1]ПО КОРИСНИЦИМА'!$C$3:$J$11609,5,FALSE),"")</f>
      </c>
      <c r="D495" s="943" t="e">
        <f>SUMIF('[1]ПО КОРИСНИЦИМА'!$G$3:$G$11609,"Свега за пројекат 1301-П23:",'[1]ПО КОРИСНИЦИМА'!$H$3:$H$11609)</f>
        <v>#VALUE!</v>
      </c>
      <c r="E495" s="938" t="e">
        <f t="shared" si="15"/>
        <v>#VALUE!</v>
      </c>
      <c r="F495" s="1237" t="e">
        <f>SUMIF('[1]ПО КОРИСНИЦИМА'!$G$3:$G$11609,"Свега за пројекат 1301-П23:",'[1]ПО КОРИСНИЦИМА'!$H$3:$H$11609)</f>
        <v>#VALUE!</v>
      </c>
      <c r="G495" s="941" t="e">
        <f t="shared" si="14"/>
        <v>#VALUE!</v>
      </c>
      <c r="H495" s="942"/>
    </row>
    <row r="496" spans="1:8" ht="12.75" hidden="1">
      <c r="A496" s="952"/>
      <c r="B496" s="952" t="s">
        <v>710</v>
      </c>
      <c r="C496" s="940">
        <f>_xlfn.IFERROR(VLOOKUP(B496,'[1]ПО КОРИСНИЦИМА'!$C$3:$J$11609,5,FALSE),"")</f>
      </c>
      <c r="D496" s="943" t="e">
        <f>SUMIF('[1]ПО КОРИСНИЦИМА'!$G$3:$G$11609,"Свега за пројекат 1301-П24:",'[1]ПО КОРИСНИЦИМА'!$H$3:$H$11609)</f>
        <v>#VALUE!</v>
      </c>
      <c r="E496" s="938" t="e">
        <f t="shared" si="15"/>
        <v>#VALUE!</v>
      </c>
      <c r="F496" s="1237" t="e">
        <f>SUMIF('[1]ПО КОРИСНИЦИМА'!$G$3:$G$11609,"Свега за пројекат 1301-П24:",'[1]ПО КОРИСНИЦИМА'!$H$3:$H$11609)</f>
        <v>#VALUE!</v>
      </c>
      <c r="G496" s="941" t="e">
        <f t="shared" si="14"/>
        <v>#VALUE!</v>
      </c>
      <c r="H496" s="942"/>
    </row>
    <row r="497" spans="1:8" ht="12.75" hidden="1">
      <c r="A497" s="952"/>
      <c r="B497" s="952" t="s">
        <v>711</v>
      </c>
      <c r="C497" s="940">
        <f>_xlfn.IFERROR(VLOOKUP(B497,'[1]ПО КОРИСНИЦИМА'!$C$3:$J$11609,5,FALSE),"")</f>
      </c>
      <c r="D497" s="943" t="e">
        <f>SUMIF('[1]ПО КОРИСНИЦИМА'!$G$3:$G$11609,"Свега за пројекат 1301-П25:",'[1]ПО КОРИСНИЦИМА'!$H$3:$H$11609)</f>
        <v>#VALUE!</v>
      </c>
      <c r="E497" s="938" t="e">
        <f t="shared" si="15"/>
        <v>#VALUE!</v>
      </c>
      <c r="F497" s="1237" t="e">
        <f>SUMIF('[1]ПО КОРИСНИЦИМА'!$G$3:$G$11609,"Свега за пројекат 1301-П25:",'[1]ПО КОРИСНИЦИМА'!$H$3:$H$11609)</f>
        <v>#VALUE!</v>
      </c>
      <c r="G497" s="941" t="e">
        <f t="shared" si="14"/>
        <v>#VALUE!</v>
      </c>
      <c r="H497" s="942"/>
    </row>
    <row r="498" spans="1:8" ht="12.75" hidden="1">
      <c r="A498" s="952"/>
      <c r="B498" s="952" t="s">
        <v>712</v>
      </c>
      <c r="C498" s="940">
        <f>_xlfn.IFERROR(VLOOKUP(B498,'[1]ПО КОРИСНИЦИМА'!$C$3:$J$11609,5,FALSE),"")</f>
      </c>
      <c r="D498" s="943" t="e">
        <f>SUMIF('[1]ПО КОРИСНИЦИМА'!$G$3:$G$11609,"Свега за пројекат 1301-П26:",'[1]ПО КОРИСНИЦИМА'!$H$3:$H$11609)</f>
        <v>#VALUE!</v>
      </c>
      <c r="E498" s="938" t="e">
        <f t="shared" si="15"/>
        <v>#VALUE!</v>
      </c>
      <c r="F498" s="1237" t="e">
        <f>SUMIF('[1]ПО КОРИСНИЦИМА'!$G$3:$G$11609,"Свега за пројекат 1301-П26:",'[1]ПО КОРИСНИЦИМА'!$H$3:$H$11609)</f>
        <v>#VALUE!</v>
      </c>
      <c r="G498" s="941" t="e">
        <f t="shared" si="14"/>
        <v>#VALUE!</v>
      </c>
      <c r="H498" s="942"/>
    </row>
    <row r="499" spans="1:8" ht="12.75" hidden="1">
      <c r="A499" s="952"/>
      <c r="B499" s="952" t="s">
        <v>713</v>
      </c>
      <c r="C499" s="940">
        <f>_xlfn.IFERROR(VLOOKUP(B499,'[1]ПО КОРИСНИЦИМА'!$C$3:$J$11609,5,FALSE),"")</f>
      </c>
      <c r="D499" s="943" t="e">
        <f>SUMIF('[1]ПО КОРИСНИЦИМА'!$G$3:$G$11609,"Свега за пројекат 1301-П27:",'[1]ПО КОРИСНИЦИМА'!$H$3:$H$11609)</f>
        <v>#VALUE!</v>
      </c>
      <c r="E499" s="938" t="e">
        <f t="shared" si="15"/>
        <v>#VALUE!</v>
      </c>
      <c r="F499" s="1237" t="e">
        <f>SUMIF('[1]ПО КОРИСНИЦИМА'!$G$3:$G$11609,"Свега за пројекат 1301-П27:",'[1]ПО КОРИСНИЦИМА'!$H$3:$H$11609)</f>
        <v>#VALUE!</v>
      </c>
      <c r="G499" s="941" t="e">
        <f t="shared" si="14"/>
        <v>#VALUE!</v>
      </c>
      <c r="H499" s="942"/>
    </row>
    <row r="500" spans="1:8" ht="12.75" hidden="1">
      <c r="A500" s="952"/>
      <c r="B500" s="952" t="s">
        <v>714</v>
      </c>
      <c r="C500" s="940">
        <f>_xlfn.IFERROR(VLOOKUP(B500,'[1]ПО КОРИСНИЦИМА'!$C$3:$J$11609,5,FALSE),"")</f>
      </c>
      <c r="D500" s="943" t="e">
        <f>SUMIF('[1]ПО КОРИСНИЦИМА'!$G$3:$G$11609,"Свега за пројекат 1301-П28:",'[1]ПО КОРИСНИЦИМА'!$H$3:$H$11609)</f>
        <v>#VALUE!</v>
      </c>
      <c r="E500" s="938" t="e">
        <f t="shared" si="15"/>
        <v>#VALUE!</v>
      </c>
      <c r="F500" s="1237" t="e">
        <f>SUMIF('[1]ПО КОРИСНИЦИМА'!$G$3:$G$11609,"Свега за пројекат 1301-П28:",'[1]ПО КОРИСНИЦИМА'!$H$3:$H$11609)</f>
        <v>#VALUE!</v>
      </c>
      <c r="G500" s="941" t="e">
        <f t="shared" si="14"/>
        <v>#VALUE!</v>
      </c>
      <c r="H500" s="942"/>
    </row>
    <row r="501" spans="1:8" ht="12.75" hidden="1">
      <c r="A501" s="952"/>
      <c r="B501" s="952" t="s">
        <v>715</v>
      </c>
      <c r="C501" s="940">
        <f>_xlfn.IFERROR(VLOOKUP(B501,'[1]ПО КОРИСНИЦИМА'!$C$3:$J$11609,5,FALSE),"")</f>
      </c>
      <c r="D501" s="943" t="e">
        <f>SUMIF('[1]ПО КОРИСНИЦИМА'!$G$3:$G$11609,"Свега за пројекат 1301-П29:",'[1]ПО КОРИСНИЦИМА'!$H$3:$H$11609)</f>
        <v>#VALUE!</v>
      </c>
      <c r="E501" s="938" t="e">
        <f t="shared" si="15"/>
        <v>#VALUE!</v>
      </c>
      <c r="F501" s="1237" t="e">
        <f>SUMIF('[1]ПО КОРИСНИЦИМА'!$G$3:$G$11609,"Свега за пројекат 1301-П29:",'[1]ПО КОРИСНИЦИМА'!$H$3:$H$11609)</f>
        <v>#VALUE!</v>
      </c>
      <c r="G501" s="941" t="e">
        <f t="shared" si="14"/>
        <v>#VALUE!</v>
      </c>
      <c r="H501" s="942"/>
    </row>
    <row r="502" spans="1:8" ht="12.75" hidden="1">
      <c r="A502" s="952"/>
      <c r="B502" s="952" t="s">
        <v>716</v>
      </c>
      <c r="C502" s="940">
        <f>_xlfn.IFERROR(VLOOKUP(B502,'[1]ПО КОРИСНИЦИМА'!$C$3:$J$11609,5,FALSE),"")</f>
      </c>
      <c r="D502" s="943" t="e">
        <f>SUMIF('[1]ПО КОРИСНИЦИМА'!$G$3:$G$11609,"Свега за пројекат 1301-П30:",'[1]ПО КОРИСНИЦИМА'!$H$3:$H$11609)</f>
        <v>#VALUE!</v>
      </c>
      <c r="E502" s="938" t="e">
        <f t="shared" si="15"/>
        <v>#VALUE!</v>
      </c>
      <c r="F502" s="1237" t="e">
        <f>SUMIF('[1]ПО КОРИСНИЦИМА'!$G$3:$G$11609,"Свега за пројекат 1301-П30:",'[1]ПО КОРИСНИЦИМА'!$H$3:$H$11609)</f>
        <v>#VALUE!</v>
      </c>
      <c r="G502" s="941" t="e">
        <f t="shared" si="14"/>
        <v>#VALUE!</v>
      </c>
      <c r="H502" s="942"/>
    </row>
    <row r="503" spans="1:8" ht="12.75" hidden="1">
      <c r="A503" s="952"/>
      <c r="B503" s="952" t="s">
        <v>717</v>
      </c>
      <c r="C503" s="940">
        <f>_xlfn.IFERROR(VLOOKUP(B503,'[1]ПО КОРИСНИЦИМА'!$C$3:$J$11609,5,FALSE),"")</f>
      </c>
      <c r="D503" s="943" t="e">
        <f>SUMIF('[1]ПО КОРИСНИЦИМА'!$G$3:$G$11609,"Свега за пројекат 1301-П31:",'[1]ПО КОРИСНИЦИМА'!$H$3:$H$11609)</f>
        <v>#VALUE!</v>
      </c>
      <c r="E503" s="938" t="e">
        <f t="shared" si="15"/>
        <v>#VALUE!</v>
      </c>
      <c r="F503" s="1237" t="e">
        <f>SUMIF('[1]ПО КОРИСНИЦИМА'!$G$3:$G$11609,"Свега за пројекат 1301-П31:",'[1]ПО КОРИСНИЦИМА'!$H$3:$H$11609)</f>
        <v>#VALUE!</v>
      </c>
      <c r="G503" s="941" t="e">
        <f t="shared" si="14"/>
        <v>#VALUE!</v>
      </c>
      <c r="H503" s="942"/>
    </row>
    <row r="504" spans="1:8" ht="12.75" hidden="1">
      <c r="A504" s="952"/>
      <c r="B504" s="952" t="s">
        <v>718</v>
      </c>
      <c r="C504" s="940">
        <f>_xlfn.IFERROR(VLOOKUP(B504,'[1]ПО КОРИСНИЦИМА'!$C$3:$J$11609,5,FALSE),"")</f>
      </c>
      <c r="D504" s="943" t="e">
        <f>SUMIF('[1]ПО КОРИСНИЦИМА'!$G$3:$G$11609,"Свега за пројекат 1301-П32:",'[1]ПО КОРИСНИЦИМА'!$H$3:$H$11609)</f>
        <v>#VALUE!</v>
      </c>
      <c r="E504" s="938" t="e">
        <f t="shared" si="15"/>
        <v>#VALUE!</v>
      </c>
      <c r="F504" s="1237" t="e">
        <f>SUMIF('[1]ПО КОРИСНИЦИМА'!$G$3:$G$11609,"Свега за пројекат 1301-П32:",'[1]ПО КОРИСНИЦИМА'!$H$3:$H$11609)</f>
        <v>#VALUE!</v>
      </c>
      <c r="G504" s="941" t="e">
        <f t="shared" si="14"/>
        <v>#VALUE!</v>
      </c>
      <c r="H504" s="942"/>
    </row>
    <row r="505" spans="1:8" ht="12.75" hidden="1">
      <c r="A505" s="952"/>
      <c r="B505" s="952" t="s">
        <v>719</v>
      </c>
      <c r="C505" s="940">
        <f>_xlfn.IFERROR(VLOOKUP(B505,'[1]ПО КОРИСНИЦИМА'!$C$3:$J$11609,5,FALSE),"")</f>
      </c>
      <c r="D505" s="943" t="e">
        <f>SUMIF('[1]ПО КОРИСНИЦИМА'!$G$3:$G$11609,"Свега за пројекат 1301-П33:",'[1]ПО КОРИСНИЦИМА'!$H$3:$H$11609)</f>
        <v>#VALUE!</v>
      </c>
      <c r="E505" s="938" t="e">
        <f t="shared" si="15"/>
        <v>#VALUE!</v>
      </c>
      <c r="F505" s="1237" t="e">
        <f>SUMIF('[1]ПО КОРИСНИЦИМА'!$G$3:$G$11609,"Свега за пројекат 1301-П33:",'[1]ПО КОРИСНИЦИМА'!$H$3:$H$11609)</f>
        <v>#VALUE!</v>
      </c>
      <c r="G505" s="941" t="e">
        <f t="shared" si="14"/>
        <v>#VALUE!</v>
      </c>
      <c r="H505" s="942"/>
    </row>
    <row r="506" spans="1:8" ht="12.75" hidden="1">
      <c r="A506" s="952"/>
      <c r="B506" s="952" t="s">
        <v>720</v>
      </c>
      <c r="C506" s="940">
        <f>_xlfn.IFERROR(VLOOKUP(B506,'[1]ПО КОРИСНИЦИМА'!$C$3:$J$11609,5,FALSE),"")</f>
      </c>
      <c r="D506" s="943" t="e">
        <f>SUMIF('[1]ПО КОРИСНИЦИМА'!$G$3:$G$11609,"Свега за пројекат 1301-П34:",'[1]ПО КОРИСНИЦИМА'!$H$3:$H$11609)</f>
        <v>#VALUE!</v>
      </c>
      <c r="E506" s="938" t="e">
        <f t="shared" si="15"/>
        <v>#VALUE!</v>
      </c>
      <c r="F506" s="1237" t="e">
        <f>SUMIF('[1]ПО КОРИСНИЦИМА'!$G$3:$G$11609,"Свега за пројекат 1301-П34:",'[1]ПО КОРИСНИЦИМА'!$H$3:$H$11609)</f>
        <v>#VALUE!</v>
      </c>
      <c r="G506" s="941" t="e">
        <f t="shared" si="14"/>
        <v>#VALUE!</v>
      </c>
      <c r="H506" s="942"/>
    </row>
    <row r="507" spans="1:8" ht="12.75" hidden="1">
      <c r="A507" s="952"/>
      <c r="B507" s="952" t="s">
        <v>721</v>
      </c>
      <c r="C507" s="940">
        <f>_xlfn.IFERROR(VLOOKUP(B507,'[1]ПО КОРИСНИЦИМА'!$C$3:$J$11609,5,FALSE),"")</f>
      </c>
      <c r="D507" s="943" t="e">
        <f>SUMIF('[1]ПО КОРИСНИЦИМА'!$G$3:$G$11609,"Свега за пројекат 1301-П35:",'[1]ПО КОРИСНИЦИМА'!$H$3:$H$11609)</f>
        <v>#VALUE!</v>
      </c>
      <c r="E507" s="938" t="e">
        <f t="shared" si="15"/>
        <v>#VALUE!</v>
      </c>
      <c r="F507" s="1237" t="e">
        <f>SUMIF('[1]ПО КОРИСНИЦИМА'!$G$3:$G$11609,"Свега за пројекат 1301-П35:",'[1]ПО КОРИСНИЦИМА'!$H$3:$H$11609)</f>
        <v>#VALUE!</v>
      </c>
      <c r="G507" s="941" t="e">
        <f t="shared" si="14"/>
        <v>#VALUE!</v>
      </c>
      <c r="H507" s="942"/>
    </row>
    <row r="508" spans="1:8" ht="12.75" hidden="1">
      <c r="A508" s="952"/>
      <c r="B508" s="952" t="s">
        <v>722</v>
      </c>
      <c r="C508" s="940">
        <f>_xlfn.IFERROR(VLOOKUP(B508,'[1]ПО КОРИСНИЦИМА'!$C$3:$J$11609,5,FALSE),"")</f>
      </c>
      <c r="D508" s="943" t="e">
        <f>SUMIF('[1]ПО КОРИСНИЦИМА'!$G$3:$G$11609,"Свега за пројекат 1301-П36:",'[1]ПО КОРИСНИЦИМА'!$H$3:$H$11609)</f>
        <v>#VALUE!</v>
      </c>
      <c r="E508" s="938" t="e">
        <f t="shared" si="15"/>
        <v>#VALUE!</v>
      </c>
      <c r="F508" s="1237" t="e">
        <f>SUMIF('[1]ПО КОРИСНИЦИМА'!$G$3:$G$11609,"Свега за пројекат 1301-П36:",'[1]ПО КОРИСНИЦИМА'!$H$3:$H$11609)</f>
        <v>#VALUE!</v>
      </c>
      <c r="G508" s="941" t="e">
        <f t="shared" si="14"/>
        <v>#VALUE!</v>
      </c>
      <c r="H508" s="942"/>
    </row>
    <row r="509" spans="1:8" ht="12.75" hidden="1">
      <c r="A509" s="952"/>
      <c r="B509" s="952" t="s">
        <v>723</v>
      </c>
      <c r="C509" s="940">
        <f>_xlfn.IFERROR(VLOOKUP(B509,'[1]ПО КОРИСНИЦИМА'!$C$3:$J$11609,5,FALSE),"")</f>
      </c>
      <c r="D509" s="943" t="e">
        <f>SUMIF('[1]ПО КОРИСНИЦИМА'!$G$3:$G$11609,"Свега за пројекат 1301-П37:",'[1]ПО КОРИСНИЦИМА'!$H$3:$H$11609)</f>
        <v>#VALUE!</v>
      </c>
      <c r="E509" s="938" t="e">
        <f t="shared" si="15"/>
        <v>#VALUE!</v>
      </c>
      <c r="F509" s="1237" t="e">
        <f>SUMIF('[1]ПО КОРИСНИЦИМА'!$G$3:$G$11609,"Свега за пројекат 1301-П37:",'[1]ПО КОРИСНИЦИМА'!$H$3:$H$11609)</f>
        <v>#VALUE!</v>
      </c>
      <c r="G509" s="941" t="e">
        <f t="shared" si="14"/>
        <v>#VALUE!</v>
      </c>
      <c r="H509" s="942"/>
    </row>
    <row r="510" spans="1:8" ht="12.75" hidden="1">
      <c r="A510" s="952"/>
      <c r="B510" s="952" t="s">
        <v>724</v>
      </c>
      <c r="C510" s="940">
        <f>_xlfn.IFERROR(VLOOKUP(B510,'[1]ПО КОРИСНИЦИМА'!$C$3:$J$11609,5,FALSE),"")</f>
      </c>
      <c r="D510" s="943" t="e">
        <f>SUMIF('[1]ПО КОРИСНИЦИМА'!$G$3:$G$11609,"Свега за пројекат 1301-П38:",'[1]ПО КОРИСНИЦИМА'!$H$3:$H$11609)</f>
        <v>#VALUE!</v>
      </c>
      <c r="E510" s="938" t="e">
        <f t="shared" si="15"/>
        <v>#VALUE!</v>
      </c>
      <c r="F510" s="1237" t="e">
        <f>SUMIF('[1]ПО КОРИСНИЦИМА'!$G$3:$G$11609,"Свега за пројекат 1301-П38:",'[1]ПО КОРИСНИЦИМА'!$H$3:$H$11609)</f>
        <v>#VALUE!</v>
      </c>
      <c r="G510" s="941" t="e">
        <f t="shared" si="14"/>
        <v>#VALUE!</v>
      </c>
      <c r="H510" s="942"/>
    </row>
    <row r="511" spans="1:8" ht="12.75" hidden="1">
      <c r="A511" s="952"/>
      <c r="B511" s="952" t="s">
        <v>725</v>
      </c>
      <c r="C511" s="940">
        <f>_xlfn.IFERROR(VLOOKUP(B511,'[1]ПО КОРИСНИЦИМА'!$C$3:$J$11609,5,FALSE),"")</f>
      </c>
      <c r="D511" s="943" t="e">
        <f>SUMIF('[1]ПО КОРИСНИЦИМА'!$G$3:$G$11609,"Свега за пројекат 1301-П39:",'[1]ПО КОРИСНИЦИМА'!$H$3:$H$11609)</f>
        <v>#VALUE!</v>
      </c>
      <c r="E511" s="938" t="e">
        <f t="shared" si="15"/>
        <v>#VALUE!</v>
      </c>
      <c r="F511" s="1237" t="e">
        <f>SUMIF('[1]ПО КОРИСНИЦИМА'!$G$3:$G$11609,"Свега за пројекат 1301-П39:",'[1]ПО КОРИСНИЦИМА'!$H$3:$H$11609)</f>
        <v>#VALUE!</v>
      </c>
      <c r="G511" s="941" t="e">
        <f t="shared" si="14"/>
        <v>#VALUE!</v>
      </c>
      <c r="H511" s="942"/>
    </row>
    <row r="512" spans="1:8" ht="12.75" hidden="1">
      <c r="A512" s="952"/>
      <c r="B512" s="952" t="s">
        <v>726</v>
      </c>
      <c r="C512" s="940">
        <f>_xlfn.IFERROR(VLOOKUP(B512,'[1]ПО КОРИСНИЦИМА'!$C$3:$J$11609,5,FALSE),"")</f>
      </c>
      <c r="D512" s="943" t="e">
        <f>SUMIF('[1]ПО КОРИСНИЦИМА'!$G$3:$G$11609,"Свега за пројекат 1301-П40:",'[1]ПО КОРИСНИЦИМА'!$H$3:$H$11609)</f>
        <v>#VALUE!</v>
      </c>
      <c r="E512" s="938" t="e">
        <f t="shared" si="15"/>
        <v>#VALUE!</v>
      </c>
      <c r="F512" s="1237" t="e">
        <f>SUMIF('[1]ПО КОРИСНИЦИМА'!$G$3:$G$11609,"Свега за пројекат 1301-П40:",'[1]ПО КОРИСНИЦИМА'!$H$3:$H$11609)</f>
        <v>#VALUE!</v>
      </c>
      <c r="G512" s="941" t="e">
        <f t="shared" si="14"/>
        <v>#VALUE!</v>
      </c>
      <c r="H512" s="942"/>
    </row>
    <row r="513" spans="1:8" ht="12.75" hidden="1">
      <c r="A513" s="952"/>
      <c r="B513" s="952" t="s">
        <v>727</v>
      </c>
      <c r="C513" s="940">
        <f>_xlfn.IFERROR(VLOOKUP(B513,'[1]ПО КОРИСНИЦИМА'!$C$3:$J$11609,5,FALSE),"")</f>
      </c>
      <c r="D513" s="943" t="e">
        <f>SUMIF('[1]ПО КОРИСНИЦИМА'!$G$3:$G$11609,"Свега за пројекат 1301-П41:",'[1]ПО КОРИСНИЦИМА'!$H$3:$H$11609)</f>
        <v>#VALUE!</v>
      </c>
      <c r="E513" s="938" t="e">
        <f t="shared" si="15"/>
        <v>#VALUE!</v>
      </c>
      <c r="F513" s="1237" t="e">
        <f>SUMIF('[1]ПО КОРИСНИЦИМА'!$G$3:$G$11609,"Свега за пројекат 1301-П41:",'[1]ПО КОРИСНИЦИМА'!$H$3:$H$11609)</f>
        <v>#VALUE!</v>
      </c>
      <c r="G513" s="941" t="e">
        <f t="shared" si="14"/>
        <v>#VALUE!</v>
      </c>
      <c r="H513" s="942"/>
    </row>
    <row r="514" spans="1:8" ht="12.75" hidden="1">
      <c r="A514" s="952"/>
      <c r="B514" s="952" t="s">
        <v>728</v>
      </c>
      <c r="C514" s="940">
        <f>_xlfn.IFERROR(VLOOKUP(B514,'[1]ПО КОРИСНИЦИМА'!$C$3:$J$11609,5,FALSE),"")</f>
      </c>
      <c r="D514" s="943" t="e">
        <f>SUMIF('[1]ПО КОРИСНИЦИМА'!$G$3:$G$11609,"Свега за пројекат 1301-П42:",'[1]ПО КОРИСНИЦИМА'!$H$3:$H$11609)</f>
        <v>#VALUE!</v>
      </c>
      <c r="E514" s="938" t="e">
        <f t="shared" si="15"/>
        <v>#VALUE!</v>
      </c>
      <c r="F514" s="1237" t="e">
        <f>SUMIF('[1]ПО КОРИСНИЦИМА'!$G$3:$G$11609,"Свега за пројекат 1301-П42:",'[1]ПО КОРИСНИЦИМА'!$H$3:$H$11609)</f>
        <v>#VALUE!</v>
      </c>
      <c r="G514" s="941" t="e">
        <f t="shared" si="14"/>
        <v>#VALUE!</v>
      </c>
      <c r="H514" s="942"/>
    </row>
    <row r="515" spans="1:8" ht="12.75" hidden="1">
      <c r="A515" s="952"/>
      <c r="B515" s="952" t="s">
        <v>729</v>
      </c>
      <c r="C515" s="940">
        <f>_xlfn.IFERROR(VLOOKUP(B515,'[1]ПО КОРИСНИЦИМА'!$C$3:$J$11609,5,FALSE),"")</f>
      </c>
      <c r="D515" s="943" t="e">
        <f>SUMIF('[1]ПО КОРИСНИЦИМА'!$G$3:$G$11609,"Свега за пројекат 1301-П43:",'[1]ПО КОРИСНИЦИМА'!$H$3:$H$11609)</f>
        <v>#VALUE!</v>
      </c>
      <c r="E515" s="938" t="e">
        <f t="shared" si="15"/>
        <v>#VALUE!</v>
      </c>
      <c r="F515" s="1237" t="e">
        <f>SUMIF('[1]ПО КОРИСНИЦИМА'!$G$3:$G$11609,"Свега за пројекат 1301-П43:",'[1]ПО КОРИСНИЦИМА'!$H$3:$H$11609)</f>
        <v>#VALUE!</v>
      </c>
      <c r="G515" s="941" t="e">
        <f t="shared" si="14"/>
        <v>#VALUE!</v>
      </c>
      <c r="H515" s="942"/>
    </row>
    <row r="516" spans="1:8" ht="12.75" hidden="1">
      <c r="A516" s="952"/>
      <c r="B516" s="952" t="s">
        <v>730</v>
      </c>
      <c r="C516" s="940">
        <f>_xlfn.IFERROR(VLOOKUP(B516,'[1]ПО КОРИСНИЦИМА'!$C$3:$J$11609,5,FALSE),"")</f>
      </c>
      <c r="D516" s="943" t="e">
        <f>SUMIF('[1]ПО КОРИСНИЦИМА'!$G$3:$G$11609,"Свега за пројекат 1301-П44:",'[1]ПО КОРИСНИЦИМА'!$H$3:$H$11609)</f>
        <v>#VALUE!</v>
      </c>
      <c r="E516" s="938" t="e">
        <f t="shared" si="15"/>
        <v>#VALUE!</v>
      </c>
      <c r="F516" s="1237" t="e">
        <f>SUMIF('[1]ПО КОРИСНИЦИМА'!$G$3:$G$11609,"Свега за пројекат 1301-П44:",'[1]ПО КОРИСНИЦИМА'!$H$3:$H$11609)</f>
        <v>#VALUE!</v>
      </c>
      <c r="G516" s="941" t="e">
        <f t="shared" si="14"/>
        <v>#VALUE!</v>
      </c>
      <c r="H516" s="942"/>
    </row>
    <row r="517" spans="1:8" ht="12.75" hidden="1">
      <c r="A517" s="952"/>
      <c r="B517" s="952" t="s">
        <v>731</v>
      </c>
      <c r="C517" s="940">
        <f>_xlfn.IFERROR(VLOOKUP(B517,'[1]ПО КОРИСНИЦИМА'!$C$3:$J$11609,5,FALSE),"")</f>
      </c>
      <c r="D517" s="943" t="e">
        <f>SUMIF('[1]ПО КОРИСНИЦИМА'!$G$3:$G$11609,"Свега за пројекат 1301-П45:",'[1]ПО КОРИСНИЦИМА'!$H$3:$H$11609)</f>
        <v>#VALUE!</v>
      </c>
      <c r="E517" s="938" t="e">
        <f t="shared" si="15"/>
        <v>#VALUE!</v>
      </c>
      <c r="F517" s="1237" t="e">
        <f>SUMIF('[1]ПО КОРИСНИЦИМА'!$G$3:$G$11609,"Свега за пројекат 1301-П45:",'[1]ПО КОРИСНИЦИМА'!$H$3:$H$11609)</f>
        <v>#VALUE!</v>
      </c>
      <c r="G517" s="941" t="e">
        <f aca="true" t="shared" si="16" ref="G517:G579">D517+F517</f>
        <v>#VALUE!</v>
      </c>
      <c r="H517" s="942"/>
    </row>
    <row r="518" spans="1:8" ht="12.75" hidden="1">
      <c r="A518" s="952"/>
      <c r="B518" s="952" t="s">
        <v>732</v>
      </c>
      <c r="C518" s="940">
        <f>_xlfn.IFERROR(VLOOKUP(B518,'[1]ПО КОРИСНИЦИМА'!$C$3:$J$11609,5,FALSE),"")</f>
      </c>
      <c r="D518" s="943" t="e">
        <f>SUMIF('[1]ПО КОРИСНИЦИМА'!$G$3:$G$11609,"Свега за пројекат 1301-П46:",'[1]ПО КОРИСНИЦИМА'!$H$3:$H$11609)</f>
        <v>#VALUE!</v>
      </c>
      <c r="E518" s="938" t="e">
        <f aca="true" t="shared" si="17" ref="E518:E581">D518/483017969</f>
        <v>#VALUE!</v>
      </c>
      <c r="F518" s="1237" t="e">
        <f>SUMIF('[1]ПО КОРИСНИЦИМА'!$G$3:$G$11609,"Свега за пројекат 1301-П46:",'[1]ПО КОРИСНИЦИМА'!$H$3:$H$11609)</f>
        <v>#VALUE!</v>
      </c>
      <c r="G518" s="941" t="e">
        <f t="shared" si="16"/>
        <v>#VALUE!</v>
      </c>
      <c r="H518" s="942"/>
    </row>
    <row r="519" spans="1:8" ht="12.75" hidden="1">
      <c r="A519" s="952"/>
      <c r="B519" s="952" t="s">
        <v>733</v>
      </c>
      <c r="C519" s="940">
        <f>_xlfn.IFERROR(VLOOKUP(B519,'[1]ПО КОРИСНИЦИМА'!$C$3:$J$11609,5,FALSE),"")</f>
      </c>
      <c r="D519" s="943" t="e">
        <f>SUMIF('[1]ПО КОРИСНИЦИМА'!$G$3:$G$11609,"Свега за пројекат 1301-П47:",'[1]ПО КОРИСНИЦИМА'!$H$3:$H$11609)</f>
        <v>#VALUE!</v>
      </c>
      <c r="E519" s="938" t="e">
        <f t="shared" si="17"/>
        <v>#VALUE!</v>
      </c>
      <c r="F519" s="1237" t="e">
        <f>SUMIF('[1]ПО КОРИСНИЦИМА'!$G$3:$G$11609,"Свега за пројекат 1301-П47:",'[1]ПО КОРИСНИЦИМА'!$H$3:$H$11609)</f>
        <v>#VALUE!</v>
      </c>
      <c r="G519" s="941" t="e">
        <f t="shared" si="16"/>
        <v>#VALUE!</v>
      </c>
      <c r="H519" s="942"/>
    </row>
    <row r="520" spans="1:8" ht="12.75" hidden="1">
      <c r="A520" s="952"/>
      <c r="B520" s="952" t="s">
        <v>734</v>
      </c>
      <c r="C520" s="940">
        <f>_xlfn.IFERROR(VLOOKUP(B520,'[1]ПО КОРИСНИЦИМА'!$C$3:$J$11609,5,FALSE),"")</f>
      </c>
      <c r="D520" s="943" t="e">
        <f>SUMIF('[1]ПО КОРИСНИЦИМА'!$G$3:$G$11609,"Свега за пројекат 1301-П48:",'[1]ПО КОРИСНИЦИМА'!$H$3:$H$11609)</f>
        <v>#VALUE!</v>
      </c>
      <c r="E520" s="938" t="e">
        <f t="shared" si="17"/>
        <v>#VALUE!</v>
      </c>
      <c r="F520" s="1237" t="e">
        <f>SUMIF('[1]ПО КОРИСНИЦИМА'!$G$3:$G$11609,"Свега за пројекат 1301-П48:",'[1]ПО КОРИСНИЦИМА'!$H$3:$H$11609)</f>
        <v>#VALUE!</v>
      </c>
      <c r="G520" s="941" t="e">
        <f t="shared" si="16"/>
        <v>#VALUE!</v>
      </c>
      <c r="H520" s="942"/>
    </row>
    <row r="521" spans="1:8" ht="12.75" hidden="1">
      <c r="A521" s="952"/>
      <c r="B521" s="952" t="s">
        <v>735</v>
      </c>
      <c r="C521" s="940">
        <f>_xlfn.IFERROR(VLOOKUP(B521,'[1]ПО КОРИСНИЦИМА'!$C$3:$J$11609,5,FALSE),"")</f>
      </c>
      <c r="D521" s="943" t="e">
        <f>SUMIF('[1]ПО КОРИСНИЦИМА'!$G$3:$G$11609,"Свега за пројекат 1301-П49:",'[1]ПО КОРИСНИЦИМА'!$H$3:$H$11609)</f>
        <v>#VALUE!</v>
      </c>
      <c r="E521" s="938" t="e">
        <f t="shared" si="17"/>
        <v>#VALUE!</v>
      </c>
      <c r="F521" s="1237" t="e">
        <f>SUMIF('[1]ПО КОРИСНИЦИМА'!$G$3:$G$11609,"Свега за пројекат 1301-П49:",'[1]ПО КОРИСНИЦИМА'!$H$3:$H$11609)</f>
        <v>#VALUE!</v>
      </c>
      <c r="G521" s="941" t="e">
        <f t="shared" si="16"/>
        <v>#VALUE!</v>
      </c>
      <c r="H521" s="942"/>
    </row>
    <row r="522" spans="1:8" ht="12.75" hidden="1">
      <c r="A522" s="952"/>
      <c r="B522" s="952" t="s">
        <v>736</v>
      </c>
      <c r="C522" s="940">
        <f>_xlfn.IFERROR(VLOOKUP(B522,'[1]ПО КОРИСНИЦИМА'!$C$3:$J$11609,5,FALSE),"")</f>
      </c>
      <c r="D522" s="943" t="e">
        <f>SUMIF('[1]ПО КОРИСНИЦИМА'!$G$3:$G$11609,"Свега за пројекат 1301-П50:",'[1]ПО КОРИСНИЦИМА'!$H$3:$H$11609)</f>
        <v>#VALUE!</v>
      </c>
      <c r="E522" s="938" t="e">
        <f t="shared" si="17"/>
        <v>#VALUE!</v>
      </c>
      <c r="F522" s="1237" t="e">
        <f>SUMIF('[1]ПО КОРИСНИЦИМА'!$G$3:$G$11609,"Свега за пројекат 1301-П50:",'[1]ПО КОРИСНИЦИМА'!$H$3:$H$11609)</f>
        <v>#VALUE!</v>
      </c>
      <c r="G522" s="941" t="e">
        <f t="shared" si="16"/>
        <v>#VALUE!</v>
      </c>
      <c r="H522" s="942"/>
    </row>
    <row r="523" spans="1:8" s="306" customFormat="1" ht="12.75">
      <c r="A523" s="934" t="s">
        <v>279</v>
      </c>
      <c r="B523" s="935"/>
      <c r="C523" s="936" t="s">
        <v>10</v>
      </c>
      <c r="D523" s="937">
        <f>SUM(D524:D538)</f>
        <v>123875277</v>
      </c>
      <c r="E523" s="938">
        <f t="shared" si="17"/>
        <v>0.2564610117020305</v>
      </c>
      <c r="F523" s="1235">
        <f>SUM(F524:F538)</f>
        <v>15550734.47</v>
      </c>
      <c r="G523" s="937">
        <f t="shared" si="16"/>
        <v>139426011.47</v>
      </c>
      <c r="H523" s="949"/>
    </row>
    <row r="524" spans="1:8" ht="24">
      <c r="A524" s="960"/>
      <c r="B524" s="957" t="s">
        <v>281</v>
      </c>
      <c r="C524" s="968" t="s">
        <v>842</v>
      </c>
      <c r="D524" s="941">
        <f>Rashodi!M74</f>
        <v>99333741</v>
      </c>
      <c r="E524" s="1242">
        <f t="shared" si="17"/>
        <v>0.20565226839418058</v>
      </c>
      <c r="F524" s="1236">
        <f>Rashodi!T74</f>
        <v>9752765.47</v>
      </c>
      <c r="G524" s="962">
        <f t="shared" si="16"/>
        <v>109086506.47</v>
      </c>
      <c r="H524" s="942" t="s">
        <v>1150</v>
      </c>
    </row>
    <row r="525" spans="1:8" ht="12.75">
      <c r="A525" s="960"/>
      <c r="B525" s="957" t="s">
        <v>292</v>
      </c>
      <c r="C525" s="944" t="s">
        <v>1307</v>
      </c>
      <c r="D525" s="941">
        <f>Rashodi!M410+Rashodi!M422+Rashodi!M438+Rashodi!M449+Rashodi!M462+Rashodi!M475+Rashodi!M488</f>
        <v>15740536</v>
      </c>
      <c r="E525" s="1242">
        <f t="shared" si="17"/>
        <v>0.03258788908534374</v>
      </c>
      <c r="F525" s="1236">
        <f>Rashodi!T410+Rashodi!T422+Rashodi!T438+Rashodi!T449+Rashodi!T462+Rashodi!T475+Rashodi!T488</f>
        <v>5797969</v>
      </c>
      <c r="G525" s="962">
        <f t="shared" si="16"/>
        <v>21538505</v>
      </c>
      <c r="H525" s="942" t="s">
        <v>1150</v>
      </c>
    </row>
    <row r="526" spans="1:8" ht="12.75" hidden="1">
      <c r="A526" s="960"/>
      <c r="B526" s="957" t="s">
        <v>843</v>
      </c>
      <c r="C526" s="944" t="s">
        <v>844</v>
      </c>
      <c r="D526" s="941"/>
      <c r="E526" s="1242">
        <f t="shared" si="17"/>
        <v>0</v>
      </c>
      <c r="F526" s="1236"/>
      <c r="G526" s="962">
        <f t="shared" si="16"/>
        <v>0</v>
      </c>
      <c r="H526" s="942"/>
    </row>
    <row r="527" spans="1:8" ht="12.75">
      <c r="A527" s="960"/>
      <c r="B527" s="957" t="s">
        <v>845</v>
      </c>
      <c r="C527" s="944" t="s">
        <v>1239</v>
      </c>
      <c r="D527" s="941">
        <f>Rashodi!M31</f>
        <v>671000</v>
      </c>
      <c r="E527" s="1242">
        <f t="shared" si="17"/>
        <v>0.0013891822728441807</v>
      </c>
      <c r="F527" s="1236">
        <f>Rashodi!T31</f>
        <v>0</v>
      </c>
      <c r="G527" s="962">
        <f t="shared" si="16"/>
        <v>671000</v>
      </c>
      <c r="H527" s="942" t="s">
        <v>1150</v>
      </c>
    </row>
    <row r="528" spans="1:8" ht="12.75" hidden="1">
      <c r="A528" s="960"/>
      <c r="B528" s="957" t="s">
        <v>846</v>
      </c>
      <c r="C528" s="944" t="s">
        <v>1144</v>
      </c>
      <c r="D528" s="941"/>
      <c r="E528" s="1242">
        <f t="shared" si="17"/>
        <v>0</v>
      </c>
      <c r="F528" s="1236"/>
      <c r="G528" s="962">
        <f t="shared" si="16"/>
        <v>0</v>
      </c>
      <c r="H528" s="942" t="s">
        <v>1150</v>
      </c>
    </row>
    <row r="529" spans="1:8" ht="12.75" hidden="1">
      <c r="A529" s="960"/>
      <c r="B529" s="957"/>
      <c r="C529" s="944"/>
      <c r="D529" s="941"/>
      <c r="E529" s="1242">
        <f t="shared" si="17"/>
        <v>0</v>
      </c>
      <c r="F529" s="1236"/>
      <c r="G529" s="962">
        <f t="shared" si="16"/>
        <v>0</v>
      </c>
      <c r="H529" s="942" t="s">
        <v>1150</v>
      </c>
    </row>
    <row r="530" spans="1:8" ht="12.75" hidden="1">
      <c r="A530" s="960"/>
      <c r="B530" s="957" t="s">
        <v>847</v>
      </c>
      <c r="C530" s="944" t="s">
        <v>1143</v>
      </c>
      <c r="D530" s="941"/>
      <c r="E530" s="1242">
        <f t="shared" si="17"/>
        <v>0</v>
      </c>
      <c r="F530" s="1236"/>
      <c r="G530" s="962">
        <f t="shared" si="16"/>
        <v>0</v>
      </c>
      <c r="H530" s="942" t="s">
        <v>1150</v>
      </c>
    </row>
    <row r="531" spans="1:8" ht="12.75">
      <c r="A531" s="960"/>
      <c r="B531" s="957" t="s">
        <v>847</v>
      </c>
      <c r="C531" s="944" t="s">
        <v>1240</v>
      </c>
      <c r="D531" s="941">
        <f>Rashodi!M26</f>
        <v>200000</v>
      </c>
      <c r="E531" s="1242">
        <f t="shared" si="17"/>
        <v>0.00041406327059439064</v>
      </c>
      <c r="F531" s="1236">
        <f>Rashodi!T26</f>
        <v>0</v>
      </c>
      <c r="G531" s="962">
        <f t="shared" si="16"/>
        <v>200000</v>
      </c>
      <c r="H531" s="942" t="s">
        <v>1150</v>
      </c>
    </row>
    <row r="532" spans="1:8" ht="12.75" hidden="1">
      <c r="A532" s="960"/>
      <c r="B532" s="957" t="s">
        <v>848</v>
      </c>
      <c r="C532" s="944" t="s">
        <v>849</v>
      </c>
      <c r="D532" s="941"/>
      <c r="E532" s="1242">
        <f t="shared" si="17"/>
        <v>0</v>
      </c>
      <c r="F532" s="1236"/>
      <c r="G532" s="962">
        <f t="shared" si="16"/>
        <v>0</v>
      </c>
      <c r="H532" s="942" t="s">
        <v>1150</v>
      </c>
    </row>
    <row r="533" spans="1:8" ht="12.75">
      <c r="A533" s="960"/>
      <c r="B533" s="957" t="s">
        <v>848</v>
      </c>
      <c r="C533" s="944" t="s">
        <v>1187</v>
      </c>
      <c r="D533" s="941">
        <f>Rashodi!M127</f>
        <v>3000000</v>
      </c>
      <c r="E533" s="1242">
        <f t="shared" si="17"/>
        <v>0.0062109490589158595</v>
      </c>
      <c r="F533" s="1236">
        <f>Rashodi!T127</f>
        <v>0</v>
      </c>
      <c r="G533" s="962">
        <f t="shared" si="16"/>
        <v>3000000</v>
      </c>
      <c r="H533" s="942" t="s">
        <v>1150</v>
      </c>
    </row>
    <row r="534" spans="1:8" ht="12.75">
      <c r="A534" s="960"/>
      <c r="B534" s="957" t="s">
        <v>282</v>
      </c>
      <c r="C534" s="944" t="s">
        <v>1188</v>
      </c>
      <c r="D534" s="941">
        <f>Rashodi!M124</f>
        <v>500000</v>
      </c>
      <c r="E534" s="1242">
        <f t="shared" si="17"/>
        <v>0.0010351581764859767</v>
      </c>
      <c r="F534" s="1236">
        <f>Rashodi!T124</f>
        <v>0</v>
      </c>
      <c r="G534" s="962">
        <f t="shared" si="16"/>
        <v>500000</v>
      </c>
      <c r="H534" s="942" t="s">
        <v>1150</v>
      </c>
    </row>
    <row r="535" spans="1:8" ht="12.75" hidden="1">
      <c r="A535" s="960"/>
      <c r="B535" s="957" t="s">
        <v>737</v>
      </c>
      <c r="C535" s="940">
        <f>_xlfn.IFERROR(VLOOKUP(B535,'[1]ПО КОРИСНИЦИМА'!$C$3:$J$11609,5,FALSE),"")</f>
      </c>
      <c r="D535" s="943"/>
      <c r="E535" s="1242">
        <f t="shared" si="17"/>
        <v>0</v>
      </c>
      <c r="F535" s="1237"/>
      <c r="G535" s="962">
        <f t="shared" si="16"/>
        <v>0</v>
      </c>
      <c r="H535" s="942" t="s">
        <v>1150</v>
      </c>
    </row>
    <row r="536" spans="1:8" ht="12.75">
      <c r="A536" s="960"/>
      <c r="B536" s="957" t="s">
        <v>1189</v>
      </c>
      <c r="C536" s="940" t="s">
        <v>1241</v>
      </c>
      <c r="D536" s="943">
        <f>Rashodi!M117</f>
        <v>1880000</v>
      </c>
      <c r="E536" s="1242">
        <f t="shared" si="17"/>
        <v>0.0038921947435872723</v>
      </c>
      <c r="F536" s="1237">
        <f>Rashodi!T117</f>
        <v>0</v>
      </c>
      <c r="G536" s="962">
        <f t="shared" si="16"/>
        <v>1880000</v>
      </c>
      <c r="H536" s="942" t="s">
        <v>1150</v>
      </c>
    </row>
    <row r="537" spans="1:8" ht="36">
      <c r="A537" s="960"/>
      <c r="B537" s="957" t="s">
        <v>737</v>
      </c>
      <c r="C537" s="948" t="s">
        <v>1153</v>
      </c>
      <c r="D537" s="943">
        <f>Rashodi!M106</f>
        <v>2550000</v>
      </c>
      <c r="E537" s="1242">
        <f t="shared" si="17"/>
        <v>0.0052793067000784805</v>
      </c>
      <c r="F537" s="1237">
        <f>Rashodi!T106</f>
        <v>0</v>
      </c>
      <c r="G537" s="962">
        <f t="shared" si="16"/>
        <v>2550000</v>
      </c>
      <c r="H537" s="942" t="s">
        <v>1150</v>
      </c>
    </row>
    <row r="538" spans="1:8" ht="12.75">
      <c r="A538" s="960"/>
      <c r="B538" s="957" t="s">
        <v>738</v>
      </c>
      <c r="C538" s="940" t="s">
        <v>1245</v>
      </c>
      <c r="D538" s="943">
        <f>Rashodi!M112</f>
        <v>0</v>
      </c>
      <c r="E538" s="1242">
        <f t="shared" si="17"/>
        <v>0</v>
      </c>
      <c r="F538" s="1237">
        <f>Rashodi!T112</f>
        <v>0</v>
      </c>
      <c r="G538" s="962">
        <f t="shared" si="16"/>
        <v>0</v>
      </c>
      <c r="H538" s="942" t="s">
        <v>1150</v>
      </c>
    </row>
    <row r="539" spans="1:8" ht="12.75" hidden="1">
      <c r="A539" s="960"/>
      <c r="B539" s="957" t="s">
        <v>739</v>
      </c>
      <c r="C539" s="940">
        <f>_xlfn.IFERROR(VLOOKUP(B539,'[1]ПО КОРИСНИЦИМА'!$C$3:$J$11609,5,FALSE),"")</f>
      </c>
      <c r="D539" s="943"/>
      <c r="E539" s="938">
        <f t="shared" si="17"/>
        <v>0</v>
      </c>
      <c r="F539" s="1237"/>
      <c r="G539" s="962">
        <f t="shared" si="16"/>
        <v>0</v>
      </c>
      <c r="H539" s="942"/>
    </row>
    <row r="540" spans="1:8" ht="12.75" hidden="1">
      <c r="A540" s="960"/>
      <c r="B540" s="957" t="s">
        <v>740</v>
      </c>
      <c r="C540" s="940">
        <f>_xlfn.IFERROR(VLOOKUP(B540,'[1]ПО КОРИСНИЦИМА'!$C$3:$J$11609,5,FALSE),"")</f>
      </c>
      <c r="D540" s="943"/>
      <c r="E540" s="938">
        <f t="shared" si="17"/>
        <v>0</v>
      </c>
      <c r="F540" s="1237"/>
      <c r="G540" s="962">
        <f t="shared" si="16"/>
        <v>0</v>
      </c>
      <c r="H540" s="942"/>
    </row>
    <row r="541" spans="1:8" ht="12.75" hidden="1">
      <c r="A541" s="960"/>
      <c r="B541" s="957" t="s">
        <v>741</v>
      </c>
      <c r="C541" s="940">
        <f>_xlfn.IFERROR(VLOOKUP(B541,'[1]ПО КОРИСНИЦИМА'!$C$3:$J$11609,5,FALSE),"")</f>
      </c>
      <c r="D541" s="943"/>
      <c r="E541" s="938">
        <f t="shared" si="17"/>
        <v>0</v>
      </c>
      <c r="F541" s="1237"/>
      <c r="G541" s="962">
        <f t="shared" si="16"/>
        <v>0</v>
      </c>
      <c r="H541" s="942"/>
    </row>
    <row r="542" spans="1:8" ht="12.75" hidden="1">
      <c r="A542" s="960"/>
      <c r="B542" s="957" t="s">
        <v>742</v>
      </c>
      <c r="C542" s="940">
        <f>_xlfn.IFERROR(VLOOKUP(B542,'[1]ПО КОРИСНИЦИМА'!$C$3:$J$11609,5,FALSE),"")</f>
      </c>
      <c r="D542" s="943"/>
      <c r="E542" s="938">
        <f t="shared" si="17"/>
        <v>0</v>
      </c>
      <c r="F542" s="1237"/>
      <c r="G542" s="962">
        <f t="shared" si="16"/>
        <v>0</v>
      </c>
      <c r="H542" s="942"/>
    </row>
    <row r="543" spans="1:8" ht="12.75" hidden="1">
      <c r="A543" s="960"/>
      <c r="B543" s="957" t="s">
        <v>743</v>
      </c>
      <c r="C543" s="940">
        <f>_xlfn.IFERROR(VLOOKUP(B543,'[1]ПО КОРИСНИЦИМА'!$C$3:$J$11609,5,FALSE),"")</f>
      </c>
      <c r="D543" s="943"/>
      <c r="E543" s="938">
        <f t="shared" si="17"/>
        <v>0</v>
      </c>
      <c r="F543" s="1237"/>
      <c r="G543" s="962">
        <f t="shared" si="16"/>
        <v>0</v>
      </c>
      <c r="H543" s="942"/>
    </row>
    <row r="544" spans="1:8" ht="12.75" hidden="1">
      <c r="A544" s="960"/>
      <c r="B544" s="957" t="s">
        <v>744</v>
      </c>
      <c r="C544" s="940">
        <f>_xlfn.IFERROR(VLOOKUP(B544,'[1]ПО КОРИСНИЦИМА'!$C$3:$J$11609,5,FALSE),"")</f>
      </c>
      <c r="D544" s="943" t="e">
        <f>SUMIF('[1]ПО КОРИСНИЦИМА'!$G$3:$G$11609,"Свега за пројекат 0602-П10:",'[1]ПО КОРИСНИЦИМА'!$H$3:$H$11609)</f>
        <v>#VALUE!</v>
      </c>
      <c r="E544" s="938" t="e">
        <f t="shared" si="17"/>
        <v>#VALUE!</v>
      </c>
      <c r="F544" s="1237" t="e">
        <f>SUMIF('[1]ПО КОРИСНИЦИМА'!$G$3:$G$11609,"Свега за пројекат 0602-П10:",'[1]ПО КОРИСНИЦИМА'!$H$3:$H$11609)</f>
        <v>#VALUE!</v>
      </c>
      <c r="G544" s="969" t="e">
        <f t="shared" si="16"/>
        <v>#VALUE!</v>
      </c>
      <c r="H544" s="942"/>
    </row>
    <row r="545" spans="1:8" ht="12.75" hidden="1">
      <c r="A545" s="960"/>
      <c r="B545" s="957" t="s">
        <v>745</v>
      </c>
      <c r="C545" s="940">
        <f>_xlfn.IFERROR(VLOOKUP(B545,'[1]ПО КОРИСНИЦИМА'!$C$3:$J$11609,5,FALSE),"")</f>
      </c>
      <c r="D545" s="943" t="e">
        <f>SUMIF('[1]ПО КОРИСНИЦИМА'!$G$3:$G$11609,"Свега за пројекат 0602-П11:",'[1]ПО КОРИСНИЦИМА'!$H$3:$H$11609)</f>
        <v>#VALUE!</v>
      </c>
      <c r="E545" s="938" t="e">
        <f t="shared" si="17"/>
        <v>#VALUE!</v>
      </c>
      <c r="F545" s="1237" t="e">
        <f>SUMIF('[1]ПО КОРИСНИЦИМА'!$G$3:$G$11609,"Свега за пројекат 0602-П11:",'[1]ПО КОРИСНИЦИМА'!$H$3:$H$11609)</f>
        <v>#VALUE!</v>
      </c>
      <c r="G545" s="969" t="e">
        <f t="shared" si="16"/>
        <v>#VALUE!</v>
      </c>
      <c r="H545" s="942"/>
    </row>
    <row r="546" spans="1:8" ht="12.75" hidden="1">
      <c r="A546" s="960"/>
      <c r="B546" s="957" t="s">
        <v>746</v>
      </c>
      <c r="C546" s="940">
        <f>_xlfn.IFERROR(VLOOKUP(B546,'[1]ПО КОРИСНИЦИМА'!$C$3:$J$11609,5,FALSE),"")</f>
      </c>
      <c r="D546" s="943" t="e">
        <f>SUMIF('[1]ПО КОРИСНИЦИМА'!$G$3:$G$11609,"Свега за пројекат 0602-П12:",'[1]ПО КОРИСНИЦИМА'!$H$3:$H$11609)</f>
        <v>#VALUE!</v>
      </c>
      <c r="E546" s="938" t="e">
        <f t="shared" si="17"/>
        <v>#VALUE!</v>
      </c>
      <c r="F546" s="1237" t="e">
        <f>SUMIF('[1]ПО КОРИСНИЦИМА'!$G$3:$G$11609,"Свега за пројекат 0602-П12:",'[1]ПО КОРИСНИЦИМА'!$H$3:$H$11609)</f>
        <v>#VALUE!</v>
      </c>
      <c r="G546" s="969" t="e">
        <f t="shared" si="16"/>
        <v>#VALUE!</v>
      </c>
      <c r="H546" s="942"/>
    </row>
    <row r="547" spans="1:8" ht="12.75" hidden="1">
      <c r="A547" s="960"/>
      <c r="B547" s="957" t="s">
        <v>747</v>
      </c>
      <c r="C547" s="940">
        <f>_xlfn.IFERROR(VLOOKUP(B547,'[1]ПО КОРИСНИЦИМА'!$C$3:$J$11609,5,FALSE),"")</f>
      </c>
      <c r="D547" s="943" t="e">
        <f>SUMIF('[1]ПО КОРИСНИЦИМА'!$G$3:$G$11609,"Свега за пројекат 0602-П13:",'[1]ПО КОРИСНИЦИМА'!$H$3:$H$11609)</f>
        <v>#VALUE!</v>
      </c>
      <c r="E547" s="938" t="e">
        <f t="shared" si="17"/>
        <v>#VALUE!</v>
      </c>
      <c r="F547" s="1237" t="e">
        <f>SUMIF('[1]ПО КОРИСНИЦИМА'!$G$3:$G$11609,"Свега за пројекат 0602-П13:",'[1]ПО КОРИСНИЦИМА'!$H$3:$H$11609)</f>
        <v>#VALUE!</v>
      </c>
      <c r="G547" s="969" t="e">
        <f t="shared" si="16"/>
        <v>#VALUE!</v>
      </c>
      <c r="H547" s="942"/>
    </row>
    <row r="548" spans="1:8" ht="12.75" hidden="1">
      <c r="A548" s="960"/>
      <c r="B548" s="957" t="s">
        <v>748</v>
      </c>
      <c r="C548" s="940">
        <f>_xlfn.IFERROR(VLOOKUP(B548,'[1]ПО КОРИСНИЦИМА'!$C$3:$J$11609,5,FALSE),"")</f>
      </c>
      <c r="D548" s="943" t="e">
        <f>SUMIF('[1]ПО КОРИСНИЦИМА'!$G$3:$G$11609,"Свега за пројекат 0602-П14:",'[1]ПО КОРИСНИЦИМА'!$H$3:$H$11609)</f>
        <v>#VALUE!</v>
      </c>
      <c r="E548" s="938" t="e">
        <f t="shared" si="17"/>
        <v>#VALUE!</v>
      </c>
      <c r="F548" s="1237" t="e">
        <f>SUMIF('[1]ПО КОРИСНИЦИМА'!$G$3:$G$11609,"Свега за пројекат 0602-П14:",'[1]ПО КОРИСНИЦИМА'!$H$3:$H$11609)</f>
        <v>#VALUE!</v>
      </c>
      <c r="G548" s="969" t="e">
        <f t="shared" si="16"/>
        <v>#VALUE!</v>
      </c>
      <c r="H548" s="942"/>
    </row>
    <row r="549" spans="1:8" ht="12.75" hidden="1">
      <c r="A549" s="960"/>
      <c r="B549" s="957" t="s">
        <v>749</v>
      </c>
      <c r="C549" s="940">
        <f>_xlfn.IFERROR(VLOOKUP(B549,'[1]ПО КОРИСНИЦИМА'!$C$3:$J$11609,5,FALSE),"")</f>
      </c>
      <c r="D549" s="943" t="e">
        <f>SUMIF('[1]ПО КОРИСНИЦИМА'!$G$3:$G$11609,"Свега за пројекат 0602-П15:",'[1]ПО КОРИСНИЦИМА'!$H$3:$H$11609)</f>
        <v>#VALUE!</v>
      </c>
      <c r="E549" s="938" t="e">
        <f t="shared" si="17"/>
        <v>#VALUE!</v>
      </c>
      <c r="F549" s="1237" t="e">
        <f>SUMIF('[1]ПО КОРИСНИЦИМА'!$G$3:$G$11609,"Свега за пројекат 0602-П15:",'[1]ПО КОРИСНИЦИМА'!$H$3:$H$11609)</f>
        <v>#VALUE!</v>
      </c>
      <c r="G549" s="969" t="e">
        <f t="shared" si="16"/>
        <v>#VALUE!</v>
      </c>
      <c r="H549" s="942"/>
    </row>
    <row r="550" spans="1:8" ht="12.75" hidden="1">
      <c r="A550" s="960"/>
      <c r="B550" s="957" t="s">
        <v>750</v>
      </c>
      <c r="C550" s="940">
        <f>_xlfn.IFERROR(VLOOKUP(B550,'[1]ПО КОРИСНИЦИМА'!$C$3:$J$11609,5,FALSE),"")</f>
      </c>
      <c r="D550" s="943" t="e">
        <f>SUMIF('[1]ПО КОРИСНИЦИМА'!$G$3:$G$11609,"Свега за пројекат 0602-П16:",'[1]ПО КОРИСНИЦИМА'!$H$3:$H$11609)</f>
        <v>#VALUE!</v>
      </c>
      <c r="E550" s="938" t="e">
        <f t="shared" si="17"/>
        <v>#VALUE!</v>
      </c>
      <c r="F550" s="1237" t="e">
        <f>SUMIF('[1]ПО КОРИСНИЦИМА'!$G$3:$G$11609,"Свега за пројекат 0602-П16:",'[1]ПО КОРИСНИЦИМА'!$H$3:$H$11609)</f>
        <v>#VALUE!</v>
      </c>
      <c r="G550" s="969" t="e">
        <f t="shared" si="16"/>
        <v>#VALUE!</v>
      </c>
      <c r="H550" s="942"/>
    </row>
    <row r="551" spans="1:8" ht="12.75" hidden="1">
      <c r="A551" s="960"/>
      <c r="B551" s="957" t="s">
        <v>751</v>
      </c>
      <c r="C551" s="940">
        <f>_xlfn.IFERROR(VLOOKUP(B551,'[1]ПО КОРИСНИЦИМА'!$C$3:$J$11609,5,FALSE),"")</f>
      </c>
      <c r="D551" s="943" t="e">
        <f>SUMIF('[1]ПО КОРИСНИЦИМА'!$G$3:$G$11609,"Свега за пројекат 0602-П17:",'[1]ПО КОРИСНИЦИМА'!$H$3:$H$11609)</f>
        <v>#VALUE!</v>
      </c>
      <c r="E551" s="938" t="e">
        <f t="shared" si="17"/>
        <v>#VALUE!</v>
      </c>
      <c r="F551" s="1237" t="e">
        <f>SUMIF('[1]ПО КОРИСНИЦИМА'!$G$3:$G$11609,"Свега за пројекат 0602-П17:",'[1]ПО КОРИСНИЦИМА'!$H$3:$H$11609)</f>
        <v>#VALUE!</v>
      </c>
      <c r="G551" s="969" t="e">
        <f t="shared" si="16"/>
        <v>#VALUE!</v>
      </c>
      <c r="H551" s="942"/>
    </row>
    <row r="552" spans="1:8" ht="12.75" hidden="1">
      <c r="A552" s="960"/>
      <c r="B552" s="957" t="s">
        <v>752</v>
      </c>
      <c r="C552" s="940">
        <f>_xlfn.IFERROR(VLOOKUP(B552,'[1]ПО КОРИСНИЦИМА'!$C$3:$J$11609,5,FALSE),"")</f>
      </c>
      <c r="D552" s="943" t="e">
        <f>SUMIF('[1]ПО КОРИСНИЦИМА'!$G$3:$G$11609,"Свега за пројекат 0602-П18:",'[1]ПО КОРИСНИЦИМА'!$H$3:$H$11609)</f>
        <v>#VALUE!</v>
      </c>
      <c r="E552" s="938" t="e">
        <f t="shared" si="17"/>
        <v>#VALUE!</v>
      </c>
      <c r="F552" s="1237" t="e">
        <f>SUMIF('[1]ПО КОРИСНИЦИМА'!$G$3:$G$11609,"Свега за пројекат 0602-П18:",'[1]ПО КОРИСНИЦИМА'!$H$3:$H$11609)</f>
        <v>#VALUE!</v>
      </c>
      <c r="G552" s="969" t="e">
        <f t="shared" si="16"/>
        <v>#VALUE!</v>
      </c>
      <c r="H552" s="942"/>
    </row>
    <row r="553" spans="1:8" ht="12.75" hidden="1">
      <c r="A553" s="960"/>
      <c r="B553" s="957" t="s">
        <v>753</v>
      </c>
      <c r="C553" s="940">
        <f>_xlfn.IFERROR(VLOOKUP(B553,'[1]ПО КОРИСНИЦИМА'!$C$3:$J$11609,5,FALSE),"")</f>
      </c>
      <c r="D553" s="943" t="e">
        <f>SUMIF('[1]ПО КОРИСНИЦИМА'!$G$3:$G$11609,"Свега за пројекат 0602-П19:",'[1]ПО КОРИСНИЦИМА'!$H$3:$H$11609)</f>
        <v>#VALUE!</v>
      </c>
      <c r="E553" s="938" t="e">
        <f t="shared" si="17"/>
        <v>#VALUE!</v>
      </c>
      <c r="F553" s="1237" t="e">
        <f>SUMIF('[1]ПО КОРИСНИЦИМА'!$G$3:$G$11609,"Свега за пројекат 0602-П19:",'[1]ПО КОРИСНИЦИМА'!$H$3:$H$11609)</f>
        <v>#VALUE!</v>
      </c>
      <c r="G553" s="969" t="e">
        <f t="shared" si="16"/>
        <v>#VALUE!</v>
      </c>
      <c r="H553" s="942"/>
    </row>
    <row r="554" spans="1:8" ht="12.75" hidden="1">
      <c r="A554" s="960"/>
      <c r="B554" s="957" t="s">
        <v>754</v>
      </c>
      <c r="C554" s="940">
        <f>_xlfn.IFERROR(VLOOKUP(B554,'[1]ПО КОРИСНИЦИМА'!$C$3:$J$11609,5,FALSE),"")</f>
      </c>
      <c r="D554" s="943" t="e">
        <f>SUMIF('[1]ПО КОРИСНИЦИМА'!$G$3:$G$11609,"Свега за пројекат 0602-П20:",'[1]ПО КОРИСНИЦИМА'!$H$3:$H$11609)</f>
        <v>#VALUE!</v>
      </c>
      <c r="E554" s="938" t="e">
        <f t="shared" si="17"/>
        <v>#VALUE!</v>
      </c>
      <c r="F554" s="1237" t="e">
        <f>SUMIF('[1]ПО КОРИСНИЦИМА'!$G$3:$G$11609,"Свега за пројекат 0602-П20:",'[1]ПО КОРИСНИЦИМА'!$H$3:$H$11609)</f>
        <v>#VALUE!</v>
      </c>
      <c r="G554" s="969" t="e">
        <f t="shared" si="16"/>
        <v>#VALUE!</v>
      </c>
      <c r="H554" s="942"/>
    </row>
    <row r="555" spans="1:8" ht="12.75" hidden="1">
      <c r="A555" s="960"/>
      <c r="B555" s="957" t="s">
        <v>755</v>
      </c>
      <c r="C555" s="940">
        <f>_xlfn.IFERROR(VLOOKUP(B555,'[1]ПО КОРИСНИЦИМА'!$C$3:$J$11609,5,FALSE),"")</f>
      </c>
      <c r="D555" s="943" t="e">
        <f>SUMIF('[1]ПО КОРИСНИЦИМА'!$G$3:$G$11609,"Свега за пројекат 0602-П21:",'[1]ПО КОРИСНИЦИМА'!$H$3:$H$11609)</f>
        <v>#VALUE!</v>
      </c>
      <c r="E555" s="938" t="e">
        <f t="shared" si="17"/>
        <v>#VALUE!</v>
      </c>
      <c r="F555" s="1237" t="e">
        <f>SUMIF('[1]ПО КОРИСНИЦИМА'!$G$3:$G$11609,"Свега за пројекат 0602-П21:",'[1]ПО КОРИСНИЦИМА'!$H$3:$H$11609)</f>
        <v>#VALUE!</v>
      </c>
      <c r="G555" s="969" t="e">
        <f t="shared" si="16"/>
        <v>#VALUE!</v>
      </c>
      <c r="H555" s="942"/>
    </row>
    <row r="556" spans="1:8" ht="12.75" hidden="1">
      <c r="A556" s="960"/>
      <c r="B556" s="957" t="s">
        <v>756</v>
      </c>
      <c r="C556" s="940">
        <f>_xlfn.IFERROR(VLOOKUP(B556,'[1]ПО КОРИСНИЦИМА'!$C$3:$J$11609,5,FALSE),"")</f>
      </c>
      <c r="D556" s="943" t="e">
        <f>SUMIF('[1]ПО КОРИСНИЦИМА'!$G$3:$G$11609,"Свега за пројекат 0602-П22:",'[1]ПО КОРИСНИЦИМА'!$H$3:$H$11609)</f>
        <v>#VALUE!</v>
      </c>
      <c r="E556" s="938" t="e">
        <f t="shared" si="17"/>
        <v>#VALUE!</v>
      </c>
      <c r="F556" s="1237" t="e">
        <f>SUMIF('[1]ПО КОРИСНИЦИМА'!$G$3:$G$11609,"Свега за пројекат 0602-П22:",'[1]ПО КОРИСНИЦИМА'!$H$3:$H$11609)</f>
        <v>#VALUE!</v>
      </c>
      <c r="G556" s="969" t="e">
        <f t="shared" si="16"/>
        <v>#VALUE!</v>
      </c>
      <c r="H556" s="942"/>
    </row>
    <row r="557" spans="1:8" ht="12.75" hidden="1">
      <c r="A557" s="960"/>
      <c r="B557" s="957" t="s">
        <v>757</v>
      </c>
      <c r="C557" s="940">
        <f>_xlfn.IFERROR(VLOOKUP(B557,'[1]ПО КОРИСНИЦИМА'!$C$3:$J$11609,5,FALSE),"")</f>
      </c>
      <c r="D557" s="943" t="e">
        <f>SUMIF('[1]ПО КОРИСНИЦИМА'!$G$3:$G$11609,"Свега за пројекат 0602-П23:",'[1]ПО КОРИСНИЦИМА'!$H$3:$H$11609)</f>
        <v>#VALUE!</v>
      </c>
      <c r="E557" s="938" t="e">
        <f t="shared" si="17"/>
        <v>#VALUE!</v>
      </c>
      <c r="F557" s="1237" t="e">
        <f>SUMIF('[1]ПО КОРИСНИЦИМА'!$G$3:$G$11609,"Свега за пројекат 0602-П23:",'[1]ПО КОРИСНИЦИМА'!$H$3:$H$11609)</f>
        <v>#VALUE!</v>
      </c>
      <c r="G557" s="969" t="e">
        <f t="shared" si="16"/>
        <v>#VALUE!</v>
      </c>
      <c r="H557" s="942"/>
    </row>
    <row r="558" spans="1:8" ht="12.75" hidden="1">
      <c r="A558" s="960"/>
      <c r="B558" s="957" t="s">
        <v>758</v>
      </c>
      <c r="C558" s="940">
        <f>_xlfn.IFERROR(VLOOKUP(B558,'[1]ПО КОРИСНИЦИМА'!$C$3:$J$11609,5,FALSE),"")</f>
      </c>
      <c r="D558" s="943" t="e">
        <f>SUMIF('[1]ПО КОРИСНИЦИМА'!$G$3:$G$11609,"Свега за пројекат 0602-П24:",'[1]ПО КОРИСНИЦИМА'!$H$3:$H$11609)</f>
        <v>#VALUE!</v>
      </c>
      <c r="E558" s="938" t="e">
        <f t="shared" si="17"/>
        <v>#VALUE!</v>
      </c>
      <c r="F558" s="1237" t="e">
        <f>SUMIF('[1]ПО КОРИСНИЦИМА'!$G$3:$G$11609,"Свега за пројекат 0602-П24:",'[1]ПО КОРИСНИЦИМА'!$H$3:$H$11609)</f>
        <v>#VALUE!</v>
      </c>
      <c r="G558" s="969" t="e">
        <f t="shared" si="16"/>
        <v>#VALUE!</v>
      </c>
      <c r="H558" s="942"/>
    </row>
    <row r="559" spans="1:8" ht="12.75" hidden="1">
      <c r="A559" s="960"/>
      <c r="B559" s="957" t="s">
        <v>759</v>
      </c>
      <c r="C559" s="940">
        <f>_xlfn.IFERROR(VLOOKUP(B559,'[1]ПО КОРИСНИЦИМА'!$C$3:$J$11609,5,FALSE),"")</f>
      </c>
      <c r="D559" s="943" t="e">
        <f>SUMIF('[1]ПО КОРИСНИЦИМА'!$G$3:$G$11609,"Свега за пројекат 0602-П25:",'[1]ПО КОРИСНИЦИМА'!$H$3:$H$11609)</f>
        <v>#VALUE!</v>
      </c>
      <c r="E559" s="938" t="e">
        <f t="shared" si="17"/>
        <v>#VALUE!</v>
      </c>
      <c r="F559" s="1237" t="e">
        <f>SUMIF('[1]ПО КОРИСНИЦИМА'!$G$3:$G$11609,"Свега за пројекат 0602-П25:",'[1]ПО КОРИСНИЦИМА'!$H$3:$H$11609)</f>
        <v>#VALUE!</v>
      </c>
      <c r="G559" s="969" t="e">
        <f t="shared" si="16"/>
        <v>#VALUE!</v>
      </c>
      <c r="H559" s="942"/>
    </row>
    <row r="560" spans="1:8" ht="12.75" hidden="1">
      <c r="A560" s="960"/>
      <c r="B560" s="957" t="s">
        <v>760</v>
      </c>
      <c r="C560" s="940">
        <f>_xlfn.IFERROR(VLOOKUP(B560,'[1]ПО КОРИСНИЦИМА'!$C$3:$J$11609,5,FALSE),"")</f>
      </c>
      <c r="D560" s="943" t="e">
        <f>SUMIF('[1]ПО КОРИСНИЦИМА'!$G$3:$G$11609,"Свега за пројекат 0602-П26:",'[1]ПО КОРИСНИЦИМА'!$H$3:$H$11609)</f>
        <v>#VALUE!</v>
      </c>
      <c r="E560" s="938" t="e">
        <f t="shared" si="17"/>
        <v>#VALUE!</v>
      </c>
      <c r="F560" s="1237" t="e">
        <f>SUMIF('[1]ПО КОРИСНИЦИМА'!$G$3:$G$11609,"Свега за пројекат 0602-П26:",'[1]ПО КОРИСНИЦИМА'!$H$3:$H$11609)</f>
        <v>#VALUE!</v>
      </c>
      <c r="G560" s="969" t="e">
        <f t="shared" si="16"/>
        <v>#VALUE!</v>
      </c>
      <c r="H560" s="942"/>
    </row>
    <row r="561" spans="1:8" ht="12.75" hidden="1">
      <c r="A561" s="960"/>
      <c r="B561" s="957" t="s">
        <v>761</v>
      </c>
      <c r="C561" s="940">
        <f>_xlfn.IFERROR(VLOOKUP(B561,'[1]ПО КОРИСНИЦИМА'!$C$3:$J$11609,5,FALSE),"")</f>
      </c>
      <c r="D561" s="943" t="e">
        <f>SUMIF('[1]ПО КОРИСНИЦИМА'!$G$3:$G$11609,"Свега за пројекат 0602-П27:",'[1]ПО КОРИСНИЦИМА'!$H$3:$H$11609)</f>
        <v>#VALUE!</v>
      </c>
      <c r="E561" s="938" t="e">
        <f t="shared" si="17"/>
        <v>#VALUE!</v>
      </c>
      <c r="F561" s="1237" t="e">
        <f>SUMIF('[1]ПО КОРИСНИЦИМА'!$G$3:$G$11609,"Свега за пројекат 0602-П27:",'[1]ПО КОРИСНИЦИМА'!$H$3:$H$11609)</f>
        <v>#VALUE!</v>
      </c>
      <c r="G561" s="969" t="e">
        <f t="shared" si="16"/>
        <v>#VALUE!</v>
      </c>
      <c r="H561" s="942"/>
    </row>
    <row r="562" spans="1:8" ht="12.75" hidden="1">
      <c r="A562" s="960"/>
      <c r="B562" s="957" t="s">
        <v>762</v>
      </c>
      <c r="C562" s="940">
        <f>_xlfn.IFERROR(VLOOKUP(B562,'[1]ПО КОРИСНИЦИМА'!$C$3:$J$11609,5,FALSE),"")</f>
      </c>
      <c r="D562" s="943" t="e">
        <f>SUMIF('[1]ПО КОРИСНИЦИМА'!$G$3:$G$11609,"Свега за пројекат 0602-П28:",'[1]ПО КОРИСНИЦИМА'!$H$3:$H$11609)</f>
        <v>#VALUE!</v>
      </c>
      <c r="E562" s="938" t="e">
        <f t="shared" si="17"/>
        <v>#VALUE!</v>
      </c>
      <c r="F562" s="1237" t="e">
        <f>SUMIF('[1]ПО КОРИСНИЦИМА'!$G$3:$G$11609,"Свега за пројекат 0602-П28:",'[1]ПО КОРИСНИЦИМА'!$H$3:$H$11609)</f>
        <v>#VALUE!</v>
      </c>
      <c r="G562" s="969" t="e">
        <f t="shared" si="16"/>
        <v>#VALUE!</v>
      </c>
      <c r="H562" s="942"/>
    </row>
    <row r="563" spans="1:8" ht="12.75" hidden="1">
      <c r="A563" s="960"/>
      <c r="B563" s="957" t="s">
        <v>763</v>
      </c>
      <c r="C563" s="940">
        <f>_xlfn.IFERROR(VLOOKUP(B563,'[1]ПО КОРИСНИЦИМА'!$C$3:$J$11609,5,FALSE),"")</f>
      </c>
      <c r="D563" s="943" t="e">
        <f>SUMIF('[1]ПО КОРИСНИЦИМА'!$G$3:$G$11609,"Свега за пројекат 0602-П29:",'[1]ПО КОРИСНИЦИМА'!$H$3:$H$11609)</f>
        <v>#VALUE!</v>
      </c>
      <c r="E563" s="938" t="e">
        <f t="shared" si="17"/>
        <v>#VALUE!</v>
      </c>
      <c r="F563" s="1237" t="e">
        <f>SUMIF('[1]ПО КОРИСНИЦИМА'!$G$3:$G$11609,"Свега за пројекат 0602-П29:",'[1]ПО КОРИСНИЦИМА'!$H$3:$H$11609)</f>
        <v>#VALUE!</v>
      </c>
      <c r="G563" s="969" t="e">
        <f t="shared" si="16"/>
        <v>#VALUE!</v>
      </c>
      <c r="H563" s="942"/>
    </row>
    <row r="564" spans="1:8" ht="12.75" hidden="1">
      <c r="A564" s="960"/>
      <c r="B564" s="957" t="s">
        <v>764</v>
      </c>
      <c r="C564" s="940">
        <f>_xlfn.IFERROR(VLOOKUP(B564,'[1]ПО КОРИСНИЦИМА'!$C$3:$J$11609,5,FALSE),"")</f>
      </c>
      <c r="D564" s="943" t="e">
        <f>SUMIF('[1]ПО КОРИСНИЦИМА'!$G$3:$G$11609,"Свега за пројекат 0602-П30:",'[1]ПО КОРИСНИЦИМА'!$H$3:$H$11609)</f>
        <v>#VALUE!</v>
      </c>
      <c r="E564" s="938" t="e">
        <f t="shared" si="17"/>
        <v>#VALUE!</v>
      </c>
      <c r="F564" s="1237" t="e">
        <f>SUMIF('[1]ПО КОРИСНИЦИМА'!$G$3:$G$11609,"Свега за пројекат 0602-П30:",'[1]ПО КОРИСНИЦИМА'!$H$3:$H$11609)</f>
        <v>#VALUE!</v>
      </c>
      <c r="G564" s="969" t="e">
        <f t="shared" si="16"/>
        <v>#VALUE!</v>
      </c>
      <c r="H564" s="942"/>
    </row>
    <row r="565" spans="1:8" ht="12.75" hidden="1">
      <c r="A565" s="960"/>
      <c r="B565" s="957" t="s">
        <v>765</v>
      </c>
      <c r="C565" s="940">
        <f>_xlfn.IFERROR(VLOOKUP(B565,'[1]ПО КОРИСНИЦИМА'!$C$3:$J$11609,5,FALSE),"")</f>
      </c>
      <c r="D565" s="943" t="e">
        <f>SUMIF('[1]ПО КОРИСНИЦИМА'!$G$3:$G$11609,"Свега за пројекат 0602-П31:",'[1]ПО КОРИСНИЦИМА'!$H$3:$H$11609)</f>
        <v>#VALUE!</v>
      </c>
      <c r="E565" s="938" t="e">
        <f t="shared" si="17"/>
        <v>#VALUE!</v>
      </c>
      <c r="F565" s="1237" t="e">
        <f>SUMIF('[1]ПО КОРИСНИЦИМА'!$G$3:$G$11609,"Свега за пројекат 0602-П31:",'[1]ПО КОРИСНИЦИМА'!$H$3:$H$11609)</f>
        <v>#VALUE!</v>
      </c>
      <c r="G565" s="969" t="e">
        <f t="shared" si="16"/>
        <v>#VALUE!</v>
      </c>
      <c r="H565" s="942"/>
    </row>
    <row r="566" spans="1:8" ht="12.75" hidden="1">
      <c r="A566" s="960"/>
      <c r="B566" s="957" t="s">
        <v>766</v>
      </c>
      <c r="C566" s="940">
        <f>_xlfn.IFERROR(VLOOKUP(B566,'[1]ПО КОРИСНИЦИМА'!$C$3:$J$11609,5,FALSE),"")</f>
      </c>
      <c r="D566" s="943" t="e">
        <f>SUMIF('[1]ПО КОРИСНИЦИМА'!$G$3:$G$11609,"Свега за пројекат 0602-П32:",'[1]ПО КОРИСНИЦИМА'!$H$3:$H$11609)</f>
        <v>#VALUE!</v>
      </c>
      <c r="E566" s="938" t="e">
        <f t="shared" si="17"/>
        <v>#VALUE!</v>
      </c>
      <c r="F566" s="1237" t="e">
        <f>SUMIF('[1]ПО КОРИСНИЦИМА'!$G$3:$G$11609,"Свега за пројекат 0602-П32:",'[1]ПО КОРИСНИЦИМА'!$H$3:$H$11609)</f>
        <v>#VALUE!</v>
      </c>
      <c r="G566" s="969" t="e">
        <f t="shared" si="16"/>
        <v>#VALUE!</v>
      </c>
      <c r="H566" s="942"/>
    </row>
    <row r="567" spans="1:8" ht="12.75" hidden="1">
      <c r="A567" s="960"/>
      <c r="B567" s="957" t="s">
        <v>767</v>
      </c>
      <c r="C567" s="940">
        <f>_xlfn.IFERROR(VLOOKUP(B567,'[1]ПО КОРИСНИЦИМА'!$C$3:$J$11609,5,FALSE),"")</f>
      </c>
      <c r="D567" s="943" t="e">
        <f>SUMIF('[1]ПО КОРИСНИЦИМА'!$G$3:$G$11609,"Свега за пројекат 0602-П33:",'[1]ПО КОРИСНИЦИМА'!$H$3:$H$11609)</f>
        <v>#VALUE!</v>
      </c>
      <c r="E567" s="938" t="e">
        <f t="shared" si="17"/>
        <v>#VALUE!</v>
      </c>
      <c r="F567" s="1237" t="e">
        <f>SUMIF('[1]ПО КОРИСНИЦИМА'!$G$3:$G$11609,"Свега за пројекат 0602-П33:",'[1]ПО КОРИСНИЦИМА'!$H$3:$H$11609)</f>
        <v>#VALUE!</v>
      </c>
      <c r="G567" s="969" t="e">
        <f t="shared" si="16"/>
        <v>#VALUE!</v>
      </c>
      <c r="H567" s="942"/>
    </row>
    <row r="568" spans="1:8" ht="12.75" hidden="1">
      <c r="A568" s="960"/>
      <c r="B568" s="957" t="s">
        <v>768</v>
      </c>
      <c r="C568" s="940">
        <f>_xlfn.IFERROR(VLOOKUP(B568,'[1]ПО КОРИСНИЦИМА'!$C$3:$J$11609,5,FALSE),"")</f>
      </c>
      <c r="D568" s="943" t="e">
        <f>SUMIF('[1]ПО КОРИСНИЦИМА'!$G$3:$G$11609,"Свега за пројекат 0602-П34:",'[1]ПО КОРИСНИЦИМА'!$H$3:$H$11609)</f>
        <v>#VALUE!</v>
      </c>
      <c r="E568" s="938" t="e">
        <f t="shared" si="17"/>
        <v>#VALUE!</v>
      </c>
      <c r="F568" s="1237" t="e">
        <f>SUMIF('[1]ПО КОРИСНИЦИМА'!$G$3:$G$11609,"Свега за пројекат 0602-П34:",'[1]ПО КОРИСНИЦИМА'!$H$3:$H$11609)</f>
        <v>#VALUE!</v>
      </c>
      <c r="G568" s="969" t="e">
        <f t="shared" si="16"/>
        <v>#VALUE!</v>
      </c>
      <c r="H568" s="942"/>
    </row>
    <row r="569" spans="1:8" ht="12.75" hidden="1">
      <c r="A569" s="960"/>
      <c r="B569" s="957" t="s">
        <v>769</v>
      </c>
      <c r="C569" s="940">
        <f>_xlfn.IFERROR(VLOOKUP(B569,'[1]ПО КОРИСНИЦИМА'!$C$3:$J$11609,5,FALSE),"")</f>
      </c>
      <c r="D569" s="943" t="e">
        <f>SUMIF('[1]ПО КОРИСНИЦИМА'!$G$3:$G$11609,"Свега за пројекат 0602-П35:",'[1]ПО КОРИСНИЦИМА'!$H$3:$H$11609)</f>
        <v>#VALUE!</v>
      </c>
      <c r="E569" s="938" t="e">
        <f t="shared" si="17"/>
        <v>#VALUE!</v>
      </c>
      <c r="F569" s="1237" t="e">
        <f>SUMIF('[1]ПО КОРИСНИЦИМА'!$G$3:$G$11609,"Свега за пројекат 0602-П35:",'[1]ПО КОРИСНИЦИМА'!$H$3:$H$11609)</f>
        <v>#VALUE!</v>
      </c>
      <c r="G569" s="969" t="e">
        <f t="shared" si="16"/>
        <v>#VALUE!</v>
      </c>
      <c r="H569" s="942"/>
    </row>
    <row r="570" spans="1:8" ht="12.75" hidden="1">
      <c r="A570" s="960"/>
      <c r="B570" s="957" t="s">
        <v>770</v>
      </c>
      <c r="C570" s="940">
        <f>_xlfn.IFERROR(VLOOKUP(B570,'[1]ПО КОРИСНИЦИМА'!$C$3:$J$11609,5,FALSE),"")</f>
      </c>
      <c r="D570" s="943" t="e">
        <f>SUMIF('[1]ПО КОРИСНИЦИМА'!$G$3:$G$11609,"Свега за пројекат 0602-П36:",'[1]ПО КОРИСНИЦИМА'!$H$3:$H$11609)</f>
        <v>#VALUE!</v>
      </c>
      <c r="E570" s="938" t="e">
        <f t="shared" si="17"/>
        <v>#VALUE!</v>
      </c>
      <c r="F570" s="1237" t="e">
        <f>SUMIF('[1]ПО КОРИСНИЦИМА'!$G$3:$G$11609,"Свега за пројекат 0602-П36:",'[1]ПО КОРИСНИЦИМА'!$H$3:$H$11609)</f>
        <v>#VALUE!</v>
      </c>
      <c r="G570" s="969" t="e">
        <f t="shared" si="16"/>
        <v>#VALUE!</v>
      </c>
      <c r="H570" s="942"/>
    </row>
    <row r="571" spans="1:8" ht="12.75" hidden="1">
      <c r="A571" s="960"/>
      <c r="B571" s="957" t="s">
        <v>771</v>
      </c>
      <c r="C571" s="940">
        <f>_xlfn.IFERROR(VLOOKUP(B571,'[1]ПО КОРИСНИЦИМА'!$C$3:$J$11609,5,FALSE),"")</f>
      </c>
      <c r="D571" s="943" t="e">
        <f>SUMIF('[1]ПО КОРИСНИЦИМА'!$G$3:$G$11609,"Свега за пројекат 0602-П37:",'[1]ПО КОРИСНИЦИМА'!$H$3:$H$11609)</f>
        <v>#VALUE!</v>
      </c>
      <c r="E571" s="938" t="e">
        <f t="shared" si="17"/>
        <v>#VALUE!</v>
      </c>
      <c r="F571" s="1237" t="e">
        <f>SUMIF('[1]ПО КОРИСНИЦИМА'!$G$3:$G$11609,"Свега за пројекат 0602-П37:",'[1]ПО КОРИСНИЦИМА'!$H$3:$H$11609)</f>
        <v>#VALUE!</v>
      </c>
      <c r="G571" s="969" t="e">
        <f t="shared" si="16"/>
        <v>#VALUE!</v>
      </c>
      <c r="H571" s="942"/>
    </row>
    <row r="572" spans="1:8" ht="12.75" hidden="1">
      <c r="A572" s="960"/>
      <c r="B572" s="957" t="s">
        <v>772</v>
      </c>
      <c r="C572" s="940">
        <f>_xlfn.IFERROR(VLOOKUP(B572,'[1]ПО КОРИСНИЦИМА'!$C$3:$J$11609,5,FALSE),"")</f>
      </c>
      <c r="D572" s="943" t="e">
        <f>SUMIF('[1]ПО КОРИСНИЦИМА'!$G$3:$G$11609,"Свега за пројекат 0602-П38:",'[1]ПО КОРИСНИЦИМА'!$H$3:$H$11609)</f>
        <v>#VALUE!</v>
      </c>
      <c r="E572" s="938" t="e">
        <f t="shared" si="17"/>
        <v>#VALUE!</v>
      </c>
      <c r="F572" s="1237" t="e">
        <f>SUMIF('[1]ПО КОРИСНИЦИМА'!$G$3:$G$11609,"Свега за пројекат 0602-П38:",'[1]ПО КОРИСНИЦИМА'!$H$3:$H$11609)</f>
        <v>#VALUE!</v>
      </c>
      <c r="G572" s="969" t="e">
        <f t="shared" si="16"/>
        <v>#VALUE!</v>
      </c>
      <c r="H572" s="942"/>
    </row>
    <row r="573" spans="1:8" ht="12.75" hidden="1">
      <c r="A573" s="960"/>
      <c r="B573" s="957" t="s">
        <v>773</v>
      </c>
      <c r="C573" s="940">
        <f>_xlfn.IFERROR(VLOOKUP(B573,'[1]ПО КОРИСНИЦИМА'!$C$3:$J$11609,5,FALSE),"")</f>
      </c>
      <c r="D573" s="943" t="e">
        <f>SUMIF('[1]ПО КОРИСНИЦИМА'!$G$3:$G$11609,"Свега за пројекат 0602-П39:",'[1]ПО КОРИСНИЦИМА'!$H$3:$H$11609)</f>
        <v>#VALUE!</v>
      </c>
      <c r="E573" s="938" t="e">
        <f t="shared" si="17"/>
        <v>#VALUE!</v>
      </c>
      <c r="F573" s="1237" t="e">
        <f>SUMIF('[1]ПО КОРИСНИЦИМА'!$G$3:$G$11609,"Свега за пројекат 0602-П39:",'[1]ПО КОРИСНИЦИМА'!$H$3:$H$11609)</f>
        <v>#VALUE!</v>
      </c>
      <c r="G573" s="969" t="e">
        <f t="shared" si="16"/>
        <v>#VALUE!</v>
      </c>
      <c r="H573" s="942"/>
    </row>
    <row r="574" spans="1:8" ht="12.75" hidden="1">
      <c r="A574" s="960"/>
      <c r="B574" s="957" t="s">
        <v>774</v>
      </c>
      <c r="C574" s="940">
        <f>_xlfn.IFERROR(VLOOKUP(B574,'[1]ПО КОРИСНИЦИМА'!$C$3:$J$11609,5,FALSE),"")</f>
      </c>
      <c r="D574" s="943" t="e">
        <f>SUMIF('[1]ПО КОРИСНИЦИМА'!$G$3:$G$11609,"Свега за пројекат 0602-П40:",'[1]ПО КОРИСНИЦИМА'!$H$3:$H$11609)</f>
        <v>#VALUE!</v>
      </c>
      <c r="E574" s="938" t="e">
        <f t="shared" si="17"/>
        <v>#VALUE!</v>
      </c>
      <c r="F574" s="1237" t="e">
        <f>SUMIF('[1]ПО КОРИСНИЦИМА'!$G$3:$G$11609,"Свега за пројекат 0602-П40:",'[1]ПО КОРИСНИЦИМА'!$H$3:$H$11609)</f>
        <v>#VALUE!</v>
      </c>
      <c r="G574" s="969" t="e">
        <f t="shared" si="16"/>
        <v>#VALUE!</v>
      </c>
      <c r="H574" s="942"/>
    </row>
    <row r="575" spans="1:8" ht="12.75" hidden="1">
      <c r="A575" s="960"/>
      <c r="B575" s="957" t="s">
        <v>775</v>
      </c>
      <c r="C575" s="940">
        <f>_xlfn.IFERROR(VLOOKUP(B575,'[1]ПО КОРИСНИЦИМА'!$C$3:$J$11609,5,FALSE),"")</f>
      </c>
      <c r="D575" s="943" t="e">
        <f>SUMIF('[1]ПО КОРИСНИЦИМА'!$G$3:$G$11609,"Свега за пројекат 0602-П41:",'[1]ПО КОРИСНИЦИМА'!$H$3:$H$11609)</f>
        <v>#VALUE!</v>
      </c>
      <c r="E575" s="938" t="e">
        <f t="shared" si="17"/>
        <v>#VALUE!</v>
      </c>
      <c r="F575" s="1237" t="e">
        <f>SUMIF('[1]ПО КОРИСНИЦИМА'!$G$3:$G$11609,"Свега за пројекат 0602-П41:",'[1]ПО КОРИСНИЦИМА'!$H$3:$H$11609)</f>
        <v>#VALUE!</v>
      </c>
      <c r="G575" s="969" t="e">
        <f t="shared" si="16"/>
        <v>#VALUE!</v>
      </c>
      <c r="H575" s="942"/>
    </row>
    <row r="576" spans="1:8" ht="12.75" hidden="1">
      <c r="A576" s="960"/>
      <c r="B576" s="957" t="s">
        <v>776</v>
      </c>
      <c r="C576" s="940">
        <f>_xlfn.IFERROR(VLOOKUP(B576,'[1]ПО КОРИСНИЦИМА'!$C$3:$J$11609,5,FALSE),"")</f>
      </c>
      <c r="D576" s="943" t="e">
        <f>SUMIF('[1]ПО КОРИСНИЦИМА'!$G$3:$G$11609,"Свега за пројекат 0602-П42:",'[1]ПО КОРИСНИЦИМА'!$H$3:$H$11609)</f>
        <v>#VALUE!</v>
      </c>
      <c r="E576" s="938" t="e">
        <f t="shared" si="17"/>
        <v>#VALUE!</v>
      </c>
      <c r="F576" s="1237" t="e">
        <f>SUMIF('[1]ПО КОРИСНИЦИМА'!$G$3:$G$11609,"Свега за пројекат 0602-П42:",'[1]ПО КОРИСНИЦИМА'!$H$3:$H$11609)</f>
        <v>#VALUE!</v>
      </c>
      <c r="G576" s="969" t="e">
        <f t="shared" si="16"/>
        <v>#VALUE!</v>
      </c>
      <c r="H576" s="942"/>
    </row>
    <row r="577" spans="1:8" ht="12.75" hidden="1">
      <c r="A577" s="960"/>
      <c r="B577" s="957" t="s">
        <v>777</v>
      </c>
      <c r="C577" s="940">
        <f>_xlfn.IFERROR(VLOOKUP(B577,'[1]ПО КОРИСНИЦИМА'!$C$3:$J$11609,5,FALSE),"")</f>
      </c>
      <c r="D577" s="943" t="e">
        <f>SUMIF('[1]ПО КОРИСНИЦИМА'!$G$3:$G$11609,"Свега за пројекат 0602-П43:",'[1]ПО КОРИСНИЦИМА'!$H$3:$H$11609)</f>
        <v>#VALUE!</v>
      </c>
      <c r="E577" s="938" t="e">
        <f t="shared" si="17"/>
        <v>#VALUE!</v>
      </c>
      <c r="F577" s="1237" t="e">
        <f>SUMIF('[1]ПО КОРИСНИЦИМА'!$G$3:$G$11609,"Свега за пројекат 0602-П43:",'[1]ПО КОРИСНИЦИМА'!$H$3:$H$11609)</f>
        <v>#VALUE!</v>
      </c>
      <c r="G577" s="969" t="e">
        <f t="shared" si="16"/>
        <v>#VALUE!</v>
      </c>
      <c r="H577" s="942"/>
    </row>
    <row r="578" spans="1:8" ht="12.75" hidden="1">
      <c r="A578" s="960"/>
      <c r="B578" s="957" t="s">
        <v>778</v>
      </c>
      <c r="C578" s="940">
        <f>_xlfn.IFERROR(VLOOKUP(B578,'[1]ПО КОРИСНИЦИМА'!$C$3:$J$11609,5,FALSE),"")</f>
      </c>
      <c r="D578" s="943" t="e">
        <f>SUMIF('[1]ПО КОРИСНИЦИМА'!$G$3:$G$11609,"Свега за пројекат 0602-П44:",'[1]ПО КОРИСНИЦИМА'!$H$3:$H$11609)</f>
        <v>#VALUE!</v>
      </c>
      <c r="E578" s="938" t="e">
        <f t="shared" si="17"/>
        <v>#VALUE!</v>
      </c>
      <c r="F578" s="1237" t="e">
        <f>SUMIF('[1]ПО КОРИСНИЦИМА'!$G$3:$G$11609,"Свега за пројекат 0602-П44:",'[1]ПО КОРИСНИЦИМА'!$H$3:$H$11609)</f>
        <v>#VALUE!</v>
      </c>
      <c r="G578" s="969" t="e">
        <f t="shared" si="16"/>
        <v>#VALUE!</v>
      </c>
      <c r="H578" s="942"/>
    </row>
    <row r="579" spans="1:8" ht="12.75" hidden="1">
      <c r="A579" s="960"/>
      <c r="B579" s="957" t="s">
        <v>779</v>
      </c>
      <c r="C579" s="940">
        <f>_xlfn.IFERROR(VLOOKUP(B579,'[1]ПО КОРИСНИЦИМА'!$C$3:$J$11609,5,FALSE),"")</f>
      </c>
      <c r="D579" s="943" t="e">
        <f>SUMIF('[1]ПО КОРИСНИЦИМА'!$G$3:$G$11609,"Свега за пројекат 0602-П45:",'[1]ПО КОРИСНИЦИМА'!$H$3:$H$11609)</f>
        <v>#VALUE!</v>
      </c>
      <c r="E579" s="938" t="e">
        <f t="shared" si="17"/>
        <v>#VALUE!</v>
      </c>
      <c r="F579" s="1237" t="e">
        <f>SUMIF('[1]ПО КОРИСНИЦИМА'!$G$3:$G$11609,"Свега за пројекат 0602-П45:",'[1]ПО КОРИСНИЦИМА'!$H$3:$H$11609)</f>
        <v>#VALUE!</v>
      </c>
      <c r="G579" s="969" t="e">
        <f t="shared" si="16"/>
        <v>#VALUE!</v>
      </c>
      <c r="H579" s="942"/>
    </row>
    <row r="580" spans="1:8" ht="12.75" hidden="1">
      <c r="A580" s="960"/>
      <c r="B580" s="957" t="s">
        <v>780</v>
      </c>
      <c r="C580" s="940">
        <f>_xlfn.IFERROR(VLOOKUP(B580,'[1]ПО КОРИСНИЦИМА'!$C$3:$J$11609,5,FALSE),"")</f>
      </c>
      <c r="D580" s="943" t="e">
        <f>SUMIF('[1]ПО КОРИСНИЦИМА'!$G$3:$G$11609,"Свега за пројекат 0602-П46:",'[1]ПО КОРИСНИЦИМА'!$H$3:$H$11609)</f>
        <v>#VALUE!</v>
      </c>
      <c r="E580" s="938" t="e">
        <f t="shared" si="17"/>
        <v>#VALUE!</v>
      </c>
      <c r="F580" s="1237" t="e">
        <f>SUMIF('[1]ПО КОРИСНИЦИМА'!$G$3:$G$11609,"Свега за пројекат 0602-П46:",'[1]ПО КОРИСНИЦИМА'!$H$3:$H$11609)</f>
        <v>#VALUE!</v>
      </c>
      <c r="G580" s="969" t="e">
        <f aca="true" t="shared" si="18" ref="G580:G611">D580+F580</f>
        <v>#VALUE!</v>
      </c>
      <c r="H580" s="942"/>
    </row>
    <row r="581" spans="1:8" ht="12.75" hidden="1">
      <c r="A581" s="960"/>
      <c r="B581" s="957" t="s">
        <v>781</v>
      </c>
      <c r="C581" s="940">
        <f>_xlfn.IFERROR(VLOOKUP(B581,'[1]ПО КОРИСНИЦИМА'!$C$3:$J$11609,5,FALSE),"")</f>
      </c>
      <c r="D581" s="943" t="e">
        <f>SUMIF('[1]ПО КОРИСНИЦИМА'!$G$3:$G$11609,"Свега за пројекат 0602-П47:",'[1]ПО КОРИСНИЦИМА'!$H$3:$H$11609)</f>
        <v>#VALUE!</v>
      </c>
      <c r="E581" s="938" t="e">
        <f t="shared" si="17"/>
        <v>#VALUE!</v>
      </c>
      <c r="F581" s="1237" t="e">
        <f>SUMIF('[1]ПО КОРИСНИЦИМА'!$G$3:$G$11609,"Свега за пројекат 0602-П47:",'[1]ПО КОРИСНИЦИМА'!$H$3:$H$11609)</f>
        <v>#VALUE!</v>
      </c>
      <c r="G581" s="969" t="e">
        <f t="shared" si="18"/>
        <v>#VALUE!</v>
      </c>
      <c r="H581" s="942"/>
    </row>
    <row r="582" spans="1:8" ht="12.75" hidden="1">
      <c r="A582" s="960"/>
      <c r="B582" s="957" t="s">
        <v>782</v>
      </c>
      <c r="C582" s="940">
        <f>_xlfn.IFERROR(VLOOKUP(B582,'[1]ПО КОРИСНИЦИМА'!$C$3:$J$11609,5,FALSE),"")</f>
      </c>
      <c r="D582" s="943" t="e">
        <f>SUMIF('[1]ПО КОРИСНИЦИМА'!$G$3:$G$11609,"Свега за пројекат 0602-П48:",'[1]ПО КОРИСНИЦИМА'!$H$3:$H$11609)</f>
        <v>#VALUE!</v>
      </c>
      <c r="E582" s="938" t="e">
        <f aca="true" t="shared" si="19" ref="E582:E611">D582/483017969</f>
        <v>#VALUE!</v>
      </c>
      <c r="F582" s="1237" t="e">
        <f>SUMIF('[1]ПО КОРИСНИЦИМА'!$G$3:$G$11609,"Свега за пројекат 0602-П48:",'[1]ПО КОРИСНИЦИМА'!$H$3:$H$11609)</f>
        <v>#VALUE!</v>
      </c>
      <c r="G582" s="969" t="e">
        <f t="shared" si="18"/>
        <v>#VALUE!</v>
      </c>
      <c r="H582" s="942"/>
    </row>
    <row r="583" spans="1:8" ht="12.75" hidden="1">
      <c r="A583" s="960"/>
      <c r="B583" s="957" t="s">
        <v>783</v>
      </c>
      <c r="C583" s="940">
        <f>_xlfn.IFERROR(VLOOKUP(B583,'[1]ПО КОРИСНИЦИМА'!$C$3:$J$11609,5,FALSE),"")</f>
      </c>
      <c r="D583" s="943" t="e">
        <f>SUMIF('[1]ПО КОРИСНИЦИМА'!$G$3:$G$11609,"Свега за пројекат 0602-П49:",'[1]ПО КОРИСНИЦИМА'!$H$3:$H$11609)</f>
        <v>#VALUE!</v>
      </c>
      <c r="E583" s="938" t="e">
        <f t="shared" si="19"/>
        <v>#VALUE!</v>
      </c>
      <c r="F583" s="1237" t="e">
        <f>SUMIF('[1]ПО КОРИСНИЦИМА'!$G$3:$G$11609,"Свега за пројекат 0602-П49:",'[1]ПО КОРИСНИЦИМА'!$H$3:$H$11609)</f>
        <v>#VALUE!</v>
      </c>
      <c r="G583" s="969" t="e">
        <f t="shared" si="18"/>
        <v>#VALUE!</v>
      </c>
      <c r="H583" s="942"/>
    </row>
    <row r="584" spans="1:8" ht="12.75" hidden="1">
      <c r="A584" s="960"/>
      <c r="B584" s="957" t="s">
        <v>784</v>
      </c>
      <c r="C584" s="940">
        <f>_xlfn.IFERROR(VLOOKUP(B584,'[1]ПО КОРИСНИЦИМА'!$C$3:$J$11609,5,FALSE),"")</f>
      </c>
      <c r="D584" s="943" t="e">
        <f>SUMIF('[1]ПО КОРИСНИЦИМА'!$G$3:$G$11609,"Свега за пројекат 0602-П50:",'[1]ПО КОРИСНИЦИМА'!$H$3:$H$11609)</f>
        <v>#VALUE!</v>
      </c>
      <c r="E584" s="938" t="e">
        <f t="shared" si="19"/>
        <v>#VALUE!</v>
      </c>
      <c r="F584" s="1237" t="e">
        <f>SUMIF('[1]ПО КОРИСНИЦИМА'!$G$3:$G$11609,"Свега за пројекат 0602-П50:",'[1]ПО КОРИСНИЦИМА'!$H$3:$H$11609)</f>
        <v>#VALUE!</v>
      </c>
      <c r="G584" s="969" t="e">
        <f t="shared" si="18"/>
        <v>#VALUE!</v>
      </c>
      <c r="H584" s="942"/>
    </row>
    <row r="585" spans="1:8" ht="12.75" hidden="1">
      <c r="A585" s="960"/>
      <c r="B585" s="957" t="s">
        <v>785</v>
      </c>
      <c r="C585" s="940">
        <f>_xlfn.IFERROR(VLOOKUP(B585,'[1]ПО КОРИСНИЦИМА'!$C$3:$J$11609,5,FALSE),"")</f>
      </c>
      <c r="D585" s="943" t="e">
        <f>SUMIF('[1]ПО КОРИСНИЦИМА'!$G$3:$G$11609,"Свега за пројекат 0602-П51:",'[1]ПО КОРИСНИЦИМА'!$H$3:$H$11609)</f>
        <v>#VALUE!</v>
      </c>
      <c r="E585" s="938" t="e">
        <f t="shared" si="19"/>
        <v>#VALUE!</v>
      </c>
      <c r="F585" s="1237" t="e">
        <f>SUMIF('[1]ПО КОРИСНИЦИМА'!$G$3:$G$11609,"Свега за пројекат 0602-П51:",'[1]ПО КОРИСНИЦИМА'!$H$3:$H$11609)</f>
        <v>#VALUE!</v>
      </c>
      <c r="G585" s="969" t="e">
        <f t="shared" si="18"/>
        <v>#VALUE!</v>
      </c>
      <c r="H585" s="942"/>
    </row>
    <row r="586" spans="1:8" ht="12.75" hidden="1">
      <c r="A586" s="960"/>
      <c r="B586" s="957" t="s">
        <v>786</v>
      </c>
      <c r="C586" s="940">
        <f>_xlfn.IFERROR(VLOOKUP(B586,'[1]ПО КОРИСНИЦИМА'!$C$3:$J$11609,5,FALSE),"")</f>
      </c>
      <c r="D586" s="943" t="e">
        <f>SUMIF('[1]ПО КОРИСНИЦИМА'!$G$3:$G$11609,"Свега за пројекат 0602-П52:",'[1]ПО КОРИСНИЦИМА'!$H$3:$H$11609)</f>
        <v>#VALUE!</v>
      </c>
      <c r="E586" s="938" t="e">
        <f t="shared" si="19"/>
        <v>#VALUE!</v>
      </c>
      <c r="F586" s="1237" t="e">
        <f>SUMIF('[1]ПО КОРИСНИЦИМА'!$G$3:$G$11609,"Свега за пројекат 0602-П52:",'[1]ПО КОРИСНИЦИМА'!$H$3:$H$11609)</f>
        <v>#VALUE!</v>
      </c>
      <c r="G586" s="969" t="e">
        <f t="shared" si="18"/>
        <v>#VALUE!</v>
      </c>
      <c r="H586" s="942"/>
    </row>
    <row r="587" spans="1:8" ht="12.75" hidden="1">
      <c r="A587" s="960"/>
      <c r="B587" s="957" t="s">
        <v>787</v>
      </c>
      <c r="C587" s="940">
        <f>_xlfn.IFERROR(VLOOKUP(B587,'[1]ПО КОРИСНИЦИМА'!$C$3:$J$11609,5,FALSE),"")</f>
      </c>
      <c r="D587" s="943" t="e">
        <f>SUMIF('[1]ПО КОРИСНИЦИМА'!$G$3:$G$11609,"Свега за пројекат 0602-П53:",'[1]ПО КОРИСНИЦИМА'!$H$3:$H$11609)</f>
        <v>#VALUE!</v>
      </c>
      <c r="E587" s="938" t="e">
        <f t="shared" si="19"/>
        <v>#VALUE!</v>
      </c>
      <c r="F587" s="1237" t="e">
        <f>SUMIF('[1]ПО КОРИСНИЦИМА'!$G$3:$G$11609,"Свега за пројекат 0602-П53:",'[1]ПО КОРИСНИЦИМА'!$H$3:$H$11609)</f>
        <v>#VALUE!</v>
      </c>
      <c r="G587" s="969" t="e">
        <f t="shared" si="18"/>
        <v>#VALUE!</v>
      </c>
      <c r="H587" s="942"/>
    </row>
    <row r="588" spans="1:8" ht="12.75" hidden="1">
      <c r="A588" s="960"/>
      <c r="B588" s="957" t="s">
        <v>788</v>
      </c>
      <c r="C588" s="940">
        <f>_xlfn.IFERROR(VLOOKUP(B588,'[1]ПО КОРИСНИЦИМА'!$C$3:$J$11609,5,FALSE),"")</f>
      </c>
      <c r="D588" s="943" t="e">
        <f>SUMIF('[1]ПО КОРИСНИЦИМА'!$G$3:$G$11609,"Свега за пројекат 0602-П54:",'[1]ПО КОРИСНИЦИМА'!$H$3:$H$11609)</f>
        <v>#VALUE!</v>
      </c>
      <c r="E588" s="938" t="e">
        <f t="shared" si="19"/>
        <v>#VALUE!</v>
      </c>
      <c r="F588" s="1237" t="e">
        <f>SUMIF('[1]ПО КОРИСНИЦИМА'!$G$3:$G$11609,"Свега за пројекат 0602-П54:",'[1]ПО КОРИСНИЦИМА'!$H$3:$H$11609)</f>
        <v>#VALUE!</v>
      </c>
      <c r="G588" s="969" t="e">
        <f t="shared" si="18"/>
        <v>#VALUE!</v>
      </c>
      <c r="H588" s="942"/>
    </row>
    <row r="589" spans="1:8" ht="12.75" hidden="1">
      <c r="A589" s="960"/>
      <c r="B589" s="957" t="s">
        <v>789</v>
      </c>
      <c r="C589" s="940">
        <f>_xlfn.IFERROR(VLOOKUP(B589,'[1]ПО КОРИСНИЦИМА'!$C$3:$J$11609,5,FALSE),"")</f>
      </c>
      <c r="D589" s="943" t="e">
        <f>SUMIF('[1]ПО КОРИСНИЦИМА'!$G$3:$G$11609,"Свега за пројекат 0602-П55:",'[1]ПО КОРИСНИЦИМА'!$H$3:$H$11609)</f>
        <v>#VALUE!</v>
      </c>
      <c r="E589" s="938" t="e">
        <f t="shared" si="19"/>
        <v>#VALUE!</v>
      </c>
      <c r="F589" s="1237" t="e">
        <f>SUMIF('[1]ПО КОРИСНИЦИМА'!$G$3:$G$11609,"Свега за пројекат 0602-П55:",'[1]ПО КОРИСНИЦИМА'!$H$3:$H$11609)</f>
        <v>#VALUE!</v>
      </c>
      <c r="G589" s="969" t="e">
        <f t="shared" si="18"/>
        <v>#VALUE!</v>
      </c>
      <c r="H589" s="942"/>
    </row>
    <row r="590" spans="1:8" ht="12.75" hidden="1">
      <c r="A590" s="960"/>
      <c r="B590" s="957" t="s">
        <v>790</v>
      </c>
      <c r="C590" s="940">
        <f>_xlfn.IFERROR(VLOOKUP(B590,'[1]ПО КОРИСНИЦИМА'!$C$3:$J$11609,5,FALSE),"")</f>
      </c>
      <c r="D590" s="943" t="e">
        <f>SUMIF('[1]ПО КОРИСНИЦИМА'!$G$3:$G$11609,"Свега за пројекат 0602-П56:",'[1]ПО КОРИСНИЦИМА'!$H$3:$H$11609)</f>
        <v>#VALUE!</v>
      </c>
      <c r="E590" s="938" t="e">
        <f t="shared" si="19"/>
        <v>#VALUE!</v>
      </c>
      <c r="F590" s="1237" t="e">
        <f>SUMIF('[1]ПО КОРИСНИЦИМА'!$G$3:$G$11609,"Свега за пројекат 0602-П56:",'[1]ПО КОРИСНИЦИМА'!$H$3:$H$11609)</f>
        <v>#VALUE!</v>
      </c>
      <c r="G590" s="969" t="e">
        <f t="shared" si="18"/>
        <v>#VALUE!</v>
      </c>
      <c r="H590" s="942"/>
    </row>
    <row r="591" spans="1:8" ht="12.75" hidden="1">
      <c r="A591" s="960"/>
      <c r="B591" s="957" t="s">
        <v>791</v>
      </c>
      <c r="C591" s="940">
        <f>_xlfn.IFERROR(VLOOKUP(B591,'[1]ПО КОРИСНИЦИМА'!$C$3:$J$11609,5,FALSE),"")</f>
      </c>
      <c r="D591" s="943" t="e">
        <f>SUMIF('[1]ПО КОРИСНИЦИМА'!$G$3:$G$11609,"Свега за пројекат 0602-П57:",'[1]ПО КОРИСНИЦИМА'!$H$3:$H$11609)</f>
        <v>#VALUE!</v>
      </c>
      <c r="E591" s="938" t="e">
        <f t="shared" si="19"/>
        <v>#VALUE!</v>
      </c>
      <c r="F591" s="1237" t="e">
        <f>SUMIF('[1]ПО КОРИСНИЦИМА'!$G$3:$G$11609,"Свега за пројекат 0602-П57:",'[1]ПО КОРИСНИЦИМА'!$H$3:$H$11609)</f>
        <v>#VALUE!</v>
      </c>
      <c r="G591" s="969" t="e">
        <f t="shared" si="18"/>
        <v>#VALUE!</v>
      </c>
      <c r="H591" s="942"/>
    </row>
    <row r="592" spans="1:8" ht="12.75" hidden="1">
      <c r="A592" s="960"/>
      <c r="B592" s="957" t="s">
        <v>792</v>
      </c>
      <c r="C592" s="940">
        <f>_xlfn.IFERROR(VLOOKUP(B592,'[1]ПО КОРИСНИЦИМА'!$C$3:$J$11609,5,FALSE),"")</f>
      </c>
      <c r="D592" s="943" t="e">
        <f>SUMIF('[1]ПО КОРИСНИЦИМА'!$G$3:$G$11609,"Свега за пројекат 0602-П58:",'[1]ПО КОРИСНИЦИМА'!$H$3:$H$11609)</f>
        <v>#VALUE!</v>
      </c>
      <c r="E592" s="938" t="e">
        <f t="shared" si="19"/>
        <v>#VALUE!</v>
      </c>
      <c r="F592" s="1237" t="e">
        <f>SUMIF('[1]ПО КОРИСНИЦИМА'!$G$3:$G$11609,"Свега за пројекат 0602-П58:",'[1]ПО КОРИСНИЦИМА'!$H$3:$H$11609)</f>
        <v>#VALUE!</v>
      </c>
      <c r="G592" s="969" t="e">
        <f t="shared" si="18"/>
        <v>#VALUE!</v>
      </c>
      <c r="H592" s="942"/>
    </row>
    <row r="593" spans="1:8" ht="12.75" hidden="1">
      <c r="A593" s="960"/>
      <c r="B593" s="957" t="s">
        <v>793</v>
      </c>
      <c r="C593" s="940">
        <f>_xlfn.IFERROR(VLOOKUP(B593,'[1]ПО КОРИСНИЦИМА'!$C$3:$J$11609,5,FALSE),"")</f>
      </c>
      <c r="D593" s="943" t="e">
        <f>SUMIF('[1]ПО КОРИСНИЦИМА'!$G$3:$G$11609,"Свега за пројекат 0602-П59:",'[1]ПО КОРИСНИЦИМА'!$H$3:$H$11609)</f>
        <v>#VALUE!</v>
      </c>
      <c r="E593" s="938" t="e">
        <f t="shared" si="19"/>
        <v>#VALUE!</v>
      </c>
      <c r="F593" s="1237" t="e">
        <f>SUMIF('[1]ПО КОРИСНИЦИМА'!$G$3:$G$11609,"Свега за пројекат 0602-П59:",'[1]ПО КОРИСНИЦИМА'!$H$3:$H$11609)</f>
        <v>#VALUE!</v>
      </c>
      <c r="G593" s="969" t="e">
        <f t="shared" si="18"/>
        <v>#VALUE!</v>
      </c>
      <c r="H593" s="942"/>
    </row>
    <row r="594" spans="1:8" ht="12.75" hidden="1">
      <c r="A594" s="960"/>
      <c r="B594" s="957" t="s">
        <v>794</v>
      </c>
      <c r="C594" s="940">
        <f>_xlfn.IFERROR(VLOOKUP(B594,'[1]ПО КОРИСНИЦИМА'!$C$3:$J$11609,5,FALSE),"")</f>
      </c>
      <c r="D594" s="943" t="e">
        <f>SUMIF('[1]ПО КОРИСНИЦИМА'!$G$3:$G$11609,"Свега за пројекат 0602-П60:",'[1]ПО КОРИСНИЦИМА'!$H$3:$H$11609)</f>
        <v>#VALUE!</v>
      </c>
      <c r="E594" s="938" t="e">
        <f t="shared" si="19"/>
        <v>#VALUE!</v>
      </c>
      <c r="F594" s="1237" t="e">
        <f>SUMIF('[1]ПО КОРИСНИЦИМА'!$G$3:$G$11609,"Свега за пројекат 0602-П60:",'[1]ПО КОРИСНИЦИМА'!$H$3:$H$11609)</f>
        <v>#VALUE!</v>
      </c>
      <c r="G594" s="969" t="e">
        <f t="shared" si="18"/>
        <v>#VALUE!</v>
      </c>
      <c r="H594" s="942"/>
    </row>
    <row r="595" spans="1:8" ht="12.75" hidden="1">
      <c r="A595" s="960"/>
      <c r="B595" s="957" t="s">
        <v>795</v>
      </c>
      <c r="C595" s="940">
        <f>_xlfn.IFERROR(VLOOKUP(B595,'[1]ПО КОРИСНИЦИМА'!$C$3:$J$11609,5,FALSE),"")</f>
      </c>
      <c r="D595" s="943" t="e">
        <f>SUMIF('[1]ПО КОРИСНИЦИМА'!$G$3:$G$11609,"Свега за пројекат 0602-П61:",'[1]ПО КОРИСНИЦИМА'!$H$3:$H$11609)</f>
        <v>#VALUE!</v>
      </c>
      <c r="E595" s="938" t="e">
        <f t="shared" si="19"/>
        <v>#VALUE!</v>
      </c>
      <c r="F595" s="1237" t="e">
        <f>SUMIF('[1]ПО КОРИСНИЦИМА'!$G$3:$G$11609,"Свега за пројекат 0602-П61:",'[1]ПО КОРИСНИЦИМА'!$H$3:$H$11609)</f>
        <v>#VALUE!</v>
      </c>
      <c r="G595" s="969" t="e">
        <f t="shared" si="18"/>
        <v>#VALUE!</v>
      </c>
      <c r="H595" s="942"/>
    </row>
    <row r="596" spans="1:8" ht="12.75" hidden="1">
      <c r="A596" s="960"/>
      <c r="B596" s="957" t="s">
        <v>796</v>
      </c>
      <c r="C596" s="940">
        <f>_xlfn.IFERROR(VLOOKUP(B596,'[1]ПО КОРИСНИЦИМА'!$C$3:$J$11609,5,FALSE),"")</f>
      </c>
      <c r="D596" s="943" t="e">
        <f>SUMIF('[1]ПО КОРИСНИЦИМА'!$G$3:$G$11609,"Свега за пројекат 0602-П62:",'[1]ПО КОРИСНИЦИМА'!$H$3:$H$11609)</f>
        <v>#VALUE!</v>
      </c>
      <c r="E596" s="938" t="e">
        <f t="shared" si="19"/>
        <v>#VALUE!</v>
      </c>
      <c r="F596" s="1237" t="e">
        <f>SUMIF('[1]ПО КОРИСНИЦИМА'!$G$3:$G$11609,"Свега за пројекат 0602-П62:",'[1]ПО КОРИСНИЦИМА'!$H$3:$H$11609)</f>
        <v>#VALUE!</v>
      </c>
      <c r="G596" s="969" t="e">
        <f t="shared" si="18"/>
        <v>#VALUE!</v>
      </c>
      <c r="H596" s="942"/>
    </row>
    <row r="597" spans="1:8" ht="12.75" hidden="1">
      <c r="A597" s="960"/>
      <c r="B597" s="957" t="s">
        <v>797</v>
      </c>
      <c r="C597" s="940">
        <f>_xlfn.IFERROR(VLOOKUP(B597,'[1]ПО КОРИСНИЦИМА'!$C$3:$J$11609,5,FALSE),"")</f>
      </c>
      <c r="D597" s="943" t="e">
        <f>SUMIF('[1]ПО КОРИСНИЦИМА'!$G$3:$G$11609,"Свега за пројекат 0602-П63:",'[1]ПО КОРИСНИЦИМА'!$H$3:$H$11609)</f>
        <v>#VALUE!</v>
      </c>
      <c r="E597" s="938" t="e">
        <f t="shared" si="19"/>
        <v>#VALUE!</v>
      </c>
      <c r="F597" s="1237" t="e">
        <f>SUMIF('[1]ПО КОРИСНИЦИМА'!$G$3:$G$11609,"Свега за пројекат 0602-П63:",'[1]ПО КОРИСНИЦИМА'!$H$3:$H$11609)</f>
        <v>#VALUE!</v>
      </c>
      <c r="G597" s="969" t="e">
        <f t="shared" si="18"/>
        <v>#VALUE!</v>
      </c>
      <c r="H597" s="942"/>
    </row>
    <row r="598" spans="1:8" ht="12.75" hidden="1">
      <c r="A598" s="960"/>
      <c r="B598" s="957" t="s">
        <v>798</v>
      </c>
      <c r="C598" s="940">
        <f>_xlfn.IFERROR(VLOOKUP(B598,'[1]ПО КОРИСНИЦИМА'!$C$3:$J$11609,5,FALSE),"")</f>
      </c>
      <c r="D598" s="943" t="e">
        <f>SUMIF('[1]ПО КОРИСНИЦИМА'!$G$3:$G$11609,"Свега за пројекат 0602-П64:",'[1]ПО КОРИСНИЦИМА'!$H$3:$H$11609)</f>
        <v>#VALUE!</v>
      </c>
      <c r="E598" s="938" t="e">
        <f t="shared" si="19"/>
        <v>#VALUE!</v>
      </c>
      <c r="F598" s="1237" t="e">
        <f>SUMIF('[1]ПО КОРИСНИЦИМА'!$G$3:$G$11609,"Свега за пројекат 0602-П64:",'[1]ПО КОРИСНИЦИМА'!$H$3:$H$11609)</f>
        <v>#VALUE!</v>
      </c>
      <c r="G598" s="969" t="e">
        <f t="shared" si="18"/>
        <v>#VALUE!</v>
      </c>
      <c r="H598" s="942"/>
    </row>
    <row r="599" spans="1:8" ht="12.75" hidden="1">
      <c r="A599" s="960"/>
      <c r="B599" s="957" t="s">
        <v>799</v>
      </c>
      <c r="C599" s="940">
        <f>_xlfn.IFERROR(VLOOKUP(B599,'[1]ПО КОРИСНИЦИМА'!$C$3:$J$11609,5,FALSE),"")</f>
      </c>
      <c r="D599" s="943" t="e">
        <f>SUMIF('[1]ПО КОРИСНИЦИМА'!$G$3:$G$11609,"Свега за пројекат 0602-П65:",'[1]ПО КОРИСНИЦИМА'!$H$3:$H$11609)</f>
        <v>#VALUE!</v>
      </c>
      <c r="E599" s="938" t="e">
        <f t="shared" si="19"/>
        <v>#VALUE!</v>
      </c>
      <c r="F599" s="1237" t="e">
        <f>SUMIF('[1]ПО КОРИСНИЦИМА'!$G$3:$G$11609,"Свега за пројекат 0602-П65:",'[1]ПО КОРИСНИЦИМА'!$H$3:$H$11609)</f>
        <v>#VALUE!</v>
      </c>
      <c r="G599" s="969" t="e">
        <f t="shared" si="18"/>
        <v>#VALUE!</v>
      </c>
      <c r="H599" s="942"/>
    </row>
    <row r="600" spans="1:8" ht="12.75" hidden="1">
      <c r="A600" s="960"/>
      <c r="B600" s="957" t="s">
        <v>800</v>
      </c>
      <c r="C600" s="940">
        <f>_xlfn.IFERROR(VLOOKUP(B600,'[1]ПО КОРИСНИЦИМА'!$C$3:$J$11609,5,FALSE),"")</f>
      </c>
      <c r="D600" s="943" t="e">
        <f>SUMIF('[1]ПО КОРИСНИЦИМА'!$G$3:$G$11609,"Свега за пројекат 0602-П66:",'[1]ПО КОРИСНИЦИМА'!$H$3:$H$11609)</f>
        <v>#VALUE!</v>
      </c>
      <c r="E600" s="938" t="e">
        <f t="shared" si="19"/>
        <v>#VALUE!</v>
      </c>
      <c r="F600" s="1237" t="e">
        <f>SUMIF('[1]ПО КОРИСНИЦИМА'!$G$3:$G$11609,"Свега за пројекат 0602-П66:",'[1]ПО КОРИСНИЦИМА'!$H$3:$H$11609)</f>
        <v>#VALUE!</v>
      </c>
      <c r="G600" s="969" t="e">
        <f t="shared" si="18"/>
        <v>#VALUE!</v>
      </c>
      <c r="H600" s="942"/>
    </row>
    <row r="601" spans="1:8" ht="12.75" hidden="1">
      <c r="A601" s="960"/>
      <c r="B601" s="957" t="s">
        <v>801</v>
      </c>
      <c r="C601" s="940">
        <f>_xlfn.IFERROR(VLOOKUP(B601,'[1]ПО КОРИСНИЦИМА'!$C$3:$J$11609,5,FALSE),"")</f>
      </c>
      <c r="D601" s="943" t="e">
        <f>SUMIF('[1]ПО КОРИСНИЦИМА'!$G$3:$G$11609,"Свега за пројекат 0602-П67:",'[1]ПО КОРИСНИЦИМА'!$H$3:$H$11609)</f>
        <v>#VALUE!</v>
      </c>
      <c r="E601" s="938" t="e">
        <f t="shared" si="19"/>
        <v>#VALUE!</v>
      </c>
      <c r="F601" s="1237" t="e">
        <f>SUMIF('[1]ПО КОРИСНИЦИМА'!$G$3:$G$11609,"Свега за пројекат 0602-П67:",'[1]ПО КОРИСНИЦИМА'!$H$3:$H$11609)</f>
        <v>#VALUE!</v>
      </c>
      <c r="G601" s="969" t="e">
        <f t="shared" si="18"/>
        <v>#VALUE!</v>
      </c>
      <c r="H601" s="942"/>
    </row>
    <row r="602" spans="1:8" ht="12.75" hidden="1">
      <c r="A602" s="960"/>
      <c r="B602" s="957" t="s">
        <v>802</v>
      </c>
      <c r="C602" s="940">
        <f>_xlfn.IFERROR(VLOOKUP(B602,'[1]ПО КОРИСНИЦИМА'!$C$3:$J$11609,5,FALSE),"")</f>
      </c>
      <c r="D602" s="943" t="e">
        <f>SUMIF('[1]ПО КОРИСНИЦИМА'!$G$3:$G$11609,"Свега за пројекат 0602-П68:",'[1]ПО КОРИСНИЦИМА'!$H$3:$H$11609)</f>
        <v>#VALUE!</v>
      </c>
      <c r="E602" s="938" t="e">
        <f t="shared" si="19"/>
        <v>#VALUE!</v>
      </c>
      <c r="F602" s="1237" t="e">
        <f>SUMIF('[1]ПО КОРИСНИЦИМА'!$G$3:$G$11609,"Свега за пројекат 0602-П68:",'[1]ПО КОРИСНИЦИМА'!$H$3:$H$11609)</f>
        <v>#VALUE!</v>
      </c>
      <c r="G602" s="969" t="e">
        <f t="shared" si="18"/>
        <v>#VALUE!</v>
      </c>
      <c r="H602" s="942"/>
    </row>
    <row r="603" spans="1:8" ht="12.75" hidden="1">
      <c r="A603" s="960"/>
      <c r="B603" s="957" t="s">
        <v>803</v>
      </c>
      <c r="C603" s="940">
        <f>_xlfn.IFERROR(VLOOKUP(B603,'[1]ПО КОРИСНИЦИМА'!$C$3:$J$11609,5,FALSE),"")</f>
      </c>
      <c r="D603" s="943" t="e">
        <f>SUMIF('[1]ПО КОРИСНИЦИМА'!$G$3:$G$11609,"Свега за пројекат 0602-П69:",'[1]ПО КОРИСНИЦИМА'!$H$3:$H$11609)</f>
        <v>#VALUE!</v>
      </c>
      <c r="E603" s="938" t="e">
        <f t="shared" si="19"/>
        <v>#VALUE!</v>
      </c>
      <c r="F603" s="1237" t="e">
        <f>SUMIF('[1]ПО КОРИСНИЦИМА'!$G$3:$G$11609,"Свега за пројекат 0602-П69:",'[1]ПО КОРИСНИЦИМА'!$H$3:$H$11609)</f>
        <v>#VALUE!</v>
      </c>
      <c r="G603" s="969" t="e">
        <f t="shared" si="18"/>
        <v>#VALUE!</v>
      </c>
      <c r="H603" s="942"/>
    </row>
    <row r="604" spans="1:8" ht="12.75" hidden="1">
      <c r="A604" s="960"/>
      <c r="B604" s="957" t="s">
        <v>804</v>
      </c>
      <c r="C604" s="940">
        <f>_xlfn.IFERROR(VLOOKUP(B604,'[1]ПО КОРИСНИЦИМА'!$C$3:$J$11609,5,FALSE),"")</f>
      </c>
      <c r="D604" s="943" t="e">
        <f>SUMIF('[1]ПО КОРИСНИЦИМА'!$G$3:$G$11609,"Свега за пројекат 0602-П70:",'[1]ПО КОРИСНИЦИМА'!$H$3:$H$11609)</f>
        <v>#VALUE!</v>
      </c>
      <c r="E604" s="938" t="e">
        <f t="shared" si="19"/>
        <v>#VALUE!</v>
      </c>
      <c r="F604" s="1237" t="e">
        <f>SUMIF('[1]ПО КОРИСНИЦИМА'!$G$3:$G$11609,"Свега за пројекат 0602-П70:",'[1]ПО КОРИСНИЦИМА'!$H$3:$H$11609)</f>
        <v>#VALUE!</v>
      </c>
      <c r="G604" s="969" t="e">
        <f t="shared" si="18"/>
        <v>#VALUE!</v>
      </c>
      <c r="H604" s="942"/>
    </row>
    <row r="605" spans="1:8" s="306" customFormat="1" ht="12.75">
      <c r="A605" s="934" t="s">
        <v>1180</v>
      </c>
      <c r="B605" s="935"/>
      <c r="C605" s="936" t="s">
        <v>1183</v>
      </c>
      <c r="D605" s="937">
        <f>SUM(D606:D607)</f>
        <v>28686100</v>
      </c>
      <c r="E605" s="938">
        <f t="shared" si="19"/>
        <v>0.05938930193298875</v>
      </c>
      <c r="F605" s="1235">
        <f>SUM(F606:F607)</f>
        <v>268764.78</v>
      </c>
      <c r="G605" s="937">
        <f t="shared" si="18"/>
        <v>28954864.78</v>
      </c>
      <c r="H605" s="949"/>
    </row>
    <row r="606" spans="1:8" ht="12.75">
      <c r="A606" s="960"/>
      <c r="B606" s="952" t="s">
        <v>1181</v>
      </c>
      <c r="C606" s="967" t="s">
        <v>1182</v>
      </c>
      <c r="D606" s="941">
        <f>Rashodi!M9</f>
        <v>9761000</v>
      </c>
      <c r="E606" s="1242">
        <f t="shared" si="19"/>
        <v>0.020208357921359235</v>
      </c>
      <c r="F606" s="1236">
        <f>Rashodi!T9</f>
        <v>0</v>
      </c>
      <c r="G606" s="962">
        <f t="shared" si="18"/>
        <v>9761000</v>
      </c>
      <c r="H606" s="942" t="s">
        <v>1265</v>
      </c>
    </row>
    <row r="607" spans="1:8" ht="12.75">
      <c r="A607" s="960"/>
      <c r="B607" s="952" t="s">
        <v>1184</v>
      </c>
      <c r="C607" s="967" t="s">
        <v>1185</v>
      </c>
      <c r="D607" s="941">
        <f>Rashodi!M40+Rashodi!M57</f>
        <v>18925100</v>
      </c>
      <c r="E607" s="1242">
        <f t="shared" si="19"/>
        <v>0.03918094401162951</v>
      </c>
      <c r="F607" s="1236">
        <f>Rashodi!T40+Rashodi!T57</f>
        <v>268764.78</v>
      </c>
      <c r="G607" s="962">
        <f t="shared" si="18"/>
        <v>19193864.78</v>
      </c>
      <c r="H607" s="942" t="s">
        <v>1266</v>
      </c>
    </row>
    <row r="608" spans="1:8" s="306" customFormat="1" ht="12.75">
      <c r="A608" s="934" t="s">
        <v>1229</v>
      </c>
      <c r="B608" s="935"/>
      <c r="C608" s="936" t="s">
        <v>1250</v>
      </c>
      <c r="D608" s="937">
        <f>SUM(D609:D610)</f>
        <v>2500000</v>
      </c>
      <c r="E608" s="938">
        <f t="shared" si="19"/>
        <v>0.005175790882429883</v>
      </c>
      <c r="F608" s="1235">
        <f>SUM(F609:F610)</f>
        <v>2000000</v>
      </c>
      <c r="G608" s="937">
        <f t="shared" si="18"/>
        <v>4500000</v>
      </c>
      <c r="H608" s="949"/>
    </row>
    <row r="609" spans="1:8" ht="12.75">
      <c r="A609" s="960"/>
      <c r="B609" s="952" t="s">
        <v>1230</v>
      </c>
      <c r="C609" s="967" t="s">
        <v>1455</v>
      </c>
      <c r="D609" s="941">
        <f>Rashodi!M329</f>
        <v>2500000</v>
      </c>
      <c r="E609" s="1242">
        <f t="shared" si="19"/>
        <v>0.005175790882429883</v>
      </c>
      <c r="F609" s="1236">
        <f>Rashodi!T329</f>
        <v>2000000</v>
      </c>
      <c r="G609" s="962">
        <f t="shared" si="18"/>
        <v>4500000</v>
      </c>
      <c r="H609" s="942" t="s">
        <v>1150</v>
      </c>
    </row>
    <row r="610" spans="1:8" ht="12.75" hidden="1">
      <c r="A610" s="960"/>
      <c r="B610" s="952"/>
      <c r="C610" s="967"/>
      <c r="D610" s="941"/>
      <c r="E610" s="938">
        <f t="shared" si="19"/>
        <v>0</v>
      </c>
      <c r="F610" s="1236"/>
      <c r="G610" s="962">
        <f t="shared" si="18"/>
        <v>0</v>
      </c>
      <c r="H610" s="942" t="s">
        <v>1150</v>
      </c>
    </row>
    <row r="611" spans="1:8" ht="27.75" customHeight="1">
      <c r="A611" s="1532"/>
      <c r="B611" s="1532"/>
      <c r="C611" s="970" t="s">
        <v>854</v>
      </c>
      <c r="D611" s="971">
        <f>D608+D605+D523+D469+D416+D379+D342+D310+D278+D246+D192+D172+D153+D98+D32+D5</f>
        <v>483017969</v>
      </c>
      <c r="E611" s="1125">
        <f t="shared" si="19"/>
        <v>1</v>
      </c>
      <c r="F611" s="1238">
        <f>F608+F605+F523+F469+F416+F379+F342+F310+F278+F246+F192+F172+F153+F98+F32+F5</f>
        <v>177153221.25</v>
      </c>
      <c r="G611" s="971">
        <f t="shared" si="18"/>
        <v>660171190.25</v>
      </c>
      <c r="H611" s="972"/>
    </row>
    <row r="612" spans="4:7" ht="12.75">
      <c r="D612" s="308"/>
      <c r="G612" s="310">
        <f>Ukupno_izdaci-'[1]Програмска'!G598</f>
        <v>0</v>
      </c>
    </row>
    <row r="617" spans="1:2" ht="12.75">
      <c r="A617" s="312" t="s">
        <v>1145</v>
      </c>
      <c r="B617" s="313">
        <f>D5</f>
        <v>19400000</v>
      </c>
    </row>
    <row r="618" spans="1:2" ht="12.75">
      <c r="A618" s="312" t="s">
        <v>1146</v>
      </c>
      <c r="B618" s="313">
        <f>D32</f>
        <v>42200000</v>
      </c>
    </row>
    <row r="619" spans="1:2" ht="12.75">
      <c r="A619" s="312" t="s">
        <v>1147</v>
      </c>
      <c r="B619" s="313">
        <f>D98</f>
        <v>8872000</v>
      </c>
    </row>
    <row r="620" spans="1:2" ht="12.75">
      <c r="A620" s="312" t="s">
        <v>1148</v>
      </c>
      <c r="B620" s="313">
        <f>D126</f>
        <v>0</v>
      </c>
    </row>
    <row r="621" spans="1:2" ht="12.75">
      <c r="A621" s="312" t="s">
        <v>0</v>
      </c>
      <c r="B621" s="313">
        <f>D153</f>
        <v>6800000</v>
      </c>
    </row>
    <row r="622" spans="1:2" ht="12.75">
      <c r="A622" s="312" t="s">
        <v>1</v>
      </c>
      <c r="B622" s="313">
        <f>D172</f>
        <v>16906700</v>
      </c>
    </row>
    <row r="623" spans="1:2" ht="12.75">
      <c r="A623" s="312" t="s">
        <v>2</v>
      </c>
      <c r="B623" s="313">
        <f>D192</f>
        <v>20240000</v>
      </c>
    </row>
    <row r="624" spans="1:2" ht="12.75">
      <c r="A624" s="312" t="s">
        <v>3</v>
      </c>
      <c r="B624" s="313">
        <f>D246</f>
        <v>64036000</v>
      </c>
    </row>
    <row r="625" spans="1:2" ht="12.75">
      <c r="A625" s="312" t="s">
        <v>4</v>
      </c>
      <c r="B625" s="313">
        <f>D278</f>
        <v>35793190</v>
      </c>
    </row>
    <row r="626" spans="1:2" ht="12.75">
      <c r="A626" s="312" t="s">
        <v>5</v>
      </c>
      <c r="B626" s="313">
        <f>D310</f>
        <v>5300000</v>
      </c>
    </row>
    <row r="627" spans="1:2" ht="12.75">
      <c r="A627" s="312" t="s">
        <v>6</v>
      </c>
      <c r="B627" s="313">
        <f>D342</f>
        <v>58441300</v>
      </c>
    </row>
    <row r="628" spans="1:2" ht="12.75">
      <c r="A628" s="312" t="s">
        <v>7</v>
      </c>
      <c r="B628" s="313">
        <f>D379</f>
        <v>16600000</v>
      </c>
    </row>
    <row r="629" spans="1:2" ht="12.75">
      <c r="A629" s="312" t="s">
        <v>8</v>
      </c>
      <c r="B629" s="313">
        <f>D412</f>
        <v>0</v>
      </c>
    </row>
    <row r="630" spans="1:2" ht="12.75">
      <c r="A630" s="312" t="s">
        <v>9</v>
      </c>
      <c r="B630" s="313">
        <f>D469</f>
        <v>8201000</v>
      </c>
    </row>
    <row r="631" spans="1:2" ht="12.75">
      <c r="A631" s="312" t="s">
        <v>10</v>
      </c>
      <c r="B631" s="313">
        <f>D523</f>
        <v>123875277</v>
      </c>
    </row>
  </sheetData>
  <sheetProtection/>
  <mergeCells count="9">
    <mergeCell ref="A611:B611"/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D612:G612">
    <cfRule type="cellIs" priority="1" dxfId="0" operator="notEqual" stopIfTrue="1">
      <formula>0</formula>
    </cfRule>
  </conditionalFormatting>
  <dataValidations count="1">
    <dataValidation type="whole" operator="equal" showInputMessage="1" showErrorMessage="1" errorTitle="gjkgkjgjh" error="jklhlglkjhkjhlk" sqref="D61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8"/>
  <sheetViews>
    <sheetView zoomScalePageLayoutView="0" workbookViewId="0" topLeftCell="A24">
      <selection activeCell="E37" sqref="B3:E37"/>
    </sheetView>
  </sheetViews>
  <sheetFormatPr defaultColWidth="7.7109375" defaultRowHeight="12.75"/>
  <cols>
    <col min="1" max="1" width="7.140625" style="188" customWidth="1"/>
    <col min="2" max="2" width="7.140625" style="224" customWidth="1"/>
    <col min="3" max="3" width="54.28125" style="188" customWidth="1"/>
    <col min="4" max="4" width="20.421875" style="233" customWidth="1"/>
    <col min="5" max="5" width="22.28125" style="188" customWidth="1"/>
    <col min="6" max="6" width="18.7109375" style="188" customWidth="1"/>
    <col min="7" max="27" width="7.7109375" style="191" customWidth="1"/>
    <col min="28" max="16384" width="7.7109375" style="188" customWidth="1"/>
  </cols>
  <sheetData>
    <row r="1" spans="2:6" ht="16.5">
      <c r="B1" s="220" t="s">
        <v>223</v>
      </c>
      <c r="C1" s="189"/>
      <c r="E1" s="189"/>
      <c r="F1" s="190"/>
    </row>
    <row r="2" spans="2:6" ht="15">
      <c r="B2" s="221"/>
      <c r="C2" s="189"/>
      <c r="E2" s="190" t="s">
        <v>224</v>
      </c>
      <c r="F2" s="192"/>
    </row>
    <row r="3" spans="1:5" ht="36" customHeight="1" thickBot="1">
      <c r="A3" s="193"/>
      <c r="B3" s="222"/>
      <c r="C3" s="196" t="s">
        <v>225</v>
      </c>
      <c r="D3" s="234" t="s">
        <v>241</v>
      </c>
      <c r="E3" s="197" t="s">
        <v>226</v>
      </c>
    </row>
    <row r="4" spans="1:5" ht="33">
      <c r="A4" s="194"/>
      <c r="B4" s="225"/>
      <c r="C4" s="209" t="s">
        <v>227</v>
      </c>
      <c r="D4" s="235"/>
      <c r="E4" s="210"/>
    </row>
    <row r="5" spans="1:27" s="189" customFormat="1" ht="30">
      <c r="A5" s="195"/>
      <c r="B5" s="228"/>
      <c r="C5" s="198" t="s">
        <v>228</v>
      </c>
      <c r="D5" s="236" t="s">
        <v>268</v>
      </c>
      <c r="E5" s="211">
        <f>E6+E16</f>
        <v>558462211.25</v>
      </c>
      <c r="F5" s="247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27" s="189" customFormat="1" ht="15">
      <c r="A6" s="195"/>
      <c r="B6" s="229"/>
      <c r="C6" s="199" t="s">
        <v>229</v>
      </c>
      <c r="D6" s="237">
        <v>7</v>
      </c>
      <c r="E6" s="212">
        <f>E7+E12+E14+E15</f>
        <v>558402211.25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</row>
    <row r="7" spans="1:27" s="189" customFormat="1" ht="15">
      <c r="A7" s="195"/>
      <c r="B7" s="230" t="s">
        <v>243</v>
      </c>
      <c r="C7" s="200" t="s">
        <v>242</v>
      </c>
      <c r="D7" s="238">
        <v>71</v>
      </c>
      <c r="E7" s="213">
        <f>'Prihodi-2022'!K10+'Prihodi-2022'!K30+'Prihodi-2022'!K43+'Prihodi-2022'!K56+'Prihodi-2022'!K27</f>
        <v>242821459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</row>
    <row r="8" spans="1:27" s="189" customFormat="1" ht="15">
      <c r="A8" s="195"/>
      <c r="B8" s="231" t="s">
        <v>72</v>
      </c>
      <c r="C8" s="201" t="s">
        <v>244</v>
      </c>
      <c r="D8" s="239">
        <v>711</v>
      </c>
      <c r="E8" s="214">
        <f>'Prihodi-2022'!K9</f>
        <v>164460000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</row>
    <row r="9" spans="1:27" s="189" customFormat="1" ht="15.75">
      <c r="A9" s="195"/>
      <c r="B9" s="231" t="s">
        <v>246</v>
      </c>
      <c r="C9" s="202" t="s">
        <v>245</v>
      </c>
      <c r="D9" s="240">
        <v>713</v>
      </c>
      <c r="E9" s="214">
        <f>'Prihodi-2022'!K30</f>
        <v>64568459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</row>
    <row r="10" spans="1:27" s="189" customFormat="1" ht="15.75">
      <c r="A10" s="195"/>
      <c r="B10" s="231" t="s">
        <v>248</v>
      </c>
      <c r="C10" s="202" t="s">
        <v>247</v>
      </c>
      <c r="D10" s="240">
        <v>714</v>
      </c>
      <c r="E10" s="214">
        <f>'Prihodi-2022'!K43</f>
        <v>7775000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</row>
    <row r="11" spans="1:27" s="189" customFormat="1" ht="15.75">
      <c r="A11" s="195"/>
      <c r="B11" s="231" t="s">
        <v>1155</v>
      </c>
      <c r="C11" s="202" t="s">
        <v>249</v>
      </c>
      <c r="D11" s="240">
        <v>716</v>
      </c>
      <c r="E11" s="214">
        <f>'Prihodi-2022'!K56</f>
        <v>6010000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</row>
    <row r="12" spans="1:27" s="189" customFormat="1" ht="15.75">
      <c r="A12" s="195"/>
      <c r="B12" s="231" t="s">
        <v>250</v>
      </c>
      <c r="C12" s="202" t="s">
        <v>251</v>
      </c>
      <c r="D12" s="240">
        <v>74</v>
      </c>
      <c r="E12" s="214">
        <f>'Prihodi-2022'!K68+'Prihodi-2022'!K82+'Prihodi-2022'!K98+'Prihodi-2022'!K107+'Prihodi-2022'!K126+'Prihodi-2022'!K150</f>
        <v>61679000</v>
      </c>
      <c r="F12" s="247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</row>
    <row r="13" spans="1:27" s="189" customFormat="1" ht="15.75">
      <c r="A13" s="195"/>
      <c r="B13" s="231"/>
      <c r="C13" s="202" t="s">
        <v>252</v>
      </c>
      <c r="D13" s="240">
        <v>7411</v>
      </c>
      <c r="E13" s="214">
        <f>'Prihodi-2022'!K103+'Prihodi-2022'!K69</f>
        <v>2200000</v>
      </c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</row>
    <row r="14" spans="1:27" s="189" customFormat="1" ht="15.75">
      <c r="A14" s="195"/>
      <c r="B14" s="231" t="s">
        <v>253</v>
      </c>
      <c r="C14" s="202" t="s">
        <v>254</v>
      </c>
      <c r="D14" s="240" t="s">
        <v>51</v>
      </c>
      <c r="E14" s="214">
        <f>'Prihodi-2022'!K133</f>
        <v>610000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</row>
    <row r="15" spans="1:27" s="189" customFormat="1" ht="15.75">
      <c r="A15" s="195"/>
      <c r="B15" s="231" t="s">
        <v>255</v>
      </c>
      <c r="C15" s="202" t="s">
        <v>256</v>
      </c>
      <c r="D15" s="240">
        <v>733</v>
      </c>
      <c r="E15" s="214">
        <f>'Prihodi-2022'!K63+'Prihodi-2022'!K139</f>
        <v>253291752.25</v>
      </c>
      <c r="F15" s="247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</row>
    <row r="16" spans="1:27" s="189" customFormat="1" ht="30">
      <c r="A16" s="195"/>
      <c r="B16" s="229"/>
      <c r="C16" s="203" t="s">
        <v>230</v>
      </c>
      <c r="D16" s="248">
        <v>8</v>
      </c>
      <c r="E16" s="249">
        <f>'Prihodi-2022'!K112</f>
        <v>60000</v>
      </c>
      <c r="F16" s="247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</row>
    <row r="17" spans="1:27" s="189" customFormat="1" ht="30">
      <c r="A17" s="195"/>
      <c r="B17" s="226"/>
      <c r="C17" s="198" t="s">
        <v>231</v>
      </c>
      <c r="D17" s="236" t="s">
        <v>269</v>
      </c>
      <c r="E17" s="215">
        <f>E18+E28</f>
        <v>660171190.25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27" s="189" customFormat="1" ht="15">
      <c r="A18" s="195"/>
      <c r="B18" s="229"/>
      <c r="C18" s="203" t="s">
        <v>232</v>
      </c>
      <c r="D18" s="241">
        <v>4</v>
      </c>
      <c r="E18" s="216">
        <f>SUM(E19:E27)</f>
        <v>535800348.25</v>
      </c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</row>
    <row r="19" spans="1:27" s="189" customFormat="1" ht="15.75">
      <c r="A19" s="195"/>
      <c r="B19" s="231" t="s">
        <v>243</v>
      </c>
      <c r="C19" s="202" t="s">
        <v>257</v>
      </c>
      <c r="D19" s="240">
        <v>41</v>
      </c>
      <c r="E19" s="214">
        <f>'rash.po nam.'!J5</f>
        <v>128880784</v>
      </c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</row>
    <row r="20" spans="1:27" s="189" customFormat="1" ht="15.75">
      <c r="A20" s="195"/>
      <c r="B20" s="231" t="s">
        <v>250</v>
      </c>
      <c r="C20" s="202" t="s">
        <v>258</v>
      </c>
      <c r="D20" s="240">
        <v>42</v>
      </c>
      <c r="E20" s="214">
        <f>'rash.po nam.'!J12</f>
        <v>210566894.25</v>
      </c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</row>
    <row r="21" spans="1:27" s="189" customFormat="1" ht="15.75">
      <c r="A21" s="195"/>
      <c r="B21" s="231" t="s">
        <v>253</v>
      </c>
      <c r="C21" s="202" t="s">
        <v>259</v>
      </c>
      <c r="D21" s="240">
        <v>44</v>
      </c>
      <c r="E21" s="214">
        <f>'rash.po nam.'!J19</f>
        <v>11000</v>
      </c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</row>
    <row r="22" spans="1:27" s="189" customFormat="1" ht="15.75">
      <c r="A22" s="195"/>
      <c r="B22" s="231" t="s">
        <v>260</v>
      </c>
      <c r="C22" s="202" t="s">
        <v>261</v>
      </c>
      <c r="D22" s="240">
        <v>45</v>
      </c>
      <c r="E22" s="214">
        <f>'rash.po nam.'!J22</f>
        <v>42256600</v>
      </c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</row>
    <row r="23" spans="1:27" s="189" customFormat="1" ht="15.75">
      <c r="A23" s="195"/>
      <c r="B23" s="231" t="s">
        <v>262</v>
      </c>
      <c r="C23" s="202" t="s">
        <v>263</v>
      </c>
      <c r="D23" s="240">
        <v>47</v>
      </c>
      <c r="E23" s="214">
        <f>'rash.po nam.'!J29</f>
        <v>32028580</v>
      </c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</row>
    <row r="24" spans="1:27" s="189" customFormat="1" ht="15.75">
      <c r="A24" s="195"/>
      <c r="B24" s="231" t="s">
        <v>264</v>
      </c>
      <c r="C24" s="202" t="s">
        <v>265</v>
      </c>
      <c r="D24" s="240" t="s">
        <v>52</v>
      </c>
      <c r="E24" s="214">
        <f>'rash.po nam.'!J31+'rash.po nam.'!J36</f>
        <v>32143000</v>
      </c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</row>
    <row r="25" spans="1:27" s="189" customFormat="1" ht="15.75">
      <c r="A25" s="195"/>
      <c r="B25" s="231" t="s">
        <v>266</v>
      </c>
      <c r="C25" s="259" t="s">
        <v>42</v>
      </c>
      <c r="D25" s="240">
        <v>463</v>
      </c>
      <c r="E25" s="214">
        <f>'rash.po nam.'!J26</f>
        <v>70963490</v>
      </c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</row>
    <row r="26" spans="1:27" s="189" customFormat="1" ht="15.75">
      <c r="A26" s="195"/>
      <c r="B26" s="231" t="s">
        <v>267</v>
      </c>
      <c r="C26" s="669" t="s">
        <v>1257</v>
      </c>
      <c r="D26" s="240">
        <v>464</v>
      </c>
      <c r="E26" s="214">
        <f>'rash.po nam.'!J27</f>
        <v>17800000</v>
      </c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</row>
    <row r="27" spans="1:27" s="189" customFormat="1" ht="15.75">
      <c r="A27" s="195"/>
      <c r="B27" s="231" t="s">
        <v>1156</v>
      </c>
      <c r="C27" s="260" t="s">
        <v>209</v>
      </c>
      <c r="D27" s="240">
        <v>465</v>
      </c>
      <c r="E27" s="214">
        <f>'rash.po nam.'!J28</f>
        <v>1150000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</row>
    <row r="28" spans="1:27" s="189" customFormat="1" ht="30">
      <c r="A28" s="195"/>
      <c r="B28" s="229"/>
      <c r="C28" s="204" t="s">
        <v>233</v>
      </c>
      <c r="D28" s="242">
        <v>5</v>
      </c>
      <c r="E28" s="216">
        <f>'rash.po nam.'!J38</f>
        <v>124370842</v>
      </c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</row>
    <row r="29" spans="1:27" s="189" customFormat="1" ht="15">
      <c r="A29" s="195"/>
      <c r="B29" s="226"/>
      <c r="C29" s="205" t="s">
        <v>234</v>
      </c>
      <c r="D29" s="243"/>
      <c r="E29" s="217">
        <f>E5-E17</f>
        <v>-101708979</v>
      </c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</row>
    <row r="30" spans="1:27" s="189" customFormat="1" ht="30">
      <c r="A30" s="195"/>
      <c r="B30" s="231"/>
      <c r="C30" s="202" t="s">
        <v>235</v>
      </c>
      <c r="D30" s="240">
        <v>62</v>
      </c>
      <c r="E30" s="214">
        <f>'rash.po nam.'!J45</f>
        <v>0</v>
      </c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</row>
    <row r="31" spans="1:27" s="189" customFormat="1" ht="30">
      <c r="A31" s="195"/>
      <c r="B31" s="230"/>
      <c r="C31" s="206" t="s">
        <v>236</v>
      </c>
      <c r="D31" s="244">
        <v>92</v>
      </c>
      <c r="E31" s="214">
        <v>0</v>
      </c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</row>
    <row r="32" spans="1:27" s="189" customFormat="1" ht="30">
      <c r="A32" s="195"/>
      <c r="B32" s="226"/>
      <c r="C32" s="205" t="s">
        <v>237</v>
      </c>
      <c r="D32" s="243"/>
      <c r="E32" s="217">
        <f>E29+E31-E30</f>
        <v>-101708979</v>
      </c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</row>
    <row r="33" spans="1:27" s="189" customFormat="1" ht="16.5">
      <c r="A33" s="195"/>
      <c r="B33" s="232"/>
      <c r="C33" s="207" t="s">
        <v>238</v>
      </c>
      <c r="D33" s="245"/>
      <c r="E33" s="218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</row>
    <row r="34" spans="1:27" s="189" customFormat="1" ht="15.75">
      <c r="A34" s="195"/>
      <c r="B34" s="231"/>
      <c r="C34" s="202" t="s">
        <v>270</v>
      </c>
      <c r="D34" s="240">
        <v>91</v>
      </c>
      <c r="E34" s="214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</row>
    <row r="35" spans="1:27" s="189" customFormat="1" ht="15.75">
      <c r="A35" s="195"/>
      <c r="B35" s="231"/>
      <c r="C35" s="202" t="s">
        <v>239</v>
      </c>
      <c r="D35" s="240">
        <v>3</v>
      </c>
      <c r="E35" s="214">
        <f>'Prihodi-2022'!L153</f>
        <v>101708979</v>
      </c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</row>
    <row r="36" spans="1:27" s="189" customFormat="1" ht="15.75">
      <c r="A36" s="195"/>
      <c r="B36" s="231"/>
      <c r="C36" s="202" t="s">
        <v>271</v>
      </c>
      <c r="D36" s="240">
        <v>61</v>
      </c>
      <c r="E36" s="214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</row>
    <row r="37" spans="1:27" s="189" customFormat="1" ht="16.5">
      <c r="A37" s="195"/>
      <c r="B37" s="227"/>
      <c r="C37" s="208" t="s">
        <v>240</v>
      </c>
      <c r="D37" s="246"/>
      <c r="E37" s="219">
        <f>E34+E35-E36</f>
        <v>101708979</v>
      </c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</row>
    <row r="38" spans="2:27" s="189" customFormat="1" ht="15">
      <c r="B38" s="223"/>
      <c r="D38" s="233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</row>
    <row r="39" spans="2:27" s="189" customFormat="1" ht="15" hidden="1">
      <c r="B39" s="223"/>
      <c r="D39" s="233"/>
      <c r="E39" s="247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</row>
    <row r="40" spans="2:27" s="189" customFormat="1" ht="15" hidden="1">
      <c r="B40" s="223"/>
      <c r="D40" s="233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</row>
    <row r="41" spans="2:27" s="189" customFormat="1" ht="15" hidden="1">
      <c r="B41" s="223"/>
      <c r="C41" s="504" t="s">
        <v>1158</v>
      </c>
      <c r="D41" s="505">
        <f>E17+E30</f>
        <v>660171190.25</v>
      </c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</row>
    <row r="42" spans="2:27" s="189" customFormat="1" ht="15" hidden="1">
      <c r="B42" s="223"/>
      <c r="C42" s="504" t="s">
        <v>1159</v>
      </c>
      <c r="D42" s="505">
        <f>E5+E35</f>
        <v>660171190.25</v>
      </c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</row>
    <row r="43" spans="2:27" s="189" customFormat="1" ht="15" hidden="1">
      <c r="B43" s="223"/>
      <c r="D43" s="534">
        <f>D41-D42</f>
        <v>0</v>
      </c>
      <c r="E43" s="247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</row>
    <row r="44" spans="2:27" s="189" customFormat="1" ht="15" hidden="1">
      <c r="B44" s="223"/>
      <c r="D44" s="233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2:27" s="189" customFormat="1" ht="15" hidden="1">
      <c r="B45" s="223"/>
      <c r="D45" s="233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</row>
    <row r="46" spans="2:27" s="189" customFormat="1" ht="15">
      <c r="B46" s="223"/>
      <c r="D46" s="233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</row>
    <row r="47" spans="2:27" s="189" customFormat="1" ht="15">
      <c r="B47" s="223"/>
      <c r="D47" s="233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</row>
    <row r="48" spans="2:27" s="189" customFormat="1" ht="15">
      <c r="B48" s="223"/>
      <c r="D48" s="233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</row>
    <row r="49" spans="2:27" s="189" customFormat="1" ht="15">
      <c r="B49" s="223"/>
      <c r="D49" s="233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</row>
    <row r="50" spans="2:27" s="189" customFormat="1" ht="15">
      <c r="B50" s="223"/>
      <c r="D50" s="233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</row>
    <row r="51" spans="2:27" s="189" customFormat="1" ht="15">
      <c r="B51" s="223"/>
      <c r="D51" s="233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</row>
    <row r="52" spans="2:27" s="189" customFormat="1" ht="15">
      <c r="B52" s="223"/>
      <c r="D52" s="233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</row>
    <row r="53" spans="2:27" s="189" customFormat="1" ht="15">
      <c r="B53" s="223"/>
      <c r="D53" s="233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</row>
    <row r="54" spans="2:27" s="189" customFormat="1" ht="15">
      <c r="B54" s="223"/>
      <c r="D54" s="233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</row>
    <row r="55" spans="2:27" s="189" customFormat="1" ht="15">
      <c r="B55" s="223"/>
      <c r="D55" s="233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</row>
    <row r="56" spans="2:27" s="189" customFormat="1" ht="15">
      <c r="B56" s="223"/>
      <c r="D56" s="233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</row>
    <row r="57" spans="2:27" s="189" customFormat="1" ht="15">
      <c r="B57" s="223"/>
      <c r="D57" s="233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</row>
    <row r="58" spans="2:27" s="189" customFormat="1" ht="15">
      <c r="B58" s="223"/>
      <c r="D58" s="233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</row>
    <row r="59" spans="2:27" s="189" customFormat="1" ht="15">
      <c r="B59" s="223"/>
      <c r="D59" s="233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</row>
    <row r="60" spans="2:27" s="189" customFormat="1" ht="15">
      <c r="B60" s="223"/>
      <c r="D60" s="233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</row>
    <row r="61" spans="2:27" s="189" customFormat="1" ht="15">
      <c r="B61" s="223"/>
      <c r="D61" s="233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</row>
    <row r="62" spans="2:27" s="189" customFormat="1" ht="15">
      <c r="B62" s="223"/>
      <c r="D62" s="233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</row>
    <row r="63" spans="2:27" s="189" customFormat="1" ht="15">
      <c r="B63" s="223"/>
      <c r="D63" s="233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</row>
    <row r="64" spans="2:27" s="189" customFormat="1" ht="15">
      <c r="B64" s="223"/>
      <c r="D64" s="233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</row>
    <row r="65" spans="2:27" s="189" customFormat="1" ht="15">
      <c r="B65" s="223"/>
      <c r="D65" s="233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</row>
    <row r="66" spans="2:27" s="189" customFormat="1" ht="15">
      <c r="B66" s="223"/>
      <c r="D66" s="233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</row>
    <row r="67" spans="2:27" s="189" customFormat="1" ht="15">
      <c r="B67" s="223"/>
      <c r="D67" s="233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</row>
    <row r="68" spans="2:27" s="189" customFormat="1" ht="15">
      <c r="B68" s="223"/>
      <c r="D68" s="233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</row>
    <row r="69" spans="2:27" s="189" customFormat="1" ht="15">
      <c r="B69" s="223"/>
      <c r="D69" s="233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</row>
    <row r="70" spans="2:27" s="189" customFormat="1" ht="15">
      <c r="B70" s="223"/>
      <c r="D70" s="233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</row>
    <row r="71" spans="2:27" s="189" customFormat="1" ht="15">
      <c r="B71" s="223"/>
      <c r="D71" s="233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</row>
    <row r="72" spans="2:27" s="189" customFormat="1" ht="15">
      <c r="B72" s="223"/>
      <c r="D72" s="233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</row>
    <row r="73" spans="2:27" s="189" customFormat="1" ht="15">
      <c r="B73" s="223"/>
      <c r="D73" s="233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</row>
    <row r="74" spans="2:27" s="189" customFormat="1" ht="15">
      <c r="B74" s="223"/>
      <c r="D74" s="233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</row>
    <row r="75" spans="2:27" s="189" customFormat="1" ht="15">
      <c r="B75" s="223"/>
      <c r="D75" s="233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</row>
    <row r="76" spans="2:27" s="189" customFormat="1" ht="15">
      <c r="B76" s="223"/>
      <c r="D76" s="233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</row>
    <row r="77" spans="2:27" s="189" customFormat="1" ht="15">
      <c r="B77" s="223"/>
      <c r="D77" s="233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</row>
    <row r="78" spans="2:27" s="189" customFormat="1" ht="15">
      <c r="B78" s="223"/>
      <c r="D78" s="233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</row>
    <row r="79" spans="2:27" s="189" customFormat="1" ht="15">
      <c r="B79" s="223"/>
      <c r="D79" s="233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</row>
    <row r="80" spans="2:27" s="189" customFormat="1" ht="15">
      <c r="B80" s="223"/>
      <c r="D80" s="233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</row>
    <row r="81" spans="2:27" s="189" customFormat="1" ht="15">
      <c r="B81" s="223"/>
      <c r="D81" s="233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</row>
    <row r="82" spans="2:27" s="189" customFormat="1" ht="15">
      <c r="B82" s="223"/>
      <c r="D82" s="233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</row>
    <row r="83" spans="2:27" s="189" customFormat="1" ht="15">
      <c r="B83" s="223"/>
      <c r="D83" s="233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</row>
    <row r="84" spans="2:27" s="189" customFormat="1" ht="15">
      <c r="B84" s="223"/>
      <c r="D84" s="233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</row>
    <row r="85" spans="2:27" s="189" customFormat="1" ht="15">
      <c r="B85" s="223"/>
      <c r="D85" s="233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</row>
    <row r="86" spans="2:27" s="189" customFormat="1" ht="15">
      <c r="B86" s="223"/>
      <c r="D86" s="233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</row>
    <row r="87" spans="2:27" s="189" customFormat="1" ht="15">
      <c r="B87" s="223"/>
      <c r="D87" s="233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</row>
    <row r="88" spans="2:27" s="189" customFormat="1" ht="15">
      <c r="B88" s="223"/>
      <c r="D88" s="233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</row>
    <row r="89" spans="2:27" s="189" customFormat="1" ht="15">
      <c r="B89" s="223"/>
      <c r="D89" s="233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</row>
    <row r="90" spans="2:27" s="189" customFormat="1" ht="15">
      <c r="B90" s="223"/>
      <c r="D90" s="233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</row>
    <row r="91" spans="2:27" s="189" customFormat="1" ht="15">
      <c r="B91" s="223"/>
      <c r="D91" s="233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</row>
    <row r="92" spans="2:27" s="189" customFormat="1" ht="15">
      <c r="B92" s="223"/>
      <c r="D92" s="233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</row>
    <row r="93" spans="2:27" s="189" customFormat="1" ht="15">
      <c r="B93" s="223"/>
      <c r="D93" s="233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</row>
    <row r="94" spans="2:27" s="189" customFormat="1" ht="15">
      <c r="B94" s="223"/>
      <c r="D94" s="233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</row>
    <row r="95" spans="2:27" s="189" customFormat="1" ht="15">
      <c r="B95" s="223"/>
      <c r="D95" s="233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</row>
    <row r="96" spans="2:27" s="189" customFormat="1" ht="15">
      <c r="B96" s="223"/>
      <c r="D96" s="233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</row>
    <row r="97" spans="2:27" s="189" customFormat="1" ht="15">
      <c r="B97" s="223"/>
      <c r="D97" s="233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</row>
    <row r="98" spans="2:27" s="189" customFormat="1" ht="15">
      <c r="B98" s="223"/>
      <c r="D98" s="233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</row>
    <row r="99" spans="2:27" s="189" customFormat="1" ht="15">
      <c r="B99" s="223"/>
      <c r="D99" s="233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</row>
    <row r="100" spans="2:27" s="189" customFormat="1" ht="15">
      <c r="B100" s="223"/>
      <c r="D100" s="233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</row>
    <row r="101" spans="2:27" s="189" customFormat="1" ht="15">
      <c r="B101" s="223"/>
      <c r="D101" s="233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</row>
    <row r="102" spans="2:27" s="189" customFormat="1" ht="15">
      <c r="B102" s="223"/>
      <c r="D102" s="233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</row>
    <row r="103" spans="2:27" s="189" customFormat="1" ht="15">
      <c r="B103" s="223"/>
      <c r="D103" s="233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</row>
    <row r="104" spans="2:27" s="189" customFormat="1" ht="15">
      <c r="B104" s="223"/>
      <c r="D104" s="233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</row>
    <row r="105" spans="2:27" s="189" customFormat="1" ht="15">
      <c r="B105" s="223"/>
      <c r="D105" s="233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</row>
    <row r="106" spans="2:27" s="189" customFormat="1" ht="15">
      <c r="B106" s="223"/>
      <c r="D106" s="233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</row>
    <row r="107" spans="2:27" s="189" customFormat="1" ht="15">
      <c r="B107" s="223"/>
      <c r="D107" s="233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</row>
    <row r="108" spans="2:27" s="189" customFormat="1" ht="15">
      <c r="B108" s="223"/>
      <c r="D108" s="233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</row>
    <row r="109" spans="2:27" s="189" customFormat="1" ht="15">
      <c r="B109" s="223"/>
      <c r="D109" s="233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</row>
    <row r="110" spans="2:27" s="189" customFormat="1" ht="15">
      <c r="B110" s="223"/>
      <c r="D110" s="233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</row>
    <row r="111" spans="2:27" s="189" customFormat="1" ht="15">
      <c r="B111" s="223"/>
      <c r="D111" s="233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</row>
    <row r="112" spans="2:27" s="189" customFormat="1" ht="15">
      <c r="B112" s="223"/>
      <c r="D112" s="233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</row>
    <row r="113" spans="2:27" s="189" customFormat="1" ht="15">
      <c r="B113" s="223"/>
      <c r="D113" s="233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</row>
    <row r="114" spans="2:27" s="189" customFormat="1" ht="15">
      <c r="B114" s="223"/>
      <c r="D114" s="233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</row>
    <row r="115" spans="2:27" s="189" customFormat="1" ht="15">
      <c r="B115" s="223"/>
      <c r="D115" s="233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</row>
    <row r="116" spans="2:27" s="189" customFormat="1" ht="15">
      <c r="B116" s="223"/>
      <c r="D116" s="233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</row>
    <row r="117" spans="2:27" s="189" customFormat="1" ht="15">
      <c r="B117" s="223"/>
      <c r="D117" s="233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</row>
    <row r="118" spans="2:27" s="189" customFormat="1" ht="15">
      <c r="B118" s="223"/>
      <c r="D118" s="233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</row>
    <row r="119" spans="2:27" s="189" customFormat="1" ht="15">
      <c r="B119" s="223"/>
      <c r="D119" s="233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</row>
    <row r="120" spans="2:27" s="189" customFormat="1" ht="15">
      <c r="B120" s="223"/>
      <c r="D120" s="233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</row>
    <row r="121" spans="2:27" s="189" customFormat="1" ht="15">
      <c r="B121" s="223"/>
      <c r="D121" s="233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</row>
    <row r="122" spans="2:27" s="189" customFormat="1" ht="15">
      <c r="B122" s="223"/>
      <c r="D122" s="233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</row>
    <row r="123" spans="2:27" s="189" customFormat="1" ht="15">
      <c r="B123" s="223"/>
      <c r="D123" s="233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</row>
    <row r="124" spans="2:27" s="189" customFormat="1" ht="15">
      <c r="B124" s="223"/>
      <c r="D124" s="233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</row>
    <row r="125" spans="2:27" s="189" customFormat="1" ht="15">
      <c r="B125" s="223"/>
      <c r="D125" s="233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</row>
    <row r="126" spans="2:27" s="189" customFormat="1" ht="15">
      <c r="B126" s="223"/>
      <c r="D126" s="233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</row>
    <row r="127" spans="2:27" s="189" customFormat="1" ht="15">
      <c r="B127" s="223"/>
      <c r="D127" s="233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</row>
    <row r="128" spans="2:5" ht="15">
      <c r="B128" s="223"/>
      <c r="C128" s="189"/>
      <c r="E128" s="189"/>
    </row>
  </sheetData>
  <sheetProtection/>
  <printOptions/>
  <pageMargins left="0.17" right="0.75" top="0.54" bottom="0.18" header="0.22" footer="0.17"/>
  <pageSetup horizontalDpi="600" verticalDpi="600" orientation="portrait" paperSize="9" scale="8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7"/>
  <sheetViews>
    <sheetView zoomScalePageLayoutView="0" workbookViewId="0" topLeftCell="A355">
      <selection activeCell="G374" sqref="G374:I374"/>
    </sheetView>
  </sheetViews>
  <sheetFormatPr defaultColWidth="9.140625" defaultRowHeight="12.75"/>
  <cols>
    <col min="5" max="5" width="0" style="0" hidden="1" customWidth="1"/>
    <col min="9" max="9" width="37.57421875" style="0" customWidth="1"/>
    <col min="10" max="10" width="11.421875" style="0" hidden="1" customWidth="1"/>
    <col min="11" max="11" width="5.140625" style="0" hidden="1" customWidth="1"/>
    <col min="12" max="12" width="14.8515625" style="0" hidden="1" customWidth="1"/>
    <col min="13" max="13" width="15.57421875" style="0" customWidth="1"/>
    <col min="14" max="14" width="12.8515625" style="0" customWidth="1"/>
    <col min="15" max="15" width="10.8515625" style="0" customWidth="1"/>
    <col min="16" max="16" width="12.7109375" style="0" customWidth="1"/>
    <col min="17" max="17" width="14.8515625" style="0" customWidth="1"/>
    <col min="19" max="19" width="13.28125" style="0" customWidth="1"/>
    <col min="20" max="20" width="15.421875" style="0" hidden="1" customWidth="1"/>
    <col min="21" max="21" width="15.421875" style="0" customWidth="1"/>
    <col min="22" max="22" width="14.00390625" style="0" customWidth="1"/>
    <col min="23" max="23" width="16.140625" style="0" customWidth="1"/>
  </cols>
  <sheetData>
    <row r="1" spans="1:21" ht="12.75">
      <c r="A1" s="44" t="s">
        <v>131</v>
      </c>
      <c r="B1" s="45"/>
      <c r="C1" s="333"/>
      <c r="D1" s="408"/>
      <c r="E1" s="333"/>
      <c r="F1" s="333"/>
      <c r="G1" s="335"/>
      <c r="H1" s="335"/>
      <c r="I1" s="335"/>
      <c r="J1" s="384"/>
      <c r="K1" s="384"/>
      <c r="L1" s="342"/>
      <c r="M1" s="342"/>
      <c r="N1" s="335"/>
      <c r="O1" s="335"/>
      <c r="P1" s="335"/>
      <c r="Q1" s="335"/>
      <c r="R1" s="335"/>
      <c r="S1" s="335"/>
      <c r="T1" s="335"/>
      <c r="U1" s="346"/>
    </row>
    <row r="2" spans="1:21" ht="12.75">
      <c r="A2" s="46" t="s">
        <v>132</v>
      </c>
      <c r="B2" s="408"/>
      <c r="C2" s="333"/>
      <c r="D2" s="408"/>
      <c r="E2" s="333"/>
      <c r="F2" s="333"/>
      <c r="G2" s="335"/>
      <c r="H2" s="1442" t="s">
        <v>1503</v>
      </c>
      <c r="I2" s="1442"/>
      <c r="J2" s="1442"/>
      <c r="K2" s="1442"/>
      <c r="L2" s="1442"/>
      <c r="M2" s="1442"/>
      <c r="N2" s="1442"/>
      <c r="O2" s="1442"/>
      <c r="P2" s="1442"/>
      <c r="Q2" s="335"/>
      <c r="R2" s="335"/>
      <c r="S2" s="335"/>
      <c r="T2" s="335"/>
      <c r="U2" s="346"/>
    </row>
    <row r="3" spans="1:21" ht="12.75">
      <c r="A3" s="408"/>
      <c r="B3" s="408"/>
      <c r="C3" s="333"/>
      <c r="D3" s="408"/>
      <c r="E3" s="47"/>
      <c r="F3" s="47"/>
      <c r="G3" s="47"/>
      <c r="H3" s="48"/>
      <c r="I3" s="578"/>
      <c r="J3" s="844"/>
      <c r="K3" s="844"/>
      <c r="L3" s="578"/>
      <c r="M3" s="578"/>
      <c r="N3" s="578"/>
      <c r="O3" s="578"/>
      <c r="P3" s="578"/>
      <c r="Q3" s="335"/>
      <c r="R3" s="335"/>
      <c r="S3" s="335"/>
      <c r="T3" s="335"/>
      <c r="U3" s="346"/>
    </row>
    <row r="4" spans="1:21" ht="12.75">
      <c r="A4" s="408"/>
      <c r="B4" s="408"/>
      <c r="C4" s="333"/>
      <c r="D4" s="408"/>
      <c r="E4" s="47"/>
      <c r="F4" s="47"/>
      <c r="G4" s="47"/>
      <c r="H4" s="317"/>
      <c r="I4" s="169"/>
      <c r="J4" s="844"/>
      <c r="K4" s="844"/>
      <c r="L4" s="844"/>
      <c r="M4" s="1423"/>
      <c r="N4" s="1424"/>
      <c r="O4" s="1424"/>
      <c r="P4" s="1424"/>
      <c r="Q4" s="1424"/>
      <c r="R4" s="1424"/>
      <c r="S4" s="1424"/>
      <c r="T4" s="1424"/>
      <c r="U4" s="1424"/>
    </row>
    <row r="5" spans="1:21" ht="15.75" thickBot="1">
      <c r="A5" s="49"/>
      <c r="B5" s="409"/>
      <c r="C5" s="50"/>
      <c r="D5" s="49"/>
      <c r="E5" s="410"/>
      <c r="F5" s="410"/>
      <c r="G5" s="411"/>
      <c r="H5" s="411"/>
      <c r="I5" s="411"/>
      <c r="J5" s="845"/>
      <c r="K5" s="845"/>
      <c r="L5" s="387"/>
      <c r="M5" s="387"/>
      <c r="N5" s="363"/>
      <c r="O5" s="363"/>
      <c r="P5" s="363"/>
      <c r="Q5" s="335"/>
      <c r="R5" s="335" t="s">
        <v>1458</v>
      </c>
      <c r="S5" s="363"/>
      <c r="T5" s="363"/>
      <c r="U5" s="767"/>
    </row>
    <row r="6" spans="1:23" ht="77.25" thickBot="1" thickTop="1">
      <c r="A6" s="69" t="s">
        <v>127</v>
      </c>
      <c r="B6" s="70" t="s">
        <v>128</v>
      </c>
      <c r="C6" s="70" t="s">
        <v>129</v>
      </c>
      <c r="D6" s="267" t="s">
        <v>278</v>
      </c>
      <c r="E6" s="70" t="s">
        <v>277</v>
      </c>
      <c r="F6" s="71" t="s">
        <v>130</v>
      </c>
      <c r="G6" s="1425" t="s">
        <v>76</v>
      </c>
      <c r="H6" s="1425"/>
      <c r="I6" s="1425"/>
      <c r="J6" s="1020">
        <v>0</v>
      </c>
      <c r="K6" s="1021">
        <v>0</v>
      </c>
      <c r="L6" s="1099" t="s">
        <v>1530</v>
      </c>
      <c r="M6" s="1099" t="s">
        <v>1529</v>
      </c>
      <c r="N6" s="160" t="s">
        <v>1290</v>
      </c>
      <c r="O6" s="160" t="s">
        <v>1193</v>
      </c>
      <c r="P6" s="160" t="s">
        <v>1194</v>
      </c>
      <c r="Q6" s="160" t="s">
        <v>1195</v>
      </c>
      <c r="R6" s="160" t="s">
        <v>1196</v>
      </c>
      <c r="S6" s="160" t="s">
        <v>1197</v>
      </c>
      <c r="T6" s="364" t="s">
        <v>1165</v>
      </c>
      <c r="U6" s="808" t="s">
        <v>1450</v>
      </c>
      <c r="V6" s="808" t="s">
        <v>1468</v>
      </c>
      <c r="W6" s="808" t="s">
        <v>1504</v>
      </c>
    </row>
    <row r="7" spans="1:23" ht="12.75">
      <c r="A7" s="478">
        <v>1</v>
      </c>
      <c r="B7" s="479"/>
      <c r="C7" s="480"/>
      <c r="D7" s="481"/>
      <c r="E7" s="480"/>
      <c r="F7" s="480"/>
      <c r="G7" s="1417" t="s">
        <v>77</v>
      </c>
      <c r="H7" s="1418"/>
      <c r="I7" s="1419"/>
      <c r="J7" s="846">
        <f aca="true" t="shared" si="0" ref="J7:S7">J8+J25</f>
        <v>8958000</v>
      </c>
      <c r="K7" s="846">
        <f t="shared" si="0"/>
        <v>12880238.829999998</v>
      </c>
      <c r="L7" s="846">
        <f>L8+L25</f>
        <v>10968000</v>
      </c>
      <c r="M7" s="846">
        <f t="shared" si="0"/>
        <v>9961000</v>
      </c>
      <c r="N7" s="492">
        <f t="shared" si="0"/>
        <v>0</v>
      </c>
      <c r="O7" s="492">
        <f t="shared" si="0"/>
        <v>0</v>
      </c>
      <c r="P7" s="492">
        <f t="shared" si="0"/>
        <v>0</v>
      </c>
      <c r="Q7" s="492">
        <f t="shared" si="0"/>
        <v>0</v>
      </c>
      <c r="R7" s="492">
        <f t="shared" si="0"/>
        <v>0</v>
      </c>
      <c r="S7" s="492">
        <f t="shared" si="0"/>
        <v>0</v>
      </c>
      <c r="T7" s="493">
        <f>SUM(N7:S7)</f>
        <v>0</v>
      </c>
      <c r="U7" s="809">
        <f aca="true" t="shared" si="1" ref="U7:U22">M7+N7+O7+P7+Q7+R7+S7</f>
        <v>9961000</v>
      </c>
      <c r="V7" s="809">
        <v>10487000</v>
      </c>
      <c r="W7" s="809">
        <v>10487000</v>
      </c>
    </row>
    <row r="8" spans="1:23" ht="12.75">
      <c r="A8" s="270"/>
      <c r="B8" s="271"/>
      <c r="C8" s="412"/>
      <c r="D8" s="593" t="s">
        <v>1180</v>
      </c>
      <c r="E8" s="412"/>
      <c r="F8" s="413"/>
      <c r="G8" s="1287" t="s">
        <v>1179</v>
      </c>
      <c r="H8" s="1288"/>
      <c r="I8" s="1288"/>
      <c r="J8" s="889">
        <f>J9</f>
        <v>8758000</v>
      </c>
      <c r="K8" s="889">
        <f>K9</f>
        <v>12880238.829999998</v>
      </c>
      <c r="L8" s="889">
        <f>L9</f>
        <v>10768000</v>
      </c>
      <c r="M8" s="889">
        <f>M9</f>
        <v>9761000</v>
      </c>
      <c r="N8" s="272">
        <f aca="true" t="shared" si="2" ref="N8:S8">N9</f>
        <v>0</v>
      </c>
      <c r="O8" s="272">
        <f t="shared" si="2"/>
        <v>0</v>
      </c>
      <c r="P8" s="272">
        <f t="shared" si="2"/>
        <v>0</v>
      </c>
      <c r="Q8" s="272">
        <f t="shared" si="2"/>
        <v>0</v>
      </c>
      <c r="R8" s="272">
        <f t="shared" si="2"/>
        <v>0</v>
      </c>
      <c r="S8" s="272">
        <f t="shared" si="2"/>
        <v>0</v>
      </c>
      <c r="T8" s="320">
        <f>SUM(N8:S8)</f>
        <v>0</v>
      </c>
      <c r="U8" s="819">
        <f t="shared" si="1"/>
        <v>9761000</v>
      </c>
      <c r="V8" s="819">
        <v>10287000</v>
      </c>
      <c r="W8" s="819">
        <v>10287000</v>
      </c>
    </row>
    <row r="9" spans="1:23" ht="12.75">
      <c r="A9" s="270"/>
      <c r="B9" s="271"/>
      <c r="C9" s="412"/>
      <c r="D9" s="332" t="s">
        <v>1181</v>
      </c>
      <c r="E9" s="412"/>
      <c r="F9" s="413"/>
      <c r="G9" s="1310" t="s">
        <v>1182</v>
      </c>
      <c r="H9" s="1378"/>
      <c r="I9" s="1378"/>
      <c r="J9" s="984">
        <f aca="true" t="shared" si="3" ref="J9:S9">J10</f>
        <v>8758000</v>
      </c>
      <c r="K9" s="984">
        <f t="shared" si="3"/>
        <v>12880238.829999998</v>
      </c>
      <c r="L9" s="984">
        <f t="shared" si="3"/>
        <v>10768000</v>
      </c>
      <c r="M9" s="984">
        <f t="shared" si="3"/>
        <v>9761000</v>
      </c>
      <c r="N9" s="276">
        <f t="shared" si="3"/>
        <v>0</v>
      </c>
      <c r="O9" s="276">
        <f t="shared" si="3"/>
        <v>0</v>
      </c>
      <c r="P9" s="276">
        <f t="shared" si="3"/>
        <v>0</v>
      </c>
      <c r="Q9" s="276">
        <f t="shared" si="3"/>
        <v>0</v>
      </c>
      <c r="R9" s="276">
        <f t="shared" si="3"/>
        <v>0</v>
      </c>
      <c r="S9" s="276">
        <f t="shared" si="3"/>
        <v>0</v>
      </c>
      <c r="T9" s="321">
        <f>SUM(N9:S9)</f>
        <v>0</v>
      </c>
      <c r="U9" s="819">
        <f t="shared" si="1"/>
        <v>9761000</v>
      </c>
      <c r="V9" s="819">
        <v>10287000</v>
      </c>
      <c r="W9" s="819">
        <v>10287000</v>
      </c>
    </row>
    <row r="10" spans="1:23" ht="12.75">
      <c r="A10" s="414"/>
      <c r="B10" s="415"/>
      <c r="C10" s="56">
        <v>110</v>
      </c>
      <c r="D10" s="58"/>
      <c r="E10" s="416"/>
      <c r="F10" s="417"/>
      <c r="G10" s="1426" t="s">
        <v>1198</v>
      </c>
      <c r="H10" s="1297"/>
      <c r="I10" s="1297"/>
      <c r="J10" s="812">
        <f aca="true" t="shared" si="4" ref="J10:S10">SUM(J11:J24)</f>
        <v>8758000</v>
      </c>
      <c r="K10" s="812">
        <f t="shared" si="4"/>
        <v>12880238.829999998</v>
      </c>
      <c r="L10" s="812">
        <f>SUM(L11:L24)</f>
        <v>10768000</v>
      </c>
      <c r="M10" s="812">
        <f t="shared" si="4"/>
        <v>9761000</v>
      </c>
      <c r="N10" s="599">
        <f t="shared" si="4"/>
        <v>0</v>
      </c>
      <c r="O10" s="599">
        <f t="shared" si="4"/>
        <v>0</v>
      </c>
      <c r="P10" s="599">
        <f t="shared" si="4"/>
        <v>0</v>
      </c>
      <c r="Q10" s="599">
        <f t="shared" si="4"/>
        <v>0</v>
      </c>
      <c r="R10" s="599">
        <f t="shared" si="4"/>
        <v>0</v>
      </c>
      <c r="S10" s="599">
        <f t="shared" si="4"/>
        <v>0</v>
      </c>
      <c r="T10" s="600">
        <f>SUM(N10:S10)</f>
        <v>0</v>
      </c>
      <c r="U10" s="1048">
        <f t="shared" si="1"/>
        <v>9761000</v>
      </c>
      <c r="V10" s="1048">
        <v>10287000</v>
      </c>
      <c r="W10" s="1048">
        <v>10287000</v>
      </c>
    </row>
    <row r="11" spans="1:23" ht="12.75">
      <c r="A11" s="336"/>
      <c r="B11" s="343"/>
      <c r="C11" s="338"/>
      <c r="D11" s="343"/>
      <c r="E11" s="354">
        <v>1</v>
      </c>
      <c r="F11" s="418">
        <v>411</v>
      </c>
      <c r="G11" s="1263" t="s">
        <v>27</v>
      </c>
      <c r="H11" s="1264"/>
      <c r="I11" s="1265"/>
      <c r="J11" s="857">
        <v>2176000</v>
      </c>
      <c r="K11" s="857">
        <v>1606881.5799999998</v>
      </c>
      <c r="L11" s="857">
        <v>3976000</v>
      </c>
      <c r="M11" s="857">
        <f>Rashodi!M11</f>
        <v>3440000</v>
      </c>
      <c r="N11" s="857">
        <f>Rashodi!N11</f>
        <v>0</v>
      </c>
      <c r="O11" s="857">
        <f>Rashodi!O11</f>
        <v>0</v>
      </c>
      <c r="P11" s="857">
        <f>Rashodi!P11</f>
        <v>0</v>
      </c>
      <c r="Q11" s="857">
        <f>Rashodi!Q11</f>
        <v>0</v>
      </c>
      <c r="R11" s="857">
        <f>Rashodi!R11</f>
        <v>0</v>
      </c>
      <c r="S11" s="857">
        <f>Rashodi!S11</f>
        <v>0</v>
      </c>
      <c r="T11" s="857">
        <f>Rashodi!T11</f>
        <v>0</v>
      </c>
      <c r="U11" s="857">
        <f>Rashodi!U11</f>
        <v>3440000</v>
      </c>
      <c r="V11" s="857">
        <v>3976000</v>
      </c>
      <c r="W11" s="857">
        <v>3976000</v>
      </c>
    </row>
    <row r="12" spans="1:23" ht="12.75">
      <c r="A12" s="336"/>
      <c r="B12" s="343"/>
      <c r="C12" s="338"/>
      <c r="D12" s="343"/>
      <c r="E12" s="354">
        <v>2</v>
      </c>
      <c r="F12" s="418">
        <v>412</v>
      </c>
      <c r="G12" s="1263" t="s">
        <v>78</v>
      </c>
      <c r="H12" s="1264"/>
      <c r="I12" s="1265"/>
      <c r="J12" s="849">
        <v>387000</v>
      </c>
      <c r="K12" s="849">
        <v>267545.79</v>
      </c>
      <c r="L12" s="849">
        <v>597000</v>
      </c>
      <c r="M12" s="857">
        <f>Rashodi!M12</f>
        <v>580000</v>
      </c>
      <c r="N12" s="857">
        <f>Rashodi!N12</f>
        <v>0</v>
      </c>
      <c r="O12" s="857">
        <f>Rashodi!O12</f>
        <v>0</v>
      </c>
      <c r="P12" s="857">
        <f>Rashodi!P12</f>
        <v>0</v>
      </c>
      <c r="Q12" s="857">
        <f>Rashodi!Q12</f>
        <v>0</v>
      </c>
      <c r="R12" s="857">
        <f>Rashodi!R12</f>
        <v>0</v>
      </c>
      <c r="S12" s="857">
        <f>Rashodi!S12</f>
        <v>0</v>
      </c>
      <c r="T12" s="857">
        <f>Rashodi!T12</f>
        <v>0</v>
      </c>
      <c r="U12" s="818">
        <f t="shared" si="1"/>
        <v>580000</v>
      </c>
      <c r="V12" s="818">
        <v>660000</v>
      </c>
      <c r="W12" s="818">
        <v>660000</v>
      </c>
    </row>
    <row r="13" spans="1:23" ht="12.75">
      <c r="A13" s="336"/>
      <c r="B13" s="343"/>
      <c r="C13" s="338"/>
      <c r="D13" s="343"/>
      <c r="E13" s="354">
        <v>3</v>
      </c>
      <c r="F13" s="418">
        <v>414</v>
      </c>
      <c r="G13" s="1299" t="s">
        <v>200</v>
      </c>
      <c r="H13" s="1300"/>
      <c r="I13" s="1301"/>
      <c r="J13" s="849">
        <v>110000</v>
      </c>
      <c r="K13" s="849">
        <v>0</v>
      </c>
      <c r="L13" s="849">
        <v>110000</v>
      </c>
      <c r="M13" s="857">
        <f>Rashodi!M13</f>
        <v>200000</v>
      </c>
      <c r="N13" s="857">
        <f>Rashodi!N13</f>
        <v>0</v>
      </c>
      <c r="O13" s="857">
        <f>Rashodi!O13</f>
        <v>0</v>
      </c>
      <c r="P13" s="857">
        <f>Rashodi!P13</f>
        <v>0</v>
      </c>
      <c r="Q13" s="857">
        <f>Rashodi!Q13</f>
        <v>0</v>
      </c>
      <c r="R13" s="857">
        <f>Rashodi!R13</f>
        <v>0</v>
      </c>
      <c r="S13" s="857">
        <f>Rashodi!S13</f>
        <v>0</v>
      </c>
      <c r="T13" s="857">
        <f>Rashodi!T13</f>
        <v>0</v>
      </c>
      <c r="U13" s="818">
        <f t="shared" si="1"/>
        <v>200000</v>
      </c>
      <c r="V13" s="818">
        <v>110000</v>
      </c>
      <c r="W13" s="818">
        <v>110000</v>
      </c>
    </row>
    <row r="14" spans="1:23" ht="12.75">
      <c r="A14" s="336"/>
      <c r="B14" s="343"/>
      <c r="C14" s="338"/>
      <c r="D14" s="343"/>
      <c r="E14" s="354">
        <v>4</v>
      </c>
      <c r="F14" s="418">
        <v>415</v>
      </c>
      <c r="G14" s="1263" t="s">
        <v>31</v>
      </c>
      <c r="H14" s="1264"/>
      <c r="I14" s="1265"/>
      <c r="J14" s="849">
        <v>360000</v>
      </c>
      <c r="K14" s="849">
        <v>166655.54999999996</v>
      </c>
      <c r="L14" s="849">
        <v>360000</v>
      </c>
      <c r="M14" s="857">
        <f>Rashodi!M14</f>
        <v>96000</v>
      </c>
      <c r="N14" s="857">
        <f>Rashodi!N14</f>
        <v>0</v>
      </c>
      <c r="O14" s="857">
        <f>Rashodi!O14</f>
        <v>0</v>
      </c>
      <c r="P14" s="857">
        <f>Rashodi!P14</f>
        <v>0</v>
      </c>
      <c r="Q14" s="857">
        <f>Rashodi!Q14</f>
        <v>0</v>
      </c>
      <c r="R14" s="857">
        <f>Rashodi!R14</f>
        <v>0</v>
      </c>
      <c r="S14" s="857">
        <f>Rashodi!S14</f>
        <v>0</v>
      </c>
      <c r="T14" s="857">
        <f>Rashodi!T14</f>
        <v>0</v>
      </c>
      <c r="U14" s="818">
        <f t="shared" si="1"/>
        <v>96000</v>
      </c>
      <c r="V14" s="818">
        <v>96000</v>
      </c>
      <c r="W14" s="818">
        <v>96000</v>
      </c>
    </row>
    <row r="15" spans="1:23" ht="12.75">
      <c r="A15" s="336"/>
      <c r="B15" s="343"/>
      <c r="C15" s="338"/>
      <c r="D15" s="343"/>
      <c r="E15" s="354">
        <v>5</v>
      </c>
      <c r="F15" s="418">
        <v>416</v>
      </c>
      <c r="G15" s="1299" t="s">
        <v>197</v>
      </c>
      <c r="H15" s="1300"/>
      <c r="I15" s="1301"/>
      <c r="J15" s="849">
        <v>100000</v>
      </c>
      <c r="K15" s="849">
        <v>71191.33</v>
      </c>
      <c r="L15" s="849">
        <v>100000</v>
      </c>
      <c r="M15" s="857">
        <f>Rashodi!M15</f>
        <v>100000</v>
      </c>
      <c r="N15" s="857">
        <f>Rashodi!N15</f>
        <v>0</v>
      </c>
      <c r="O15" s="857">
        <f>Rashodi!O15</f>
        <v>0</v>
      </c>
      <c r="P15" s="857">
        <f>Rashodi!P15</f>
        <v>0</v>
      </c>
      <c r="Q15" s="857">
        <f>Rashodi!Q15</f>
        <v>0</v>
      </c>
      <c r="R15" s="857">
        <f>Rashodi!R15</f>
        <v>0</v>
      </c>
      <c r="S15" s="857">
        <f>Rashodi!S15</f>
        <v>0</v>
      </c>
      <c r="T15" s="857">
        <f>Rashodi!T15</f>
        <v>0</v>
      </c>
      <c r="U15" s="818">
        <f t="shared" si="1"/>
        <v>100000</v>
      </c>
      <c r="V15" s="818">
        <v>100000</v>
      </c>
      <c r="W15" s="818">
        <v>100000</v>
      </c>
    </row>
    <row r="16" spans="1:23" ht="12.75">
      <c r="A16" s="336"/>
      <c r="B16" s="343"/>
      <c r="C16" s="338"/>
      <c r="D16" s="343"/>
      <c r="E16" s="354">
        <v>6</v>
      </c>
      <c r="F16" s="418">
        <v>421</v>
      </c>
      <c r="G16" s="1299" t="s">
        <v>33</v>
      </c>
      <c r="H16" s="1300"/>
      <c r="I16" s="1301"/>
      <c r="J16" s="849">
        <v>45000</v>
      </c>
      <c r="K16" s="849">
        <v>4412.21</v>
      </c>
      <c r="L16" s="849">
        <v>45000</v>
      </c>
      <c r="M16" s="857">
        <f>Rashodi!M16</f>
        <v>20000</v>
      </c>
      <c r="N16" s="857">
        <f>Rashodi!N16</f>
        <v>0</v>
      </c>
      <c r="O16" s="857">
        <f>Rashodi!O16</f>
        <v>0</v>
      </c>
      <c r="P16" s="857">
        <f>Rashodi!P16</f>
        <v>0</v>
      </c>
      <c r="Q16" s="857">
        <f>Rashodi!Q16</f>
        <v>0</v>
      </c>
      <c r="R16" s="857">
        <f>Rashodi!R16</f>
        <v>0</v>
      </c>
      <c r="S16" s="857">
        <f>Rashodi!S16</f>
        <v>0</v>
      </c>
      <c r="T16" s="857">
        <f>Rashodi!T16</f>
        <v>0</v>
      </c>
      <c r="U16" s="818">
        <f t="shared" si="1"/>
        <v>20000</v>
      </c>
      <c r="V16" s="818">
        <v>20000</v>
      </c>
      <c r="W16" s="818">
        <v>20000</v>
      </c>
    </row>
    <row r="17" spans="1:23" ht="12.75">
      <c r="A17" s="336"/>
      <c r="B17" s="343"/>
      <c r="C17" s="338"/>
      <c r="D17" s="343"/>
      <c r="E17" s="354">
        <v>7</v>
      </c>
      <c r="F17" s="418">
        <v>422</v>
      </c>
      <c r="G17" s="1299" t="s">
        <v>34</v>
      </c>
      <c r="H17" s="1300"/>
      <c r="I17" s="1301"/>
      <c r="J17" s="849">
        <v>20000</v>
      </c>
      <c r="K17" s="849">
        <v>0</v>
      </c>
      <c r="L17" s="849">
        <v>20000</v>
      </c>
      <c r="M17" s="857">
        <f>Rashodi!M17</f>
        <v>20000</v>
      </c>
      <c r="N17" s="857">
        <f>Rashodi!N17</f>
        <v>0</v>
      </c>
      <c r="O17" s="857">
        <f>Rashodi!O17</f>
        <v>0</v>
      </c>
      <c r="P17" s="857">
        <f>Rashodi!P17</f>
        <v>0</v>
      </c>
      <c r="Q17" s="857">
        <f>Rashodi!Q17</f>
        <v>0</v>
      </c>
      <c r="R17" s="857">
        <f>Rashodi!R17</f>
        <v>0</v>
      </c>
      <c r="S17" s="857">
        <f>Rashodi!S17</f>
        <v>0</v>
      </c>
      <c r="T17" s="857">
        <f>Rashodi!T17</f>
        <v>0</v>
      </c>
      <c r="U17" s="818">
        <f t="shared" si="1"/>
        <v>20000</v>
      </c>
      <c r="V17" s="818">
        <v>20000</v>
      </c>
      <c r="W17" s="818">
        <v>20000</v>
      </c>
    </row>
    <row r="18" spans="1:23" ht="12.75">
      <c r="A18" s="336"/>
      <c r="B18" s="343"/>
      <c r="C18" s="338"/>
      <c r="D18" s="343"/>
      <c r="E18" s="354">
        <v>8</v>
      </c>
      <c r="F18" s="428">
        <v>423</v>
      </c>
      <c r="G18" s="1257" t="s">
        <v>1330</v>
      </c>
      <c r="H18" s="1258"/>
      <c r="I18" s="1259"/>
      <c r="J18" s="723">
        <v>3500000</v>
      </c>
      <c r="K18" s="723">
        <v>10002106.81</v>
      </c>
      <c r="L18" s="723">
        <v>3500000</v>
      </c>
      <c r="M18" s="857">
        <f>Rashodi!M18</f>
        <v>3000000</v>
      </c>
      <c r="N18" s="857">
        <f>Rashodi!N18</f>
        <v>0</v>
      </c>
      <c r="O18" s="857">
        <f>Rashodi!O18</f>
        <v>0</v>
      </c>
      <c r="P18" s="857">
        <f>Rashodi!P18</f>
        <v>0</v>
      </c>
      <c r="Q18" s="857">
        <f>Rashodi!Q18</f>
        <v>0</v>
      </c>
      <c r="R18" s="857">
        <f>Rashodi!R18</f>
        <v>0</v>
      </c>
      <c r="S18" s="857">
        <f>Rashodi!S18</f>
        <v>0</v>
      </c>
      <c r="T18" s="857">
        <f>Rashodi!T18</f>
        <v>0</v>
      </c>
      <c r="U18" s="818">
        <f t="shared" si="1"/>
        <v>3000000</v>
      </c>
      <c r="V18" s="818">
        <v>3000000</v>
      </c>
      <c r="W18" s="818">
        <v>3000000</v>
      </c>
    </row>
    <row r="19" spans="1:23" ht="12.75">
      <c r="A19" s="336"/>
      <c r="B19" s="343"/>
      <c r="C19" s="338"/>
      <c r="D19" s="343"/>
      <c r="E19" s="354">
        <v>9</v>
      </c>
      <c r="F19" s="428">
        <v>423</v>
      </c>
      <c r="G19" s="1269" t="s">
        <v>1378</v>
      </c>
      <c r="H19" s="1270"/>
      <c r="I19" s="1271"/>
      <c r="J19" s="723">
        <v>350000</v>
      </c>
      <c r="K19" s="723">
        <v>152830.2</v>
      </c>
      <c r="L19" s="723">
        <v>350000</v>
      </c>
      <c r="M19" s="857">
        <f>Rashodi!M19</f>
        <v>350000</v>
      </c>
      <c r="N19" s="857">
        <f>Rashodi!N19</f>
        <v>0</v>
      </c>
      <c r="O19" s="857">
        <f>Rashodi!O19</f>
        <v>0</v>
      </c>
      <c r="P19" s="857">
        <f>Rashodi!P19</f>
        <v>0</v>
      </c>
      <c r="Q19" s="857">
        <f>Rashodi!Q19</f>
        <v>0</v>
      </c>
      <c r="R19" s="857">
        <f>Rashodi!R19</f>
        <v>0</v>
      </c>
      <c r="S19" s="857">
        <f>Rashodi!S19</f>
        <v>0</v>
      </c>
      <c r="T19" s="857">
        <f>Rashodi!T19</f>
        <v>0</v>
      </c>
      <c r="U19" s="818">
        <f t="shared" si="1"/>
        <v>350000</v>
      </c>
      <c r="V19" s="818">
        <v>350000</v>
      </c>
      <c r="W19" s="818">
        <v>350000</v>
      </c>
    </row>
    <row r="20" spans="1:23" ht="12.75">
      <c r="A20" s="336"/>
      <c r="B20" s="343"/>
      <c r="C20" s="338"/>
      <c r="D20" s="343"/>
      <c r="E20" s="354">
        <v>10</v>
      </c>
      <c r="F20" s="418">
        <v>423</v>
      </c>
      <c r="G20" s="1299" t="s">
        <v>1331</v>
      </c>
      <c r="H20" s="1300"/>
      <c r="I20" s="1301"/>
      <c r="J20" s="849">
        <v>850000</v>
      </c>
      <c r="K20" s="849">
        <v>340132.1900000001</v>
      </c>
      <c r="L20" s="849">
        <v>850000</v>
      </c>
      <c r="M20" s="857">
        <f>Rashodi!M20</f>
        <v>600000</v>
      </c>
      <c r="N20" s="857">
        <f>Rashodi!N20</f>
        <v>0</v>
      </c>
      <c r="O20" s="857">
        <f>Rashodi!O20</f>
        <v>0</v>
      </c>
      <c r="P20" s="857">
        <f>Rashodi!P20</f>
        <v>0</v>
      </c>
      <c r="Q20" s="857">
        <f>Rashodi!Q20</f>
        <v>0</v>
      </c>
      <c r="R20" s="857">
        <f>Rashodi!R20</f>
        <v>0</v>
      </c>
      <c r="S20" s="857">
        <f>Rashodi!S20</f>
        <v>0</v>
      </c>
      <c r="T20" s="857">
        <f>Rashodi!T20</f>
        <v>0</v>
      </c>
      <c r="U20" s="818">
        <f t="shared" si="1"/>
        <v>600000</v>
      </c>
      <c r="V20" s="818">
        <v>800000</v>
      </c>
      <c r="W20" s="818">
        <v>800000</v>
      </c>
    </row>
    <row r="21" spans="1:23" ht="12.75">
      <c r="A21" s="336"/>
      <c r="B21" s="343"/>
      <c r="C21" s="338"/>
      <c r="D21" s="343"/>
      <c r="E21" s="354"/>
      <c r="F21" s="418">
        <v>423</v>
      </c>
      <c r="G21" s="1544" t="s">
        <v>1537</v>
      </c>
      <c r="H21" s="1544"/>
      <c r="I21" s="1544"/>
      <c r="J21" s="849"/>
      <c r="K21" s="849"/>
      <c r="L21" s="849"/>
      <c r="M21" s="857">
        <f>Rashodi!M21</f>
        <v>200000</v>
      </c>
      <c r="N21" s="857">
        <f>Rashodi!N21</f>
        <v>0</v>
      </c>
      <c r="O21" s="857">
        <f>Rashodi!O21</f>
        <v>0</v>
      </c>
      <c r="P21" s="857">
        <f>Rashodi!P21</f>
        <v>0</v>
      </c>
      <c r="Q21" s="857">
        <f>Rashodi!Q21</f>
        <v>0</v>
      </c>
      <c r="R21" s="857">
        <f>Rashodi!R21</f>
        <v>0</v>
      </c>
      <c r="S21" s="857">
        <f>Rashodi!S21</f>
        <v>0</v>
      </c>
      <c r="T21" s="857">
        <f>Rashodi!T21</f>
        <v>0</v>
      </c>
      <c r="U21" s="818">
        <f t="shared" si="1"/>
        <v>200000</v>
      </c>
      <c r="V21" s="818">
        <v>200000</v>
      </c>
      <c r="W21" s="818">
        <v>200000</v>
      </c>
    </row>
    <row r="22" spans="1:23" ht="12.75">
      <c r="A22" s="336"/>
      <c r="B22" s="343"/>
      <c r="C22" s="338"/>
      <c r="D22" s="343"/>
      <c r="E22" s="354">
        <v>11</v>
      </c>
      <c r="F22" s="418">
        <v>423</v>
      </c>
      <c r="G22" s="1299" t="s">
        <v>35</v>
      </c>
      <c r="H22" s="1300"/>
      <c r="I22" s="1301"/>
      <c r="J22" s="849">
        <v>450000</v>
      </c>
      <c r="K22" s="849">
        <v>101821.32</v>
      </c>
      <c r="L22" s="849">
        <v>450000</v>
      </c>
      <c r="M22" s="857">
        <f>Rashodi!M22</f>
        <v>700000</v>
      </c>
      <c r="N22" s="857">
        <f>Rashodi!N22</f>
        <v>0</v>
      </c>
      <c r="O22" s="857">
        <f>Rashodi!O22</f>
        <v>0</v>
      </c>
      <c r="P22" s="857">
        <f>Rashodi!P22</f>
        <v>0</v>
      </c>
      <c r="Q22" s="857">
        <f>Rashodi!Q22</f>
        <v>0</v>
      </c>
      <c r="R22" s="857">
        <f>Rashodi!R22</f>
        <v>0</v>
      </c>
      <c r="S22" s="857">
        <f>Rashodi!S22</f>
        <v>0</v>
      </c>
      <c r="T22" s="857">
        <f>Rashodi!T22</f>
        <v>0</v>
      </c>
      <c r="U22" s="818">
        <f t="shared" si="1"/>
        <v>700000</v>
      </c>
      <c r="V22" s="818">
        <v>500000</v>
      </c>
      <c r="W22" s="818">
        <v>500000</v>
      </c>
    </row>
    <row r="23" spans="1:23" ht="12.75">
      <c r="A23" s="336"/>
      <c r="B23" s="343"/>
      <c r="C23" s="338"/>
      <c r="D23" s="343"/>
      <c r="E23" s="354">
        <v>12</v>
      </c>
      <c r="F23" s="418">
        <v>426</v>
      </c>
      <c r="G23" s="1299" t="s">
        <v>38</v>
      </c>
      <c r="H23" s="1300"/>
      <c r="I23" s="1301"/>
      <c r="J23" s="849">
        <v>195000</v>
      </c>
      <c r="K23" s="849">
        <v>78606</v>
      </c>
      <c r="L23" s="849">
        <v>195000</v>
      </c>
      <c r="M23" s="857">
        <f>Rashodi!M23</f>
        <v>200000</v>
      </c>
      <c r="N23" s="857">
        <f>Rashodi!N23</f>
        <v>0</v>
      </c>
      <c r="O23" s="857">
        <f>Rashodi!O23</f>
        <v>0</v>
      </c>
      <c r="P23" s="857">
        <f>Rashodi!P23</f>
        <v>0</v>
      </c>
      <c r="Q23" s="857">
        <f>Rashodi!Q23</f>
        <v>0</v>
      </c>
      <c r="R23" s="857">
        <f>Rashodi!R23</f>
        <v>0</v>
      </c>
      <c r="S23" s="857">
        <f>Rashodi!S23</f>
        <v>0</v>
      </c>
      <c r="T23" s="857">
        <f>Rashodi!T23</f>
        <v>0</v>
      </c>
      <c r="U23" s="818">
        <f>M23+N23+O23+P23+Q23+R23+S23</f>
        <v>200000</v>
      </c>
      <c r="V23" s="818">
        <v>200000</v>
      </c>
      <c r="W23" s="818">
        <v>200000</v>
      </c>
    </row>
    <row r="24" spans="1:23" ht="12.75">
      <c r="A24" s="336"/>
      <c r="B24" s="343"/>
      <c r="C24" s="338"/>
      <c r="D24" s="343"/>
      <c r="E24" s="354">
        <v>13</v>
      </c>
      <c r="F24" s="418">
        <v>481</v>
      </c>
      <c r="G24" s="1338" t="s">
        <v>79</v>
      </c>
      <c r="H24" s="1339"/>
      <c r="I24" s="1340"/>
      <c r="J24" s="850">
        <v>215000</v>
      </c>
      <c r="K24" s="850">
        <v>88055.84999999999</v>
      </c>
      <c r="L24" s="1026">
        <v>215000</v>
      </c>
      <c r="M24" s="857">
        <f>Rashodi!M24</f>
        <v>255000</v>
      </c>
      <c r="N24" s="857">
        <f>Rashodi!N24</f>
        <v>0</v>
      </c>
      <c r="O24" s="857">
        <f>Rashodi!O24</f>
        <v>0</v>
      </c>
      <c r="P24" s="857">
        <f>Rashodi!P24</f>
        <v>0</v>
      </c>
      <c r="Q24" s="857">
        <f>Rashodi!Q24</f>
        <v>0</v>
      </c>
      <c r="R24" s="857">
        <f>Rashodi!R24</f>
        <v>0</v>
      </c>
      <c r="S24" s="857">
        <f>Rashodi!S24</f>
        <v>0</v>
      </c>
      <c r="T24" s="857">
        <f>Rashodi!T24</f>
        <v>0</v>
      </c>
      <c r="U24" s="857">
        <f>Rashodi!U24</f>
        <v>255000</v>
      </c>
      <c r="V24" s="857">
        <v>255000</v>
      </c>
      <c r="W24" s="857">
        <v>255000</v>
      </c>
    </row>
    <row r="25" spans="1:23" ht="12.75">
      <c r="A25" s="270"/>
      <c r="B25" s="271"/>
      <c r="C25" s="412"/>
      <c r="D25" s="593" t="s">
        <v>279</v>
      </c>
      <c r="E25" s="594"/>
      <c r="F25" s="595"/>
      <c r="G25" s="1287" t="s">
        <v>1238</v>
      </c>
      <c r="H25" s="1288"/>
      <c r="I25" s="1288"/>
      <c r="J25" s="889">
        <f aca="true" t="shared" si="5" ref="J25:S26">J26</f>
        <v>200000</v>
      </c>
      <c r="K25" s="889">
        <f t="shared" si="5"/>
        <v>0</v>
      </c>
      <c r="L25" s="889">
        <f t="shared" si="5"/>
        <v>200000</v>
      </c>
      <c r="M25" s="889">
        <f t="shared" si="5"/>
        <v>200000</v>
      </c>
      <c r="N25" s="272">
        <f t="shared" si="5"/>
        <v>0</v>
      </c>
      <c r="O25" s="272">
        <f t="shared" si="5"/>
        <v>0</v>
      </c>
      <c r="P25" s="272">
        <f t="shared" si="5"/>
        <v>0</v>
      </c>
      <c r="Q25" s="272">
        <f t="shared" si="5"/>
        <v>0</v>
      </c>
      <c r="R25" s="272">
        <f t="shared" si="5"/>
        <v>0</v>
      </c>
      <c r="S25" s="272">
        <f t="shared" si="5"/>
        <v>0</v>
      </c>
      <c r="T25" s="320">
        <f>SUM(N25:S25)</f>
        <v>0</v>
      </c>
      <c r="U25" s="819">
        <f aca="true" t="shared" si="6" ref="U25:U74">M25+N25+O25+P25+Q25+R25+S25</f>
        <v>200000</v>
      </c>
      <c r="V25" s="819">
        <v>200000</v>
      </c>
      <c r="W25" s="819">
        <v>200000</v>
      </c>
    </row>
    <row r="26" spans="1:23" ht="12.75">
      <c r="A26" s="270"/>
      <c r="B26" s="271"/>
      <c r="C26" s="412"/>
      <c r="D26" s="593" t="s">
        <v>847</v>
      </c>
      <c r="E26" s="332"/>
      <c r="F26" s="584"/>
      <c r="G26" s="1260" t="s">
        <v>1240</v>
      </c>
      <c r="H26" s="1261"/>
      <c r="I26" s="1261"/>
      <c r="J26" s="984">
        <f>J27</f>
        <v>200000</v>
      </c>
      <c r="K26" s="984">
        <f>K27</f>
        <v>0</v>
      </c>
      <c r="L26" s="984">
        <f>L27</f>
        <v>200000</v>
      </c>
      <c r="M26" s="984">
        <f>M27</f>
        <v>200000</v>
      </c>
      <c r="N26" s="276">
        <f t="shared" si="5"/>
        <v>0</v>
      </c>
      <c r="O26" s="276">
        <f t="shared" si="5"/>
        <v>0</v>
      </c>
      <c r="P26" s="276">
        <f t="shared" si="5"/>
        <v>0</v>
      </c>
      <c r="Q26" s="276">
        <f t="shared" si="5"/>
        <v>0</v>
      </c>
      <c r="R26" s="276">
        <f t="shared" si="5"/>
        <v>0</v>
      </c>
      <c r="S26" s="276">
        <f t="shared" si="5"/>
        <v>0</v>
      </c>
      <c r="T26" s="793">
        <f>SUM(N26:S26)</f>
        <v>0</v>
      </c>
      <c r="U26" s="819">
        <f t="shared" si="6"/>
        <v>200000</v>
      </c>
      <c r="V26" s="819">
        <v>200000</v>
      </c>
      <c r="W26" s="819">
        <v>200000</v>
      </c>
    </row>
    <row r="27" spans="1:23" ht="12.75">
      <c r="A27" s="336"/>
      <c r="B27" s="343"/>
      <c r="C27" s="56">
        <v>130</v>
      </c>
      <c r="D27" s="167"/>
      <c r="E27" s="343"/>
      <c r="F27" s="339"/>
      <c r="G27" s="1296" t="s">
        <v>89</v>
      </c>
      <c r="H27" s="1297"/>
      <c r="I27" s="1298"/>
      <c r="J27" s="727">
        <f aca="true" t="shared" si="7" ref="J27:S27">J28</f>
        <v>200000</v>
      </c>
      <c r="K27" s="727">
        <f t="shared" si="7"/>
        <v>0</v>
      </c>
      <c r="L27" s="727">
        <f t="shared" si="7"/>
        <v>200000</v>
      </c>
      <c r="M27" s="727">
        <f t="shared" si="7"/>
        <v>200000</v>
      </c>
      <c r="N27" s="168">
        <f t="shared" si="7"/>
        <v>0</v>
      </c>
      <c r="O27" s="168">
        <f t="shared" si="7"/>
        <v>0</v>
      </c>
      <c r="P27" s="168">
        <f t="shared" si="7"/>
        <v>0</v>
      </c>
      <c r="Q27" s="168">
        <f t="shared" si="7"/>
        <v>0</v>
      </c>
      <c r="R27" s="168">
        <f t="shared" si="7"/>
        <v>0</v>
      </c>
      <c r="S27" s="168">
        <f t="shared" si="7"/>
        <v>0</v>
      </c>
      <c r="T27" s="322">
        <f>SUM(N27:S27)</f>
        <v>0</v>
      </c>
      <c r="U27" s="1048">
        <f t="shared" si="6"/>
        <v>200000</v>
      </c>
      <c r="V27" s="1048">
        <v>200000</v>
      </c>
      <c r="W27" s="1048">
        <v>200000</v>
      </c>
    </row>
    <row r="28" spans="1:23" ht="13.5" thickBot="1">
      <c r="A28" s="355"/>
      <c r="B28" s="348"/>
      <c r="C28" s="349"/>
      <c r="D28" s="348"/>
      <c r="E28" s="337" t="s">
        <v>1487</v>
      </c>
      <c r="F28" s="589">
        <v>481</v>
      </c>
      <c r="G28" s="1269" t="s">
        <v>1460</v>
      </c>
      <c r="H28" s="1270"/>
      <c r="I28" s="1271"/>
      <c r="J28" s="358">
        <v>200000</v>
      </c>
      <c r="K28" s="358">
        <v>0</v>
      </c>
      <c r="L28" s="358">
        <v>200000</v>
      </c>
      <c r="M28" s="358">
        <f>Rashodi!M28</f>
        <v>200000</v>
      </c>
      <c r="N28" s="358">
        <f>Rashodi!N28</f>
        <v>0</v>
      </c>
      <c r="O28" s="358">
        <f>Rashodi!O28</f>
        <v>0</v>
      </c>
      <c r="P28" s="358">
        <f>Rashodi!P28</f>
        <v>0</v>
      </c>
      <c r="Q28" s="358">
        <f>Rashodi!Q28</f>
        <v>0</v>
      </c>
      <c r="R28" s="358">
        <f>Rashodi!R28</f>
        <v>0</v>
      </c>
      <c r="S28" s="358">
        <f>Rashodi!S28</f>
        <v>0</v>
      </c>
      <c r="T28" s="358">
        <f>Rashodi!T28</f>
        <v>0</v>
      </c>
      <c r="U28" s="358">
        <f>Rashodi!U28</f>
        <v>200000</v>
      </c>
      <c r="V28" s="358">
        <v>200000</v>
      </c>
      <c r="W28" s="358">
        <v>200000</v>
      </c>
    </row>
    <row r="29" spans="1:23" ht="12.75">
      <c r="A29" s="478" t="s">
        <v>810</v>
      </c>
      <c r="B29" s="479"/>
      <c r="C29" s="480"/>
      <c r="D29" s="481"/>
      <c r="E29" s="480"/>
      <c r="F29" s="507"/>
      <c r="G29" s="1417" t="s">
        <v>1177</v>
      </c>
      <c r="H29" s="1418"/>
      <c r="I29" s="1419"/>
      <c r="J29" s="846">
        <f>J30</f>
        <v>1531000</v>
      </c>
      <c r="K29" s="846">
        <f>K30</f>
        <v>182594.86000000002</v>
      </c>
      <c r="L29" s="846">
        <f>L30</f>
        <v>591000</v>
      </c>
      <c r="M29" s="846">
        <f>M30</f>
        <v>671000</v>
      </c>
      <c r="N29" s="492">
        <f aca="true" t="shared" si="8" ref="N29:S29">N30</f>
        <v>0</v>
      </c>
      <c r="O29" s="492">
        <f t="shared" si="8"/>
        <v>0</v>
      </c>
      <c r="P29" s="492">
        <f t="shared" si="8"/>
        <v>0</v>
      </c>
      <c r="Q29" s="492">
        <f t="shared" si="8"/>
        <v>0</v>
      </c>
      <c r="R29" s="492">
        <f t="shared" si="8"/>
        <v>0</v>
      </c>
      <c r="S29" s="492">
        <f t="shared" si="8"/>
        <v>0</v>
      </c>
      <c r="T29" s="493">
        <f>SUM(N29:S29)</f>
        <v>0</v>
      </c>
      <c r="U29" s="809">
        <f t="shared" si="6"/>
        <v>671000</v>
      </c>
      <c r="V29" s="809">
        <v>1685000</v>
      </c>
      <c r="W29" s="809">
        <v>1685000</v>
      </c>
    </row>
    <row r="30" spans="1:23" ht="12.75">
      <c r="A30" s="270"/>
      <c r="B30" s="271"/>
      <c r="C30" s="412"/>
      <c r="D30" s="593" t="s">
        <v>279</v>
      </c>
      <c r="E30" s="594"/>
      <c r="F30" s="595"/>
      <c r="G30" s="1287" t="s">
        <v>1238</v>
      </c>
      <c r="H30" s="1288"/>
      <c r="I30" s="1288"/>
      <c r="J30" s="889">
        <f aca="true" t="shared" si="9" ref="J30:S31">J31</f>
        <v>1531000</v>
      </c>
      <c r="K30" s="889">
        <f t="shared" si="9"/>
        <v>182594.86000000002</v>
      </c>
      <c r="L30" s="889">
        <f t="shared" si="9"/>
        <v>591000</v>
      </c>
      <c r="M30" s="889">
        <f t="shared" si="9"/>
        <v>671000</v>
      </c>
      <c r="N30" s="272">
        <f t="shared" si="9"/>
        <v>0</v>
      </c>
      <c r="O30" s="272">
        <f t="shared" si="9"/>
        <v>0</v>
      </c>
      <c r="P30" s="272">
        <f t="shared" si="9"/>
        <v>0</v>
      </c>
      <c r="Q30" s="272">
        <f t="shared" si="9"/>
        <v>0</v>
      </c>
      <c r="R30" s="272">
        <f t="shared" si="9"/>
        <v>0</v>
      </c>
      <c r="S30" s="272">
        <f t="shared" si="9"/>
        <v>0</v>
      </c>
      <c r="T30" s="320">
        <f>SUM(N30:S30)</f>
        <v>0</v>
      </c>
      <c r="U30" s="819">
        <f t="shared" si="6"/>
        <v>671000</v>
      </c>
      <c r="V30" s="819">
        <v>1685000</v>
      </c>
      <c r="W30" s="819">
        <v>1685000</v>
      </c>
    </row>
    <row r="31" spans="1:23" ht="12.75">
      <c r="A31" s="270"/>
      <c r="B31" s="271"/>
      <c r="C31" s="412"/>
      <c r="D31" s="332" t="s">
        <v>845</v>
      </c>
      <c r="E31" s="412"/>
      <c r="F31" s="413"/>
      <c r="G31" s="1310" t="s">
        <v>1239</v>
      </c>
      <c r="H31" s="1378"/>
      <c r="I31" s="1379"/>
      <c r="J31" s="848">
        <f t="shared" si="9"/>
        <v>1531000</v>
      </c>
      <c r="K31" s="848">
        <f t="shared" si="9"/>
        <v>182594.86000000002</v>
      </c>
      <c r="L31" s="848">
        <f t="shared" si="9"/>
        <v>591000</v>
      </c>
      <c r="M31" s="848">
        <f t="shared" si="9"/>
        <v>671000</v>
      </c>
      <c r="N31" s="276">
        <f t="shared" si="9"/>
        <v>0</v>
      </c>
      <c r="O31" s="276">
        <f t="shared" si="9"/>
        <v>0</v>
      </c>
      <c r="P31" s="276">
        <f t="shared" si="9"/>
        <v>0</v>
      </c>
      <c r="Q31" s="276">
        <f t="shared" si="9"/>
        <v>0</v>
      </c>
      <c r="R31" s="276">
        <f t="shared" si="9"/>
        <v>0</v>
      </c>
      <c r="S31" s="276">
        <f t="shared" si="9"/>
        <v>0</v>
      </c>
      <c r="T31" s="321">
        <f>SUM(N31:S31)</f>
        <v>0</v>
      </c>
      <c r="U31" s="819">
        <f t="shared" si="6"/>
        <v>671000</v>
      </c>
      <c r="V31" s="819">
        <v>1685000</v>
      </c>
      <c r="W31" s="819">
        <v>1685000</v>
      </c>
    </row>
    <row r="32" spans="1:23" ht="12.75">
      <c r="A32" s="529"/>
      <c r="B32" s="530"/>
      <c r="C32" s="56">
        <v>330</v>
      </c>
      <c r="D32" s="58"/>
      <c r="E32" s="531"/>
      <c r="F32" s="532"/>
      <c r="G32" s="1296" t="s">
        <v>1157</v>
      </c>
      <c r="H32" s="1297"/>
      <c r="I32" s="1298"/>
      <c r="J32" s="744">
        <f aca="true" t="shared" si="10" ref="J32:S32">SUM(J33:J37)</f>
        <v>1531000</v>
      </c>
      <c r="K32" s="744">
        <f t="shared" si="10"/>
        <v>182594.86000000002</v>
      </c>
      <c r="L32" s="744">
        <f>SUM(L33:L37)</f>
        <v>591000</v>
      </c>
      <c r="M32" s="744">
        <f t="shared" si="10"/>
        <v>671000</v>
      </c>
      <c r="N32" s="533">
        <f t="shared" si="10"/>
        <v>0</v>
      </c>
      <c r="O32" s="533">
        <f t="shared" si="10"/>
        <v>0</v>
      </c>
      <c r="P32" s="533">
        <f t="shared" si="10"/>
        <v>0</v>
      </c>
      <c r="Q32" s="533">
        <f t="shared" si="10"/>
        <v>0</v>
      </c>
      <c r="R32" s="533">
        <f t="shared" si="10"/>
        <v>0</v>
      </c>
      <c r="S32" s="533">
        <f t="shared" si="10"/>
        <v>0</v>
      </c>
      <c r="T32" s="165">
        <f>SUM(N32:S32)</f>
        <v>0</v>
      </c>
      <c r="U32" s="1048">
        <f t="shared" si="6"/>
        <v>671000</v>
      </c>
      <c r="V32" s="1048">
        <v>1685000</v>
      </c>
      <c r="W32" s="1048">
        <v>1685000</v>
      </c>
    </row>
    <row r="33" spans="1:23" ht="12.75">
      <c r="A33" s="336"/>
      <c r="B33" s="343"/>
      <c r="C33" s="338"/>
      <c r="D33" s="343"/>
      <c r="E33" s="512">
        <v>15</v>
      </c>
      <c r="F33" s="513">
        <v>411</v>
      </c>
      <c r="G33" s="1263" t="s">
        <v>27</v>
      </c>
      <c r="H33" s="1264"/>
      <c r="I33" s="1264"/>
      <c r="J33" s="887">
        <v>1128000</v>
      </c>
      <c r="K33" s="887">
        <v>109323.82</v>
      </c>
      <c r="L33" s="887">
        <v>330000</v>
      </c>
      <c r="M33" s="523">
        <f>Rashodi!M33</f>
        <v>500000</v>
      </c>
      <c r="N33" s="523">
        <f>Rashodi!N33</f>
        <v>0</v>
      </c>
      <c r="O33" s="523">
        <f>Rashodi!O33</f>
        <v>0</v>
      </c>
      <c r="P33" s="523">
        <f>Rashodi!P33</f>
        <v>0</v>
      </c>
      <c r="Q33" s="523">
        <f>Rashodi!Q33</f>
        <v>0</v>
      </c>
      <c r="R33" s="523">
        <f>Rashodi!R33</f>
        <v>0</v>
      </c>
      <c r="S33" s="523">
        <f>Rashodi!S33</f>
        <v>0</v>
      </c>
      <c r="T33" s="523">
        <f>Rashodi!T33</f>
        <v>0</v>
      </c>
      <c r="U33" s="523">
        <f>Rashodi!U33</f>
        <v>500000</v>
      </c>
      <c r="V33" s="523">
        <v>1320000</v>
      </c>
      <c r="W33" s="523">
        <v>1320000</v>
      </c>
    </row>
    <row r="34" spans="1:23" ht="12.75">
      <c r="A34" s="336"/>
      <c r="B34" s="467"/>
      <c r="C34" s="547"/>
      <c r="D34" s="631"/>
      <c r="E34" s="512">
        <v>16</v>
      </c>
      <c r="F34" s="622">
        <v>412</v>
      </c>
      <c r="G34" s="1396" t="s">
        <v>78</v>
      </c>
      <c r="H34" s="1396"/>
      <c r="I34" s="1396"/>
      <c r="J34" s="887">
        <v>202000</v>
      </c>
      <c r="K34" s="887">
        <v>18202.41</v>
      </c>
      <c r="L34" s="887">
        <v>60000</v>
      </c>
      <c r="M34" s="523">
        <f>Rashodi!M34</f>
        <v>80000</v>
      </c>
      <c r="N34" s="523">
        <f>Rashodi!N34</f>
        <v>0</v>
      </c>
      <c r="O34" s="523">
        <f>Rashodi!O34</f>
        <v>0</v>
      </c>
      <c r="P34" s="523">
        <f>Rashodi!P34</f>
        <v>0</v>
      </c>
      <c r="Q34" s="523">
        <f>Rashodi!Q34</f>
        <v>0</v>
      </c>
      <c r="R34" s="523">
        <f>Rashodi!R34</f>
        <v>0</v>
      </c>
      <c r="S34" s="523">
        <f>Rashodi!S34</f>
        <v>0</v>
      </c>
      <c r="T34" s="523">
        <f>Rashodi!T34</f>
        <v>0</v>
      </c>
      <c r="U34" s="523">
        <f>Rashodi!U34</f>
        <v>80000</v>
      </c>
      <c r="V34" s="523">
        <v>228000</v>
      </c>
      <c r="W34" s="523">
        <v>228000</v>
      </c>
    </row>
    <row r="35" spans="1:23" ht="12.75">
      <c r="A35" s="630"/>
      <c r="B35" s="469"/>
      <c r="C35" s="515"/>
      <c r="D35" s="469"/>
      <c r="E35" s="512">
        <v>17</v>
      </c>
      <c r="F35" s="508">
        <v>415</v>
      </c>
      <c r="G35" s="1253" t="s">
        <v>31</v>
      </c>
      <c r="H35" s="1253"/>
      <c r="I35" s="1253"/>
      <c r="J35" s="854">
        <v>160000</v>
      </c>
      <c r="K35" s="854">
        <v>54922.229999999996</v>
      </c>
      <c r="L35" s="854">
        <v>160000</v>
      </c>
      <c r="M35" s="523">
        <f>Rashodi!M35</f>
        <v>50000</v>
      </c>
      <c r="N35" s="523">
        <f>Rashodi!N35</f>
        <v>0</v>
      </c>
      <c r="O35" s="523">
        <f>Rashodi!O35</f>
        <v>0</v>
      </c>
      <c r="P35" s="523">
        <f>Rashodi!P35</f>
        <v>0</v>
      </c>
      <c r="Q35" s="523">
        <f>Rashodi!Q35</f>
        <v>0</v>
      </c>
      <c r="R35" s="523">
        <f>Rashodi!R35</f>
        <v>0</v>
      </c>
      <c r="S35" s="523">
        <f>Rashodi!S35</f>
        <v>0</v>
      </c>
      <c r="T35" s="523">
        <f>Rashodi!T35</f>
        <v>0</v>
      </c>
      <c r="U35" s="523">
        <f>Rashodi!U35</f>
        <v>50000</v>
      </c>
      <c r="V35" s="523">
        <v>96000</v>
      </c>
      <c r="W35" s="523">
        <v>96000</v>
      </c>
    </row>
    <row r="36" spans="1:23" ht="12.75">
      <c r="A36" s="630"/>
      <c r="B36" s="469"/>
      <c r="C36" s="515"/>
      <c r="D36" s="469"/>
      <c r="E36" s="512">
        <v>18</v>
      </c>
      <c r="F36" s="508">
        <v>421</v>
      </c>
      <c r="G36" s="1253" t="s">
        <v>33</v>
      </c>
      <c r="H36" s="1253"/>
      <c r="I36" s="1253"/>
      <c r="J36" s="854">
        <v>1000</v>
      </c>
      <c r="K36" s="854">
        <v>146.4</v>
      </c>
      <c r="L36" s="854">
        <v>1000</v>
      </c>
      <c r="M36" s="523">
        <f>Rashodi!M36</f>
        <v>1000</v>
      </c>
      <c r="N36" s="523">
        <f>Rashodi!N36</f>
        <v>0</v>
      </c>
      <c r="O36" s="523">
        <f>Rashodi!O36</f>
        <v>0</v>
      </c>
      <c r="P36" s="523">
        <f>Rashodi!P36</f>
        <v>0</v>
      </c>
      <c r="Q36" s="523">
        <f>Rashodi!Q36</f>
        <v>0</v>
      </c>
      <c r="R36" s="523">
        <f>Rashodi!R36</f>
        <v>0</v>
      </c>
      <c r="S36" s="523">
        <f>Rashodi!S36</f>
        <v>0</v>
      </c>
      <c r="T36" s="523">
        <f>Rashodi!T36</f>
        <v>0</v>
      </c>
      <c r="U36" s="523">
        <f>Rashodi!U36</f>
        <v>1000</v>
      </c>
      <c r="V36" s="523">
        <v>1000</v>
      </c>
      <c r="W36" s="523">
        <v>1000</v>
      </c>
    </row>
    <row r="37" spans="1:23" ht="13.5" thickBot="1">
      <c r="A37" s="630"/>
      <c r="B37" s="469"/>
      <c r="C37" s="515"/>
      <c r="D37" s="469"/>
      <c r="E37" s="512">
        <v>19</v>
      </c>
      <c r="F37" s="508">
        <v>426</v>
      </c>
      <c r="G37" s="1253" t="s">
        <v>38</v>
      </c>
      <c r="H37" s="1253"/>
      <c r="I37" s="1253"/>
      <c r="J37" s="855">
        <v>40000</v>
      </c>
      <c r="K37" s="855">
        <v>0</v>
      </c>
      <c r="L37" s="855">
        <v>40000</v>
      </c>
      <c r="M37" s="523">
        <f>Rashodi!M37</f>
        <v>40000</v>
      </c>
      <c r="N37" s="523">
        <f>Rashodi!N37</f>
        <v>0</v>
      </c>
      <c r="O37" s="523">
        <f>Rashodi!O37</f>
        <v>0</v>
      </c>
      <c r="P37" s="523">
        <f>Rashodi!P37</f>
        <v>0</v>
      </c>
      <c r="Q37" s="523">
        <f>Rashodi!Q37</f>
        <v>0</v>
      </c>
      <c r="R37" s="523">
        <f>Rashodi!R37</f>
        <v>0</v>
      </c>
      <c r="S37" s="523">
        <f>Rashodi!S37</f>
        <v>0</v>
      </c>
      <c r="T37" s="523">
        <f>Rashodi!T37</f>
        <v>0</v>
      </c>
      <c r="U37" s="523">
        <f>Rashodi!U37</f>
        <v>40000</v>
      </c>
      <c r="V37" s="523">
        <v>40000</v>
      </c>
      <c r="W37" s="523">
        <v>40000</v>
      </c>
    </row>
    <row r="38" spans="1:23" ht="12.75">
      <c r="A38" s="478" t="s">
        <v>315</v>
      </c>
      <c r="B38" s="479"/>
      <c r="C38" s="507"/>
      <c r="D38" s="517"/>
      <c r="E38" s="507"/>
      <c r="F38" s="623"/>
      <c r="G38" s="1420" t="s">
        <v>80</v>
      </c>
      <c r="H38" s="1421"/>
      <c r="I38" s="1422"/>
      <c r="J38" s="856">
        <f>J39</f>
        <v>9969000</v>
      </c>
      <c r="K38" s="856">
        <f>K39</f>
        <v>5651077.56</v>
      </c>
      <c r="L38" s="856">
        <f>L39</f>
        <v>12189000</v>
      </c>
      <c r="M38" s="856">
        <f>M39</f>
        <v>10705100</v>
      </c>
      <c r="N38" s="490">
        <f aca="true" t="shared" si="11" ref="N38:S38">N39</f>
        <v>0</v>
      </c>
      <c r="O38" s="490">
        <f t="shared" si="11"/>
        <v>0</v>
      </c>
      <c r="P38" s="490">
        <f t="shared" si="11"/>
        <v>268764.78</v>
      </c>
      <c r="Q38" s="490">
        <f t="shared" si="11"/>
        <v>0</v>
      </c>
      <c r="R38" s="490">
        <f t="shared" si="11"/>
        <v>0</v>
      </c>
      <c r="S38" s="490">
        <f t="shared" si="11"/>
        <v>0</v>
      </c>
      <c r="T38" s="491">
        <f>SUM(N38:S38)</f>
        <v>268764.78</v>
      </c>
      <c r="U38" s="809">
        <f t="shared" si="6"/>
        <v>10973864.78</v>
      </c>
      <c r="V38" s="809">
        <v>10510000</v>
      </c>
      <c r="W38" s="809">
        <v>10510000</v>
      </c>
    </row>
    <row r="39" spans="1:23" ht="12.75">
      <c r="A39" s="270"/>
      <c r="B39" s="271"/>
      <c r="C39" s="412"/>
      <c r="D39" s="593" t="s">
        <v>1180</v>
      </c>
      <c r="E39" s="594"/>
      <c r="F39" s="595"/>
      <c r="G39" s="1287" t="s">
        <v>1179</v>
      </c>
      <c r="H39" s="1288"/>
      <c r="I39" s="1289"/>
      <c r="J39" s="847">
        <f aca="true" t="shared" si="12" ref="J39:S40">J40</f>
        <v>9969000</v>
      </c>
      <c r="K39" s="847">
        <f t="shared" si="12"/>
        <v>5651077.56</v>
      </c>
      <c r="L39" s="847">
        <f t="shared" si="12"/>
        <v>12189000</v>
      </c>
      <c r="M39" s="847">
        <f t="shared" si="12"/>
        <v>10705100</v>
      </c>
      <c r="N39" s="272">
        <f t="shared" si="12"/>
        <v>0</v>
      </c>
      <c r="O39" s="272">
        <f t="shared" si="12"/>
        <v>0</v>
      </c>
      <c r="P39" s="272">
        <f t="shared" si="12"/>
        <v>268764.78</v>
      </c>
      <c r="Q39" s="272">
        <f t="shared" si="12"/>
        <v>0</v>
      </c>
      <c r="R39" s="272">
        <f t="shared" si="12"/>
        <v>0</v>
      </c>
      <c r="S39" s="272">
        <f t="shared" si="12"/>
        <v>0</v>
      </c>
      <c r="T39" s="320">
        <f>SUM(N39:S39)</f>
        <v>268764.78</v>
      </c>
      <c r="U39" s="819">
        <f t="shared" si="6"/>
        <v>10973864.78</v>
      </c>
      <c r="V39" s="819">
        <v>10510000</v>
      </c>
      <c r="W39" s="819">
        <v>10510000</v>
      </c>
    </row>
    <row r="40" spans="1:23" ht="12.75">
      <c r="A40" s="270"/>
      <c r="B40" s="271"/>
      <c r="C40" s="412"/>
      <c r="D40" s="332" t="s">
        <v>1186</v>
      </c>
      <c r="E40" s="412"/>
      <c r="F40" s="413"/>
      <c r="G40" s="1310" t="s">
        <v>1185</v>
      </c>
      <c r="H40" s="1378"/>
      <c r="I40" s="1379"/>
      <c r="J40" s="848">
        <f t="shared" si="12"/>
        <v>9969000</v>
      </c>
      <c r="K40" s="848">
        <f t="shared" si="12"/>
        <v>5651077.56</v>
      </c>
      <c r="L40" s="848">
        <f t="shared" si="12"/>
        <v>12189000</v>
      </c>
      <c r="M40" s="848">
        <f t="shared" si="12"/>
        <v>10705100</v>
      </c>
      <c r="N40" s="276">
        <f t="shared" si="12"/>
        <v>0</v>
      </c>
      <c r="O40" s="276">
        <f t="shared" si="12"/>
        <v>0</v>
      </c>
      <c r="P40" s="276">
        <f t="shared" si="12"/>
        <v>268764.78</v>
      </c>
      <c r="Q40" s="276">
        <f t="shared" si="12"/>
        <v>0</v>
      </c>
      <c r="R40" s="276">
        <f t="shared" si="12"/>
        <v>0</v>
      </c>
      <c r="S40" s="276">
        <f t="shared" si="12"/>
        <v>0</v>
      </c>
      <c r="T40" s="321">
        <f>SUM(N40:S40)</f>
        <v>268764.78</v>
      </c>
      <c r="U40" s="819">
        <f t="shared" si="6"/>
        <v>10973864.78</v>
      </c>
      <c r="V40" s="819">
        <v>10510000</v>
      </c>
      <c r="W40" s="819">
        <v>10510000</v>
      </c>
    </row>
    <row r="41" spans="1:23" ht="12.75">
      <c r="A41" s="569"/>
      <c r="B41" s="570"/>
      <c r="C41" s="629">
        <v>110</v>
      </c>
      <c r="D41" s="571"/>
      <c r="E41" s="572"/>
      <c r="F41" s="573"/>
      <c r="G41" s="1369" t="s">
        <v>1178</v>
      </c>
      <c r="H41" s="1370"/>
      <c r="I41" s="1371"/>
      <c r="J41" s="575">
        <f aca="true" t="shared" si="13" ref="J41:S41">SUM(J42:J54)</f>
        <v>9969000</v>
      </c>
      <c r="K41" s="575">
        <f t="shared" si="13"/>
        <v>5651077.56</v>
      </c>
      <c r="L41" s="575">
        <f>SUM(L42:L54)</f>
        <v>12189000</v>
      </c>
      <c r="M41" s="575">
        <f t="shared" si="13"/>
        <v>10705100</v>
      </c>
      <c r="N41" s="575">
        <f t="shared" si="13"/>
        <v>0</v>
      </c>
      <c r="O41" s="575">
        <f t="shared" si="13"/>
        <v>0</v>
      </c>
      <c r="P41" s="575">
        <f t="shared" si="13"/>
        <v>268764.78</v>
      </c>
      <c r="Q41" s="575">
        <f t="shared" si="13"/>
        <v>0</v>
      </c>
      <c r="R41" s="575">
        <f t="shared" si="13"/>
        <v>0</v>
      </c>
      <c r="S41" s="575">
        <f t="shared" si="13"/>
        <v>0</v>
      </c>
      <c r="T41" s="794">
        <f>SUM(N41:S41)</f>
        <v>268764.78</v>
      </c>
      <c r="U41" s="1048">
        <f t="shared" si="6"/>
        <v>10973864.78</v>
      </c>
      <c r="V41" s="1048">
        <v>10510000</v>
      </c>
      <c r="W41" s="1048">
        <v>10510000</v>
      </c>
    </row>
    <row r="42" spans="1:23" ht="12.75">
      <c r="A42" s="336"/>
      <c r="B42" s="343"/>
      <c r="C42" s="338"/>
      <c r="D42" s="343"/>
      <c r="E42" s="354">
        <v>20</v>
      </c>
      <c r="F42" s="418">
        <v>411</v>
      </c>
      <c r="G42" s="1263" t="s">
        <v>27</v>
      </c>
      <c r="H42" s="1264"/>
      <c r="I42" s="1265"/>
      <c r="J42" s="857">
        <v>3120000</v>
      </c>
      <c r="K42" s="857">
        <v>1636603.66</v>
      </c>
      <c r="L42" s="857">
        <v>3320000</v>
      </c>
      <c r="M42" s="857">
        <f>Rashodi!M42</f>
        <v>3560000</v>
      </c>
      <c r="N42" s="857">
        <f>Rashodi!N42</f>
        <v>0</v>
      </c>
      <c r="O42" s="857">
        <f>Rashodi!O42</f>
        <v>0</v>
      </c>
      <c r="P42" s="857">
        <f>Rashodi!P42</f>
        <v>0</v>
      </c>
      <c r="Q42" s="857">
        <f>Rashodi!Q42</f>
        <v>0</v>
      </c>
      <c r="R42" s="857">
        <f>Rashodi!R42</f>
        <v>0</v>
      </c>
      <c r="S42" s="857">
        <f>Rashodi!S42</f>
        <v>0</v>
      </c>
      <c r="T42" s="857">
        <f>Rashodi!T42</f>
        <v>0</v>
      </c>
      <c r="U42" s="857">
        <f>Rashodi!U42</f>
        <v>3560000</v>
      </c>
      <c r="V42" s="857">
        <v>3400000</v>
      </c>
      <c r="W42" s="857">
        <v>3400000</v>
      </c>
    </row>
    <row r="43" spans="1:23" ht="12.75">
      <c r="A43" s="336"/>
      <c r="B43" s="343"/>
      <c r="C43" s="338"/>
      <c r="D43" s="343"/>
      <c r="E43" s="354">
        <v>21</v>
      </c>
      <c r="F43" s="418">
        <v>412</v>
      </c>
      <c r="G43" s="1263" t="s">
        <v>78</v>
      </c>
      <c r="H43" s="1264"/>
      <c r="I43" s="1265"/>
      <c r="J43" s="857">
        <v>534000</v>
      </c>
      <c r="K43" s="857">
        <v>272494.61</v>
      </c>
      <c r="L43" s="857">
        <v>554000</v>
      </c>
      <c r="M43" s="857">
        <f>Rashodi!M43</f>
        <v>575000</v>
      </c>
      <c r="N43" s="857">
        <f>Rashodi!N43</f>
        <v>0</v>
      </c>
      <c r="O43" s="857">
        <f>Rashodi!O43</f>
        <v>0</v>
      </c>
      <c r="P43" s="857">
        <f>Rashodi!P43</f>
        <v>0</v>
      </c>
      <c r="Q43" s="857">
        <f>Rashodi!Q43</f>
        <v>0</v>
      </c>
      <c r="R43" s="857">
        <f>Rashodi!R43</f>
        <v>0</v>
      </c>
      <c r="S43" s="857">
        <f>Rashodi!S43</f>
        <v>0</v>
      </c>
      <c r="T43" s="857">
        <f>Rashodi!T43</f>
        <v>0</v>
      </c>
      <c r="U43" s="818">
        <f t="shared" si="6"/>
        <v>575000</v>
      </c>
      <c r="V43" s="818">
        <v>560000</v>
      </c>
      <c r="W43" s="818">
        <v>560000</v>
      </c>
    </row>
    <row r="44" spans="1:23" ht="12.75">
      <c r="A44" s="336"/>
      <c r="B44" s="343"/>
      <c r="C44" s="338"/>
      <c r="D44" s="343"/>
      <c r="E44" s="354">
        <v>22</v>
      </c>
      <c r="F44" s="418">
        <v>414</v>
      </c>
      <c r="G44" s="1299" t="s">
        <v>200</v>
      </c>
      <c r="H44" s="1300"/>
      <c r="I44" s="1301"/>
      <c r="J44" s="857">
        <v>50000</v>
      </c>
      <c r="K44" s="857">
        <v>0</v>
      </c>
      <c r="L44" s="857">
        <v>50000</v>
      </c>
      <c r="M44" s="857">
        <f>Rashodi!M44</f>
        <v>50000</v>
      </c>
      <c r="N44" s="857">
        <f>Rashodi!N44</f>
        <v>0</v>
      </c>
      <c r="O44" s="857">
        <f>Rashodi!O44</f>
        <v>0</v>
      </c>
      <c r="P44" s="857">
        <f>Rashodi!P44</f>
        <v>0</v>
      </c>
      <c r="Q44" s="857">
        <f>Rashodi!Q44</f>
        <v>0</v>
      </c>
      <c r="R44" s="857">
        <f>Rashodi!R44</f>
        <v>0</v>
      </c>
      <c r="S44" s="857">
        <f>Rashodi!S44</f>
        <v>0</v>
      </c>
      <c r="T44" s="857">
        <f>Rashodi!T44</f>
        <v>0</v>
      </c>
      <c r="U44" s="818">
        <f t="shared" si="6"/>
        <v>50000</v>
      </c>
      <c r="V44" s="818">
        <v>50000</v>
      </c>
      <c r="W44" s="818">
        <v>50000</v>
      </c>
    </row>
    <row r="45" spans="1:23" ht="12.75">
      <c r="A45" s="336"/>
      <c r="B45" s="343"/>
      <c r="C45" s="338"/>
      <c r="D45" s="343"/>
      <c r="E45" s="354">
        <v>23</v>
      </c>
      <c r="F45" s="418">
        <v>415</v>
      </c>
      <c r="G45" s="1299" t="s">
        <v>31</v>
      </c>
      <c r="H45" s="1300"/>
      <c r="I45" s="1301"/>
      <c r="J45" s="857">
        <v>340000</v>
      </c>
      <c r="K45" s="857">
        <v>198333.34999999998</v>
      </c>
      <c r="L45" s="857">
        <v>340000</v>
      </c>
      <c r="M45" s="857">
        <f>Rashodi!M45</f>
        <v>210000</v>
      </c>
      <c r="N45" s="857">
        <f>Rashodi!N45</f>
        <v>0</v>
      </c>
      <c r="O45" s="857">
        <f>Rashodi!O45</f>
        <v>0</v>
      </c>
      <c r="P45" s="857">
        <f>Rashodi!P45</f>
        <v>0</v>
      </c>
      <c r="Q45" s="857">
        <f>Rashodi!Q45</f>
        <v>0</v>
      </c>
      <c r="R45" s="857">
        <f>Rashodi!R45</f>
        <v>0</v>
      </c>
      <c r="S45" s="857">
        <f>Rashodi!S45</f>
        <v>0</v>
      </c>
      <c r="T45" s="857">
        <f>Rashodi!T45</f>
        <v>0</v>
      </c>
      <c r="U45" s="818">
        <f t="shared" si="6"/>
        <v>210000</v>
      </c>
      <c r="V45" s="818">
        <v>210000</v>
      </c>
      <c r="W45" s="818">
        <v>210000</v>
      </c>
    </row>
    <row r="46" spans="1:23" ht="12.75">
      <c r="A46" s="336"/>
      <c r="B46" s="343"/>
      <c r="C46" s="338"/>
      <c r="D46" s="343"/>
      <c r="E46" s="354">
        <v>24</v>
      </c>
      <c r="F46" s="418">
        <v>421</v>
      </c>
      <c r="G46" s="1299" t="s">
        <v>33</v>
      </c>
      <c r="H46" s="1300"/>
      <c r="I46" s="1301"/>
      <c r="J46" s="857">
        <v>180000</v>
      </c>
      <c r="K46" s="857">
        <v>40573.6</v>
      </c>
      <c r="L46" s="857">
        <v>200000</v>
      </c>
      <c r="M46" s="857">
        <f>Rashodi!M46</f>
        <v>150000</v>
      </c>
      <c r="N46" s="857">
        <f>Rashodi!N46</f>
        <v>0</v>
      </c>
      <c r="O46" s="857">
        <f>Rashodi!O46</f>
        <v>0</v>
      </c>
      <c r="P46" s="857">
        <f>Rashodi!P46</f>
        <v>0</v>
      </c>
      <c r="Q46" s="857">
        <f>Rashodi!Q46</f>
        <v>0</v>
      </c>
      <c r="R46" s="857">
        <f>Rashodi!R46</f>
        <v>0</v>
      </c>
      <c r="S46" s="857">
        <f>Rashodi!S46</f>
        <v>0</v>
      </c>
      <c r="T46" s="857">
        <f>Rashodi!T46</f>
        <v>0</v>
      </c>
      <c r="U46" s="818">
        <f t="shared" si="6"/>
        <v>150000</v>
      </c>
      <c r="V46" s="818">
        <v>150000</v>
      </c>
      <c r="W46" s="818">
        <v>150000</v>
      </c>
    </row>
    <row r="47" spans="1:23" ht="12.75">
      <c r="A47" s="336"/>
      <c r="B47" s="343"/>
      <c r="C47" s="338"/>
      <c r="D47" s="343"/>
      <c r="E47" s="354">
        <v>25</v>
      </c>
      <c r="F47" s="418">
        <v>422</v>
      </c>
      <c r="G47" s="1299" t="s">
        <v>34</v>
      </c>
      <c r="H47" s="1300"/>
      <c r="I47" s="1301"/>
      <c r="J47" s="857">
        <v>60000</v>
      </c>
      <c r="K47" s="857">
        <v>0</v>
      </c>
      <c r="L47" s="857">
        <v>60000</v>
      </c>
      <c r="M47" s="857">
        <f>Rashodi!M47</f>
        <v>60000</v>
      </c>
      <c r="N47" s="857">
        <f>Rashodi!N47</f>
        <v>0</v>
      </c>
      <c r="O47" s="857">
        <f>Rashodi!O47</f>
        <v>0</v>
      </c>
      <c r="P47" s="857">
        <f>Rashodi!P47</f>
        <v>0</v>
      </c>
      <c r="Q47" s="857">
        <f>Rashodi!Q47</f>
        <v>0</v>
      </c>
      <c r="R47" s="857">
        <f>Rashodi!R47</f>
        <v>0</v>
      </c>
      <c r="S47" s="857">
        <f>Rashodi!S47</f>
        <v>0</v>
      </c>
      <c r="T47" s="857">
        <f>Rashodi!T47</f>
        <v>0</v>
      </c>
      <c r="U47" s="818">
        <f t="shared" si="6"/>
        <v>60000</v>
      </c>
      <c r="V47" s="818">
        <v>60000</v>
      </c>
      <c r="W47" s="818">
        <v>60000</v>
      </c>
    </row>
    <row r="48" spans="1:23" ht="12.75">
      <c r="A48" s="336"/>
      <c r="B48" s="343"/>
      <c r="C48" s="338"/>
      <c r="D48" s="343"/>
      <c r="E48" s="354">
        <v>26</v>
      </c>
      <c r="F48" s="418">
        <v>423</v>
      </c>
      <c r="G48" s="1299" t="s">
        <v>1332</v>
      </c>
      <c r="H48" s="1300"/>
      <c r="I48" s="1301"/>
      <c r="J48" s="857">
        <v>1928500</v>
      </c>
      <c r="K48" s="857">
        <v>1854840.27</v>
      </c>
      <c r="L48" s="857">
        <v>3500000</v>
      </c>
      <c r="M48" s="857">
        <f>Rashodi!M48</f>
        <v>1500000</v>
      </c>
      <c r="N48" s="857">
        <f>Rashodi!N48</f>
        <v>0</v>
      </c>
      <c r="O48" s="857">
        <f>Rashodi!O48</f>
        <v>0</v>
      </c>
      <c r="P48" s="857">
        <f>Rashodi!P48</f>
        <v>268764.78</v>
      </c>
      <c r="Q48" s="857">
        <f>Rashodi!Q48</f>
        <v>0</v>
      </c>
      <c r="R48" s="857">
        <f>Rashodi!R48</f>
        <v>0</v>
      </c>
      <c r="S48" s="857">
        <f>Rashodi!S48</f>
        <v>0</v>
      </c>
      <c r="T48" s="857">
        <f>Rashodi!T48</f>
        <v>268764.78</v>
      </c>
      <c r="U48" s="818">
        <f t="shared" si="6"/>
        <v>1768764.78</v>
      </c>
      <c r="V48" s="818">
        <v>1500000</v>
      </c>
      <c r="W48" s="818">
        <v>1500000</v>
      </c>
    </row>
    <row r="49" spans="1:23" ht="12.75">
      <c r="A49" s="336"/>
      <c r="B49" s="343"/>
      <c r="C49" s="338"/>
      <c r="D49" s="343"/>
      <c r="E49" s="354">
        <v>27</v>
      </c>
      <c r="F49" s="418">
        <v>423</v>
      </c>
      <c r="G49" s="1299" t="s">
        <v>35</v>
      </c>
      <c r="H49" s="1300"/>
      <c r="I49" s="1301"/>
      <c r="J49" s="857">
        <v>2700000</v>
      </c>
      <c r="K49" s="857">
        <v>1222779.97</v>
      </c>
      <c r="L49" s="857">
        <v>3000000</v>
      </c>
      <c r="M49" s="857">
        <f>Rashodi!M49</f>
        <v>3500000</v>
      </c>
      <c r="N49" s="857">
        <f>Rashodi!N49</f>
        <v>0</v>
      </c>
      <c r="O49" s="857">
        <f>Rashodi!O49</f>
        <v>0</v>
      </c>
      <c r="P49" s="857">
        <f>Rashodi!P49</f>
        <v>0</v>
      </c>
      <c r="Q49" s="857">
        <f>Rashodi!Q49</f>
        <v>0</v>
      </c>
      <c r="R49" s="857">
        <f>Rashodi!R49</f>
        <v>0</v>
      </c>
      <c r="S49" s="857">
        <f>Rashodi!S49</f>
        <v>0</v>
      </c>
      <c r="T49" s="857">
        <f>Rashodi!T49</f>
        <v>0</v>
      </c>
      <c r="U49" s="818">
        <f t="shared" si="6"/>
        <v>3500000</v>
      </c>
      <c r="V49" s="818">
        <v>3000000</v>
      </c>
      <c r="W49" s="818">
        <v>3000000</v>
      </c>
    </row>
    <row r="50" spans="1:23" ht="12.75">
      <c r="A50" s="336"/>
      <c r="B50" s="343"/>
      <c r="C50" s="338"/>
      <c r="D50" s="343"/>
      <c r="E50" s="354"/>
      <c r="F50" s="418">
        <v>423</v>
      </c>
      <c r="G50" s="1299" t="s">
        <v>1546</v>
      </c>
      <c r="H50" s="1300"/>
      <c r="I50" s="1301"/>
      <c r="J50" s="857"/>
      <c r="K50" s="857"/>
      <c r="L50" s="857"/>
      <c r="M50" s="857">
        <f>Rashodi!M50</f>
        <v>100</v>
      </c>
      <c r="N50" s="857">
        <f>Rashodi!N50</f>
        <v>0</v>
      </c>
      <c r="O50" s="857">
        <f>Rashodi!O50</f>
        <v>0</v>
      </c>
      <c r="P50" s="857">
        <f>Rashodi!P50</f>
        <v>0</v>
      </c>
      <c r="Q50" s="857">
        <f>Rashodi!Q50</f>
        <v>0</v>
      </c>
      <c r="R50" s="857">
        <f>Rashodi!R50</f>
        <v>0</v>
      </c>
      <c r="S50" s="857">
        <f>Rashodi!S50</f>
        <v>0</v>
      </c>
      <c r="T50" s="857">
        <f>Rashodi!T50</f>
        <v>0</v>
      </c>
      <c r="U50" s="857">
        <f>Rashodi!U50</f>
        <v>100</v>
      </c>
      <c r="V50" s="857">
        <v>500000</v>
      </c>
      <c r="W50" s="857">
        <v>500000</v>
      </c>
    </row>
    <row r="51" spans="1:23" ht="12.75">
      <c r="A51" s="336"/>
      <c r="B51" s="343"/>
      <c r="C51" s="338"/>
      <c r="D51" s="343"/>
      <c r="E51" s="354">
        <v>28</v>
      </c>
      <c r="F51" s="418">
        <v>423</v>
      </c>
      <c r="G51" s="1263" t="s">
        <v>1333</v>
      </c>
      <c r="H51" s="1264"/>
      <c r="I51" s="1265"/>
      <c r="J51" s="857">
        <v>436500</v>
      </c>
      <c r="K51" s="857">
        <v>0</v>
      </c>
      <c r="L51" s="857">
        <v>300000</v>
      </c>
      <c r="M51" s="857">
        <f>Rashodi!M51</f>
        <v>100000</v>
      </c>
      <c r="N51" s="857">
        <f>Rashodi!N50</f>
        <v>0</v>
      </c>
      <c r="O51" s="857">
        <f>Rashodi!O50</f>
        <v>0</v>
      </c>
      <c r="P51" s="857">
        <f>Rashodi!P50</f>
        <v>0</v>
      </c>
      <c r="Q51" s="857">
        <f>Rashodi!Q50</f>
        <v>0</v>
      </c>
      <c r="R51" s="857">
        <f>Rashodi!R50</f>
        <v>0</v>
      </c>
      <c r="S51" s="857">
        <f>Rashodi!S50</f>
        <v>0</v>
      </c>
      <c r="T51" s="857">
        <f>Rashodi!T50</f>
        <v>0</v>
      </c>
      <c r="U51" s="818">
        <f t="shared" si="6"/>
        <v>100000</v>
      </c>
      <c r="V51" s="818">
        <v>100000</v>
      </c>
      <c r="W51" s="818">
        <v>100000</v>
      </c>
    </row>
    <row r="52" spans="1:23" ht="12.75">
      <c r="A52" s="336"/>
      <c r="B52" s="343"/>
      <c r="C52" s="338"/>
      <c r="D52" s="343"/>
      <c r="E52" s="354">
        <v>29</v>
      </c>
      <c r="F52" s="428">
        <v>424</v>
      </c>
      <c r="G52" s="1269" t="s">
        <v>36</v>
      </c>
      <c r="H52" s="1270"/>
      <c r="I52" s="1271"/>
      <c r="J52" s="871">
        <v>50000</v>
      </c>
      <c r="K52" s="871">
        <v>0</v>
      </c>
      <c r="L52" s="871">
        <v>50000</v>
      </c>
      <c r="M52" s="857">
        <f>Rashodi!M52</f>
        <v>70000</v>
      </c>
      <c r="N52" s="857">
        <f>Rashodi!N51</f>
        <v>0</v>
      </c>
      <c r="O52" s="857">
        <f>Rashodi!O51</f>
        <v>0</v>
      </c>
      <c r="P52" s="857">
        <f>Rashodi!P51</f>
        <v>0</v>
      </c>
      <c r="Q52" s="857">
        <f>Rashodi!Q51</f>
        <v>0</v>
      </c>
      <c r="R52" s="857">
        <f>Rashodi!R51</f>
        <v>0</v>
      </c>
      <c r="S52" s="857">
        <f>Rashodi!S51</f>
        <v>0</v>
      </c>
      <c r="T52" s="857">
        <f>Rashodi!T51</f>
        <v>0</v>
      </c>
      <c r="U52" s="818">
        <f t="shared" si="6"/>
        <v>70000</v>
      </c>
      <c r="V52" s="818">
        <v>50000</v>
      </c>
      <c r="W52" s="818">
        <v>50000</v>
      </c>
    </row>
    <row r="53" spans="1:23" ht="12.75">
      <c r="A53" s="546"/>
      <c r="B53" s="467"/>
      <c r="C53" s="547"/>
      <c r="D53" s="467"/>
      <c r="E53" s="354">
        <v>30</v>
      </c>
      <c r="F53" s="513">
        <v>426</v>
      </c>
      <c r="G53" s="1413" t="s">
        <v>38</v>
      </c>
      <c r="H53" s="1414"/>
      <c r="I53" s="1414"/>
      <c r="J53" s="887">
        <v>540000</v>
      </c>
      <c r="K53" s="887">
        <v>421246.1</v>
      </c>
      <c r="L53" s="887">
        <v>785000</v>
      </c>
      <c r="M53" s="857">
        <f>Rashodi!M53</f>
        <v>900000</v>
      </c>
      <c r="N53" s="857">
        <f>Rashodi!N52</f>
        <v>0</v>
      </c>
      <c r="O53" s="857">
        <f>Rashodi!O52</f>
        <v>0</v>
      </c>
      <c r="P53" s="857">
        <f>Rashodi!P52</f>
        <v>0</v>
      </c>
      <c r="Q53" s="857">
        <f>Rashodi!Q52</f>
        <v>0</v>
      </c>
      <c r="R53" s="857">
        <f>Rashodi!R52</f>
        <v>0</v>
      </c>
      <c r="S53" s="857">
        <f>Rashodi!S52</f>
        <v>0</v>
      </c>
      <c r="T53" s="857">
        <f>Rashodi!T52</f>
        <v>0</v>
      </c>
      <c r="U53" s="818">
        <f t="shared" si="6"/>
        <v>900000</v>
      </c>
      <c r="V53" s="818">
        <v>900000</v>
      </c>
      <c r="W53" s="818">
        <v>900000</v>
      </c>
    </row>
    <row r="54" spans="1:23" ht="13.5" thickBot="1">
      <c r="A54" s="469"/>
      <c r="B54" s="469"/>
      <c r="C54" s="515"/>
      <c r="D54" s="469"/>
      <c r="E54" s="354">
        <v>31</v>
      </c>
      <c r="F54" s="466">
        <v>482</v>
      </c>
      <c r="G54" s="1335" t="s">
        <v>81</v>
      </c>
      <c r="H54" s="1335"/>
      <c r="I54" s="1404"/>
      <c r="J54" s="523">
        <v>30000</v>
      </c>
      <c r="K54" s="523">
        <v>4206</v>
      </c>
      <c r="L54" s="523">
        <v>30000</v>
      </c>
      <c r="M54" s="857">
        <f>Rashodi!M54</f>
        <v>30000</v>
      </c>
      <c r="N54" s="857">
        <f>Rashodi!N53</f>
        <v>0</v>
      </c>
      <c r="O54" s="857">
        <f>Rashodi!O53</f>
        <v>0</v>
      </c>
      <c r="P54" s="857">
        <f>Rashodi!P53</f>
        <v>0</v>
      </c>
      <c r="Q54" s="857">
        <f>Rashodi!Q53</f>
        <v>0</v>
      </c>
      <c r="R54" s="857">
        <f>Rashodi!R53</f>
        <v>0</v>
      </c>
      <c r="S54" s="857">
        <f>Rashodi!S53</f>
        <v>0</v>
      </c>
      <c r="T54" s="857">
        <f>Rashodi!T53</f>
        <v>0</v>
      </c>
      <c r="U54" s="818">
        <f t="shared" si="6"/>
        <v>30000</v>
      </c>
      <c r="V54" s="818">
        <v>30000</v>
      </c>
      <c r="W54" s="818">
        <v>30000</v>
      </c>
    </row>
    <row r="55" spans="1:23" ht="12.75">
      <c r="A55" s="673" t="s">
        <v>316</v>
      </c>
      <c r="B55" s="674"/>
      <c r="C55" s="507"/>
      <c r="D55" s="517"/>
      <c r="E55" s="507"/>
      <c r="F55" s="507"/>
      <c r="G55" s="670" t="s">
        <v>85</v>
      </c>
      <c r="H55" s="671"/>
      <c r="I55" s="672"/>
      <c r="J55" s="846">
        <f aca="true" t="shared" si="14" ref="J55:S57">J56</f>
        <v>7282000</v>
      </c>
      <c r="K55" s="846">
        <f t="shared" si="14"/>
        <v>3373430.0599999996</v>
      </c>
      <c r="L55" s="846">
        <f t="shared" si="14"/>
        <v>7432000</v>
      </c>
      <c r="M55" s="846">
        <f t="shared" si="14"/>
        <v>8170000</v>
      </c>
      <c r="N55" s="482">
        <f t="shared" si="14"/>
        <v>0</v>
      </c>
      <c r="O55" s="482">
        <f t="shared" si="14"/>
        <v>0</v>
      </c>
      <c r="P55" s="482">
        <f t="shared" si="14"/>
        <v>0</v>
      </c>
      <c r="Q55" s="482">
        <f t="shared" si="14"/>
        <v>0</v>
      </c>
      <c r="R55" s="482">
        <f t="shared" si="14"/>
        <v>0</v>
      </c>
      <c r="S55" s="482">
        <f t="shared" si="14"/>
        <v>0</v>
      </c>
      <c r="T55" s="483">
        <f>SUM(N55:S55)</f>
        <v>0</v>
      </c>
      <c r="U55" s="809">
        <f t="shared" si="6"/>
        <v>8170000</v>
      </c>
      <c r="V55" s="809">
        <v>7500000</v>
      </c>
      <c r="W55" s="809">
        <v>7500000</v>
      </c>
    </row>
    <row r="56" spans="1:23" ht="12.75">
      <c r="A56" s="270"/>
      <c r="B56" s="271"/>
      <c r="C56" s="412"/>
      <c r="D56" s="593" t="s">
        <v>1180</v>
      </c>
      <c r="E56" s="594"/>
      <c r="F56" s="595"/>
      <c r="G56" s="1287" t="s">
        <v>1179</v>
      </c>
      <c r="H56" s="1288"/>
      <c r="I56" s="1289"/>
      <c r="J56" s="847">
        <f t="shared" si="14"/>
        <v>7282000</v>
      </c>
      <c r="K56" s="847">
        <f t="shared" si="14"/>
        <v>3373430.0599999996</v>
      </c>
      <c r="L56" s="847">
        <f t="shared" si="14"/>
        <v>7432000</v>
      </c>
      <c r="M56" s="847">
        <f t="shared" si="14"/>
        <v>8170000</v>
      </c>
      <c r="N56" s="272">
        <f t="shared" si="14"/>
        <v>0</v>
      </c>
      <c r="O56" s="272">
        <f t="shared" si="14"/>
        <v>0</v>
      </c>
      <c r="P56" s="272">
        <f t="shared" si="14"/>
        <v>0</v>
      </c>
      <c r="Q56" s="272">
        <f t="shared" si="14"/>
        <v>0</v>
      </c>
      <c r="R56" s="272">
        <f t="shared" si="14"/>
        <v>0</v>
      </c>
      <c r="S56" s="320">
        <f t="shared" si="14"/>
        <v>0</v>
      </c>
      <c r="T56" s="320">
        <f>SUM(N56:S56)</f>
        <v>0</v>
      </c>
      <c r="U56" s="819">
        <f t="shared" si="6"/>
        <v>8170000</v>
      </c>
      <c r="V56" s="819">
        <v>7500000</v>
      </c>
      <c r="W56" s="819">
        <v>7500000</v>
      </c>
    </row>
    <row r="57" spans="1:23" ht="12.75">
      <c r="A57" s="270"/>
      <c r="B57" s="271"/>
      <c r="C57" s="412"/>
      <c r="D57" s="332" t="s">
        <v>1186</v>
      </c>
      <c r="E57" s="412"/>
      <c r="F57" s="413"/>
      <c r="G57" s="1310" t="s">
        <v>1185</v>
      </c>
      <c r="H57" s="1378"/>
      <c r="I57" s="1379"/>
      <c r="J57" s="848">
        <f t="shared" si="14"/>
        <v>7282000</v>
      </c>
      <c r="K57" s="848">
        <f t="shared" si="14"/>
        <v>3373430.0599999996</v>
      </c>
      <c r="L57" s="848">
        <f t="shared" si="14"/>
        <v>7432000</v>
      </c>
      <c r="M57" s="848">
        <f t="shared" si="14"/>
        <v>8170000</v>
      </c>
      <c r="N57" s="276">
        <f t="shared" si="14"/>
        <v>0</v>
      </c>
      <c r="O57" s="276">
        <f t="shared" si="14"/>
        <v>0</v>
      </c>
      <c r="P57" s="276">
        <f t="shared" si="14"/>
        <v>0</v>
      </c>
      <c r="Q57" s="276">
        <f t="shared" si="14"/>
        <v>0</v>
      </c>
      <c r="R57" s="276">
        <f t="shared" si="14"/>
        <v>0</v>
      </c>
      <c r="S57" s="321">
        <f t="shared" si="14"/>
        <v>0</v>
      </c>
      <c r="T57" s="321">
        <f>SUM(N57:S57)</f>
        <v>0</v>
      </c>
      <c r="U57" s="819">
        <f t="shared" si="6"/>
        <v>8170000</v>
      </c>
      <c r="V57" s="819">
        <v>7500000</v>
      </c>
      <c r="W57" s="819">
        <v>7500000</v>
      </c>
    </row>
    <row r="58" spans="1:23" ht="12.75">
      <c r="A58" s="569"/>
      <c r="B58" s="570"/>
      <c r="C58" s="629">
        <v>110</v>
      </c>
      <c r="D58" s="571"/>
      <c r="E58" s="572"/>
      <c r="F58" s="573"/>
      <c r="G58" s="1369" t="s">
        <v>1198</v>
      </c>
      <c r="H58" s="1370"/>
      <c r="I58" s="1371"/>
      <c r="J58" s="575">
        <f aca="true" t="shared" si="15" ref="J58:T58">SUM(J59:J70)</f>
        <v>7282000</v>
      </c>
      <c r="K58" s="575">
        <f t="shared" si="15"/>
        <v>3373430.0599999996</v>
      </c>
      <c r="L58" s="575">
        <f>SUM(L59:L70)</f>
        <v>7432000</v>
      </c>
      <c r="M58" s="575">
        <f t="shared" si="15"/>
        <v>8170000</v>
      </c>
      <c r="N58" s="575">
        <f t="shared" si="15"/>
        <v>0</v>
      </c>
      <c r="O58" s="575">
        <f t="shared" si="15"/>
        <v>0</v>
      </c>
      <c r="P58" s="575">
        <f t="shared" si="15"/>
        <v>0</v>
      </c>
      <c r="Q58" s="575">
        <f t="shared" si="15"/>
        <v>0</v>
      </c>
      <c r="R58" s="575">
        <f t="shared" si="15"/>
        <v>0</v>
      </c>
      <c r="S58" s="575">
        <f t="shared" si="15"/>
        <v>0</v>
      </c>
      <c r="T58" s="575">
        <f t="shared" si="15"/>
        <v>0</v>
      </c>
      <c r="U58" s="1048">
        <f t="shared" si="6"/>
        <v>8170000</v>
      </c>
      <c r="V58" s="1048">
        <v>7500000</v>
      </c>
      <c r="W58" s="1048">
        <v>7500000</v>
      </c>
    </row>
    <row r="59" spans="1:23" ht="12.75">
      <c r="A59" s="336"/>
      <c r="B59" s="343"/>
      <c r="C59" s="338"/>
      <c r="D59" s="343"/>
      <c r="E59" s="354">
        <v>32</v>
      </c>
      <c r="F59" s="418">
        <v>411</v>
      </c>
      <c r="G59" s="1355" t="s">
        <v>27</v>
      </c>
      <c r="H59" s="1356"/>
      <c r="I59" s="1357"/>
      <c r="J59" s="860">
        <v>3500000</v>
      </c>
      <c r="K59" s="860">
        <v>2134419.3099999996</v>
      </c>
      <c r="L59" s="860">
        <v>4420000</v>
      </c>
      <c r="M59" s="860">
        <f>Rashodi!M59</f>
        <v>4930000</v>
      </c>
      <c r="N59" s="860">
        <f>Rashodi!N59</f>
        <v>0</v>
      </c>
      <c r="O59" s="860">
        <f>Rashodi!O59</f>
        <v>0</v>
      </c>
      <c r="P59" s="860">
        <f>Rashodi!P59</f>
        <v>0</v>
      </c>
      <c r="Q59" s="860">
        <f>Rashodi!Q59</f>
        <v>0</v>
      </c>
      <c r="R59" s="860">
        <f>Rashodi!R59</f>
        <v>0</v>
      </c>
      <c r="S59" s="860">
        <f>Rashodi!S59</f>
        <v>0</v>
      </c>
      <c r="T59" s="860">
        <f>Rashodi!T59</f>
        <v>0</v>
      </c>
      <c r="U59" s="860">
        <f>Rashodi!U59</f>
        <v>4930000</v>
      </c>
      <c r="V59" s="860">
        <v>4700000</v>
      </c>
      <c r="W59" s="860">
        <v>4700000</v>
      </c>
    </row>
    <row r="60" spans="1:23" ht="12.75">
      <c r="A60" s="336"/>
      <c r="B60" s="343"/>
      <c r="C60" s="338"/>
      <c r="D60" s="343"/>
      <c r="E60" s="354">
        <v>33</v>
      </c>
      <c r="F60" s="418">
        <v>412</v>
      </c>
      <c r="G60" s="1355" t="s">
        <v>78</v>
      </c>
      <c r="H60" s="1356"/>
      <c r="I60" s="1357"/>
      <c r="J60" s="860">
        <v>610000</v>
      </c>
      <c r="K60" s="860">
        <v>355380.74000000005</v>
      </c>
      <c r="L60" s="860">
        <v>750000</v>
      </c>
      <c r="M60" s="860">
        <f>Rashodi!M60</f>
        <v>810000</v>
      </c>
      <c r="N60" s="860">
        <f>Rashodi!N60</f>
        <v>0</v>
      </c>
      <c r="O60" s="860">
        <f>Rashodi!O60</f>
        <v>0</v>
      </c>
      <c r="P60" s="860">
        <f>Rashodi!P60</f>
        <v>0</v>
      </c>
      <c r="Q60" s="860">
        <f>Rashodi!Q60</f>
        <v>0</v>
      </c>
      <c r="R60" s="860">
        <f>Rashodi!R60</f>
        <v>0</v>
      </c>
      <c r="S60" s="860">
        <f>Rashodi!S60</f>
        <v>0</v>
      </c>
      <c r="T60" s="860">
        <f>Rashodi!T60</f>
        <v>0</v>
      </c>
      <c r="U60" s="818">
        <f t="shared" si="6"/>
        <v>810000</v>
      </c>
      <c r="V60" s="818">
        <v>800000</v>
      </c>
      <c r="W60" s="818">
        <v>800000</v>
      </c>
    </row>
    <row r="61" spans="1:23" ht="12.75">
      <c r="A61" s="336"/>
      <c r="B61" s="343"/>
      <c r="C61" s="338"/>
      <c r="D61" s="343"/>
      <c r="E61" s="354">
        <v>34</v>
      </c>
      <c r="F61" s="418">
        <v>414</v>
      </c>
      <c r="G61" s="1363" t="s">
        <v>200</v>
      </c>
      <c r="H61" s="1364"/>
      <c r="I61" s="1365"/>
      <c r="J61" s="860">
        <v>50000</v>
      </c>
      <c r="K61" s="860">
        <v>2863.090000000004</v>
      </c>
      <c r="L61" s="860">
        <v>50000</v>
      </c>
      <c r="M61" s="860">
        <f>Rashodi!M61</f>
        <v>50000</v>
      </c>
      <c r="N61" s="860">
        <f>Rashodi!N61</f>
        <v>0</v>
      </c>
      <c r="O61" s="860">
        <f>Rashodi!O61</f>
        <v>0</v>
      </c>
      <c r="P61" s="860">
        <f>Rashodi!P61</f>
        <v>0</v>
      </c>
      <c r="Q61" s="860">
        <f>Rashodi!Q61</f>
        <v>0</v>
      </c>
      <c r="R61" s="860">
        <f>Rashodi!R61</f>
        <v>0</v>
      </c>
      <c r="S61" s="860">
        <f>Rashodi!S61</f>
        <v>0</v>
      </c>
      <c r="T61" s="860">
        <f>Rashodi!T61</f>
        <v>0</v>
      </c>
      <c r="U61" s="818">
        <f t="shared" si="6"/>
        <v>50000</v>
      </c>
      <c r="V61" s="818">
        <v>50000</v>
      </c>
      <c r="W61" s="818">
        <v>50000</v>
      </c>
    </row>
    <row r="62" spans="1:23" ht="12.75">
      <c r="A62" s="336"/>
      <c r="B62" s="343"/>
      <c r="C62" s="338"/>
      <c r="D62" s="343"/>
      <c r="E62" s="354">
        <v>35</v>
      </c>
      <c r="F62" s="418">
        <v>415</v>
      </c>
      <c r="G62" s="1355" t="s">
        <v>31</v>
      </c>
      <c r="H62" s="1356"/>
      <c r="I62" s="1357"/>
      <c r="J62" s="860">
        <v>732000</v>
      </c>
      <c r="K62" s="860">
        <v>374377.76</v>
      </c>
      <c r="L62" s="860">
        <v>732000</v>
      </c>
      <c r="M62" s="860">
        <f>Rashodi!M62</f>
        <v>400000</v>
      </c>
      <c r="N62" s="860">
        <f>Rashodi!N62</f>
        <v>0</v>
      </c>
      <c r="O62" s="860">
        <f>Rashodi!O62</f>
        <v>0</v>
      </c>
      <c r="P62" s="860">
        <f>Rashodi!P62</f>
        <v>0</v>
      </c>
      <c r="Q62" s="860">
        <f>Rashodi!Q62</f>
        <v>0</v>
      </c>
      <c r="R62" s="860">
        <f>Rashodi!R62</f>
        <v>0</v>
      </c>
      <c r="S62" s="860">
        <f>Rashodi!S62</f>
        <v>0</v>
      </c>
      <c r="T62" s="860">
        <f>Rashodi!T62</f>
        <v>0</v>
      </c>
      <c r="U62" s="818">
        <f t="shared" si="6"/>
        <v>400000</v>
      </c>
      <c r="V62" s="818">
        <v>400000</v>
      </c>
      <c r="W62" s="818">
        <v>400000</v>
      </c>
    </row>
    <row r="63" spans="1:23" ht="12.75">
      <c r="A63" s="336"/>
      <c r="B63" s="343"/>
      <c r="C63" s="338"/>
      <c r="D63" s="343"/>
      <c r="E63" s="354"/>
      <c r="F63" s="418">
        <v>416</v>
      </c>
      <c r="G63" s="1108" t="s">
        <v>197</v>
      </c>
      <c r="H63" s="1109"/>
      <c r="I63" s="1110"/>
      <c r="J63" s="860"/>
      <c r="K63" s="860"/>
      <c r="L63" s="860"/>
      <c r="M63" s="860">
        <f>Rashodi!M63</f>
        <v>100000</v>
      </c>
      <c r="N63" s="860">
        <f>Rashodi!N63</f>
        <v>0</v>
      </c>
      <c r="O63" s="860">
        <f>Rashodi!O63</f>
        <v>0</v>
      </c>
      <c r="P63" s="860">
        <f>Rashodi!P63</f>
        <v>0</v>
      </c>
      <c r="Q63" s="860">
        <f>Rashodi!Q63</f>
        <v>0</v>
      </c>
      <c r="R63" s="860">
        <f>Rashodi!R63</f>
        <v>0</v>
      </c>
      <c r="S63" s="860">
        <f>Rashodi!S63</f>
        <v>0</v>
      </c>
      <c r="T63" s="860">
        <f>Rashodi!T63</f>
        <v>0</v>
      </c>
      <c r="U63" s="818">
        <f t="shared" si="6"/>
        <v>100000</v>
      </c>
      <c r="V63" s="818">
        <v>100000</v>
      </c>
      <c r="W63" s="818">
        <v>100000</v>
      </c>
    </row>
    <row r="64" spans="1:23" ht="12.75">
      <c r="A64" s="336"/>
      <c r="B64" s="343"/>
      <c r="C64" s="338"/>
      <c r="D64" s="343"/>
      <c r="E64" s="354">
        <v>36</v>
      </c>
      <c r="F64" s="418">
        <v>421</v>
      </c>
      <c r="G64" s="1363" t="s">
        <v>33</v>
      </c>
      <c r="H64" s="1364"/>
      <c r="I64" s="1365"/>
      <c r="J64" s="860">
        <v>150000</v>
      </c>
      <c r="K64" s="860">
        <v>38935.4</v>
      </c>
      <c r="L64" s="860">
        <v>150000</v>
      </c>
      <c r="M64" s="860">
        <f>Rashodi!M64</f>
        <v>100000</v>
      </c>
      <c r="N64" s="860">
        <f>Rashodi!N64</f>
        <v>0</v>
      </c>
      <c r="O64" s="860">
        <f>Rashodi!O64</f>
        <v>0</v>
      </c>
      <c r="P64" s="860">
        <f>Rashodi!P64</f>
        <v>0</v>
      </c>
      <c r="Q64" s="860">
        <f>Rashodi!Q64</f>
        <v>0</v>
      </c>
      <c r="R64" s="860">
        <f>Rashodi!R64</f>
        <v>0</v>
      </c>
      <c r="S64" s="860">
        <f>Rashodi!S64</f>
        <v>0</v>
      </c>
      <c r="T64" s="860">
        <f>Rashodi!T64</f>
        <v>0</v>
      </c>
      <c r="U64" s="818">
        <f t="shared" si="6"/>
        <v>100000</v>
      </c>
      <c r="V64" s="818">
        <v>100000</v>
      </c>
      <c r="W64" s="818">
        <v>100000</v>
      </c>
    </row>
    <row r="65" spans="1:23" ht="12.75">
      <c r="A65" s="336"/>
      <c r="B65" s="343"/>
      <c r="C65" s="338"/>
      <c r="D65" s="343"/>
      <c r="E65" s="354">
        <v>37</v>
      </c>
      <c r="F65" s="418">
        <v>422</v>
      </c>
      <c r="G65" s="1363" t="s">
        <v>34</v>
      </c>
      <c r="H65" s="1364"/>
      <c r="I65" s="1365"/>
      <c r="J65" s="860">
        <v>50000</v>
      </c>
      <c r="K65" s="860">
        <v>0</v>
      </c>
      <c r="L65" s="860">
        <v>50000</v>
      </c>
      <c r="M65" s="860">
        <f>Rashodi!M65</f>
        <v>50000</v>
      </c>
      <c r="N65" s="860">
        <f>Rashodi!N65</f>
        <v>0</v>
      </c>
      <c r="O65" s="860">
        <f>Rashodi!O65</f>
        <v>0</v>
      </c>
      <c r="P65" s="860">
        <f>Rashodi!P65</f>
        <v>0</v>
      </c>
      <c r="Q65" s="860">
        <f>Rashodi!Q65</f>
        <v>0</v>
      </c>
      <c r="R65" s="860">
        <f>Rashodi!R65</f>
        <v>0</v>
      </c>
      <c r="S65" s="860">
        <f>Rashodi!S65</f>
        <v>0</v>
      </c>
      <c r="T65" s="860">
        <f>Rashodi!T65</f>
        <v>0</v>
      </c>
      <c r="U65" s="818">
        <f t="shared" si="6"/>
        <v>50000</v>
      </c>
      <c r="V65" s="818">
        <v>50000</v>
      </c>
      <c r="W65" s="818">
        <v>50000</v>
      </c>
    </row>
    <row r="66" spans="1:23" ht="12.75">
      <c r="A66" s="336"/>
      <c r="B66" s="343"/>
      <c r="C66" s="338"/>
      <c r="D66" s="343"/>
      <c r="E66" s="354">
        <v>38</v>
      </c>
      <c r="F66" s="418">
        <v>423</v>
      </c>
      <c r="G66" s="1363" t="s">
        <v>35</v>
      </c>
      <c r="H66" s="1364"/>
      <c r="I66" s="1365"/>
      <c r="J66" s="860">
        <v>300000</v>
      </c>
      <c r="K66" s="860">
        <v>48338.189999999995</v>
      </c>
      <c r="L66" s="860">
        <v>300000</v>
      </c>
      <c r="M66" s="860">
        <f>Rashodi!M66</f>
        <v>200000</v>
      </c>
      <c r="N66" s="860">
        <f>Rashodi!N66</f>
        <v>0</v>
      </c>
      <c r="O66" s="860">
        <f>Rashodi!O66</f>
        <v>0</v>
      </c>
      <c r="P66" s="860">
        <f>Rashodi!P66</f>
        <v>0</v>
      </c>
      <c r="Q66" s="860">
        <f>Rashodi!Q66</f>
        <v>0</v>
      </c>
      <c r="R66" s="860">
        <f>Rashodi!R66</f>
        <v>0</v>
      </c>
      <c r="S66" s="860">
        <f>Rashodi!S66</f>
        <v>0</v>
      </c>
      <c r="T66" s="860">
        <f>Rashodi!T66</f>
        <v>0</v>
      </c>
      <c r="U66" s="818">
        <f t="shared" si="6"/>
        <v>200000</v>
      </c>
      <c r="V66" s="818">
        <v>200000</v>
      </c>
      <c r="W66" s="818">
        <v>200000</v>
      </c>
    </row>
    <row r="67" spans="1:23" ht="12.75">
      <c r="A67" s="336"/>
      <c r="B67" s="343"/>
      <c r="C67" s="338"/>
      <c r="D67" s="343"/>
      <c r="E67" s="354">
        <v>39</v>
      </c>
      <c r="F67" s="428">
        <v>423</v>
      </c>
      <c r="G67" s="1257" t="s">
        <v>1379</v>
      </c>
      <c r="H67" s="1258"/>
      <c r="I67" s="1259"/>
      <c r="J67" s="723">
        <v>900000</v>
      </c>
      <c r="K67" s="723">
        <v>152830.2</v>
      </c>
      <c r="L67" s="723">
        <v>320000</v>
      </c>
      <c r="M67" s="860">
        <f>Rashodi!M67</f>
        <v>340000</v>
      </c>
      <c r="N67" s="860">
        <f>Rashodi!N67</f>
        <v>0</v>
      </c>
      <c r="O67" s="860">
        <f>Rashodi!O67</f>
        <v>0</v>
      </c>
      <c r="P67" s="860">
        <f>Rashodi!P67</f>
        <v>0</v>
      </c>
      <c r="Q67" s="860">
        <f>Rashodi!Q67</f>
        <v>0</v>
      </c>
      <c r="R67" s="860">
        <f>Rashodi!R67</f>
        <v>0</v>
      </c>
      <c r="S67" s="860">
        <f>Rashodi!S67</f>
        <v>0</v>
      </c>
      <c r="T67" s="860">
        <f>Rashodi!T67</f>
        <v>0</v>
      </c>
      <c r="U67" s="818">
        <f t="shared" si="6"/>
        <v>340000</v>
      </c>
      <c r="V67" s="818">
        <v>340000</v>
      </c>
      <c r="W67" s="818">
        <v>340000</v>
      </c>
    </row>
    <row r="68" spans="1:23" ht="12.75">
      <c r="A68" s="336"/>
      <c r="B68" s="343"/>
      <c r="C68" s="338"/>
      <c r="D68" s="343"/>
      <c r="E68" s="354">
        <v>40</v>
      </c>
      <c r="F68" s="418">
        <v>423</v>
      </c>
      <c r="G68" s="1355" t="s">
        <v>86</v>
      </c>
      <c r="H68" s="1356"/>
      <c r="I68" s="1357"/>
      <c r="J68" s="860">
        <v>100000</v>
      </c>
      <c r="K68" s="860">
        <v>0</v>
      </c>
      <c r="L68" s="860">
        <v>100000</v>
      </c>
      <c r="M68" s="860">
        <f>Rashodi!M68</f>
        <v>100000</v>
      </c>
      <c r="N68" s="860">
        <f>Rashodi!N68</f>
        <v>0</v>
      </c>
      <c r="O68" s="860">
        <f>Rashodi!O68</f>
        <v>0</v>
      </c>
      <c r="P68" s="860">
        <f>Rashodi!P68</f>
        <v>0</v>
      </c>
      <c r="Q68" s="860">
        <f>Rashodi!Q68</f>
        <v>0</v>
      </c>
      <c r="R68" s="860">
        <f>Rashodi!R68</f>
        <v>0</v>
      </c>
      <c r="S68" s="860">
        <f>Rashodi!S68</f>
        <v>0</v>
      </c>
      <c r="T68" s="860">
        <f>Rashodi!T68</f>
        <v>0</v>
      </c>
      <c r="U68" s="818">
        <f t="shared" si="6"/>
        <v>100000</v>
      </c>
      <c r="V68" s="818">
        <v>100000</v>
      </c>
      <c r="W68" s="818">
        <v>100000</v>
      </c>
    </row>
    <row r="69" spans="1:23" ht="12.75">
      <c r="A69" s="336"/>
      <c r="B69" s="343"/>
      <c r="C69" s="338"/>
      <c r="D69" s="343"/>
      <c r="E69" s="354">
        <v>41</v>
      </c>
      <c r="F69" s="418">
        <v>423</v>
      </c>
      <c r="G69" s="1355" t="s">
        <v>1332</v>
      </c>
      <c r="H69" s="1356"/>
      <c r="I69" s="1357"/>
      <c r="J69" s="860">
        <v>530000</v>
      </c>
      <c r="K69" s="860">
        <v>110550.46</v>
      </c>
      <c r="L69" s="860">
        <v>200000</v>
      </c>
      <c r="M69" s="860">
        <f>Rashodi!M69</f>
        <v>550000</v>
      </c>
      <c r="N69" s="860">
        <f>Rashodi!N69</f>
        <v>0</v>
      </c>
      <c r="O69" s="860">
        <f>Rashodi!O69</f>
        <v>0</v>
      </c>
      <c r="P69" s="860">
        <f>Rashodi!P69</f>
        <v>0</v>
      </c>
      <c r="Q69" s="860">
        <f>Rashodi!Q69</f>
        <v>0</v>
      </c>
      <c r="R69" s="860">
        <f>Rashodi!R69</f>
        <v>0</v>
      </c>
      <c r="S69" s="860">
        <f>Rashodi!S69</f>
        <v>0</v>
      </c>
      <c r="T69" s="860">
        <f>Rashodi!T69</f>
        <v>0</v>
      </c>
      <c r="U69" s="818">
        <f t="shared" si="6"/>
        <v>550000</v>
      </c>
      <c r="V69" s="818">
        <v>300000</v>
      </c>
      <c r="W69" s="818">
        <v>300000</v>
      </c>
    </row>
    <row r="70" spans="1:23" ht="12.75">
      <c r="A70" s="336"/>
      <c r="B70" s="343"/>
      <c r="C70" s="338"/>
      <c r="D70" s="343"/>
      <c r="E70" s="354">
        <v>42</v>
      </c>
      <c r="F70" s="513">
        <v>426</v>
      </c>
      <c r="G70" s="1541" t="s">
        <v>38</v>
      </c>
      <c r="H70" s="1542"/>
      <c r="I70" s="1543"/>
      <c r="J70" s="861">
        <v>360000</v>
      </c>
      <c r="K70" s="861">
        <v>155734.91000000003</v>
      </c>
      <c r="L70" s="861">
        <v>360000</v>
      </c>
      <c r="M70" s="860">
        <f>Rashodi!M70</f>
        <v>540000</v>
      </c>
      <c r="N70" s="860">
        <f>Rashodi!N70</f>
        <v>0</v>
      </c>
      <c r="O70" s="860">
        <f>Rashodi!O70</f>
        <v>0</v>
      </c>
      <c r="P70" s="860">
        <f>Rashodi!P70</f>
        <v>0</v>
      </c>
      <c r="Q70" s="860">
        <f>Rashodi!Q70</f>
        <v>0</v>
      </c>
      <c r="R70" s="860">
        <f>Rashodi!R70</f>
        <v>0</v>
      </c>
      <c r="S70" s="860">
        <f>Rashodi!S70</f>
        <v>0</v>
      </c>
      <c r="T70" s="860">
        <f>Rashodi!T70</f>
        <v>0</v>
      </c>
      <c r="U70" s="818">
        <f t="shared" si="6"/>
        <v>540000</v>
      </c>
      <c r="V70" s="818">
        <v>360000</v>
      </c>
      <c r="W70" s="818">
        <v>360000</v>
      </c>
    </row>
    <row r="71" spans="1:23" ht="12.75">
      <c r="A71" s="485" t="s">
        <v>1166</v>
      </c>
      <c r="B71" s="486"/>
      <c r="C71" s="487"/>
      <c r="D71" s="488"/>
      <c r="E71" s="487"/>
      <c r="F71" s="980"/>
      <c r="G71" s="1375" t="s">
        <v>88</v>
      </c>
      <c r="H71" s="1376"/>
      <c r="I71" s="1377"/>
      <c r="J71" s="846" t="e">
        <f>J72+J124+J132+J137+J155+J169+J211+J225+J242+J257+J281+J292+J296+J309+J328+J347+J370+#REF!+#REF!+#REF!+#REF!+#REF!+#REF!</f>
        <v>#REF!</v>
      </c>
      <c r="K71" s="846" t="e">
        <f>K72+K124+K132+K137+K155+K169+K211+K225+K242+K257+K281+K292+K296+K309+K328+K347+K370+#REF!+#REF!+#REF!+#REF!+#REF!+#REF!</f>
        <v>#REF!</v>
      </c>
      <c r="L71" s="846" t="e">
        <f aca="true" t="shared" si="16" ref="L71:T71">L72+L124+L132+L137+L155+L169+L211+L225+L242+L257+L281+L292+L296+L309+L328+L347+L370</f>
        <v>#REF!</v>
      </c>
      <c r="M71" s="846">
        <f t="shared" si="16"/>
        <v>451073369</v>
      </c>
      <c r="N71" s="846">
        <f t="shared" si="16"/>
        <v>182000</v>
      </c>
      <c r="O71" s="846">
        <f t="shared" si="16"/>
        <v>610000</v>
      </c>
      <c r="P71" s="846">
        <f t="shared" si="16"/>
        <v>28727433.47</v>
      </c>
      <c r="Q71" s="846">
        <f t="shared" si="16"/>
        <v>100733142</v>
      </c>
      <c r="R71" s="846">
        <f t="shared" si="16"/>
        <v>0</v>
      </c>
      <c r="S71" s="846">
        <f t="shared" si="16"/>
        <v>427000</v>
      </c>
      <c r="T71" s="846">
        <f t="shared" si="16"/>
        <v>130679575.47</v>
      </c>
      <c r="U71" s="809">
        <f t="shared" si="6"/>
        <v>581752944.47</v>
      </c>
      <c r="V71" s="809">
        <v>547757560</v>
      </c>
      <c r="W71" s="809">
        <v>547757560</v>
      </c>
    </row>
    <row r="72" spans="1:23" ht="12.75">
      <c r="A72" s="270"/>
      <c r="B72" s="271"/>
      <c r="C72" s="412"/>
      <c r="D72" s="593" t="s">
        <v>279</v>
      </c>
      <c r="E72" s="594"/>
      <c r="F72" s="595"/>
      <c r="G72" s="1287" t="s">
        <v>1238</v>
      </c>
      <c r="H72" s="1288"/>
      <c r="I72" s="1288"/>
      <c r="J72" s="889">
        <f aca="true" t="shared" si="17" ref="J72:S72">J73+J105+J111+J118+J121</f>
        <v>90130000</v>
      </c>
      <c r="K72" s="889">
        <f t="shared" si="17"/>
        <v>42597739.64999999</v>
      </c>
      <c r="L72" s="889">
        <f t="shared" si="17"/>
        <v>92600000</v>
      </c>
      <c r="M72" s="889">
        <f t="shared" si="17"/>
        <v>107263741</v>
      </c>
      <c r="N72" s="272">
        <f t="shared" si="17"/>
        <v>0</v>
      </c>
      <c r="O72" s="272">
        <f t="shared" si="17"/>
        <v>0</v>
      </c>
      <c r="P72" s="272">
        <f t="shared" si="17"/>
        <v>5922765.470000001</v>
      </c>
      <c r="Q72" s="272">
        <f t="shared" si="17"/>
        <v>3830000</v>
      </c>
      <c r="R72" s="272">
        <f t="shared" si="17"/>
        <v>0</v>
      </c>
      <c r="S72" s="272">
        <f t="shared" si="17"/>
        <v>0</v>
      </c>
      <c r="T72" s="320">
        <f>SUM(N72:S72)</f>
        <v>9752765.47</v>
      </c>
      <c r="U72" s="819">
        <f t="shared" si="6"/>
        <v>117016506.47</v>
      </c>
      <c r="V72" s="819">
        <v>105460000</v>
      </c>
      <c r="W72" s="819">
        <v>105460000</v>
      </c>
    </row>
    <row r="73" spans="1:23" ht="12.75">
      <c r="A73" s="270"/>
      <c r="B73" s="271"/>
      <c r="C73" s="412"/>
      <c r="D73" s="332" t="s">
        <v>281</v>
      </c>
      <c r="E73" s="412"/>
      <c r="F73" s="413"/>
      <c r="G73" s="1310" t="s">
        <v>308</v>
      </c>
      <c r="H73" s="1378"/>
      <c r="I73" s="1379"/>
      <c r="J73" s="848">
        <f aca="true" t="shared" si="18" ref="J73:S73">J74</f>
        <v>83700000</v>
      </c>
      <c r="K73" s="848">
        <f t="shared" si="18"/>
        <v>40395157.50999999</v>
      </c>
      <c r="L73" s="848">
        <f t="shared" si="18"/>
        <v>86070000</v>
      </c>
      <c r="M73" s="848">
        <f t="shared" si="18"/>
        <v>99333741</v>
      </c>
      <c r="N73" s="848">
        <f t="shared" si="18"/>
        <v>0</v>
      </c>
      <c r="O73" s="276">
        <f t="shared" si="18"/>
        <v>0</v>
      </c>
      <c r="P73" s="276">
        <f t="shared" si="18"/>
        <v>5922765.470000001</v>
      </c>
      <c r="Q73" s="276">
        <f t="shared" si="18"/>
        <v>3830000</v>
      </c>
      <c r="R73" s="276">
        <f t="shared" si="18"/>
        <v>0</v>
      </c>
      <c r="S73" s="276">
        <f t="shared" si="18"/>
        <v>0</v>
      </c>
      <c r="T73" s="321">
        <f>SUM(N73:S73)</f>
        <v>9752765.47</v>
      </c>
      <c r="U73" s="819">
        <f t="shared" si="6"/>
        <v>109086506.47</v>
      </c>
      <c r="V73" s="819">
        <v>97530000</v>
      </c>
      <c r="W73" s="819">
        <v>97530000</v>
      </c>
    </row>
    <row r="74" spans="1:23" ht="12.75">
      <c r="A74" s="529"/>
      <c r="B74" s="530"/>
      <c r="C74" s="56">
        <v>130</v>
      </c>
      <c r="D74" s="58"/>
      <c r="E74" s="531"/>
      <c r="F74" s="532"/>
      <c r="G74" s="1296" t="s">
        <v>89</v>
      </c>
      <c r="H74" s="1297"/>
      <c r="I74" s="708"/>
      <c r="J74" s="522">
        <f>SUM(J75:J104)</f>
        <v>83700000</v>
      </c>
      <c r="K74" s="522">
        <f>SUM(K75:K104)</f>
        <v>40395157.50999999</v>
      </c>
      <c r="L74" s="522">
        <f>SUM(L75:L104)</f>
        <v>86070000</v>
      </c>
      <c r="M74" s="522">
        <f>SUM(M75:M104)</f>
        <v>99333741</v>
      </c>
      <c r="N74" s="68">
        <f aca="true" t="shared" si="19" ref="N74:S74">SUM(N75:N104)</f>
        <v>0</v>
      </c>
      <c r="O74" s="68">
        <f t="shared" si="19"/>
        <v>0</v>
      </c>
      <c r="P74" s="68">
        <f t="shared" si="19"/>
        <v>5922765.470000001</v>
      </c>
      <c r="Q74" s="68">
        <f t="shared" si="19"/>
        <v>3830000</v>
      </c>
      <c r="R74" s="68">
        <f t="shared" si="19"/>
        <v>0</v>
      </c>
      <c r="S74" s="68">
        <f t="shared" si="19"/>
        <v>0</v>
      </c>
      <c r="T74" s="324">
        <f>SUM(N74:S74)</f>
        <v>9752765.47</v>
      </c>
      <c r="U74" s="1048">
        <f t="shared" si="6"/>
        <v>109086506.47</v>
      </c>
      <c r="V74" s="1048">
        <v>97530000</v>
      </c>
      <c r="W74" s="1048">
        <v>97530000</v>
      </c>
    </row>
    <row r="75" spans="1:23" ht="12.75">
      <c r="A75" s="336"/>
      <c r="B75" s="343"/>
      <c r="C75" s="338"/>
      <c r="D75" s="343"/>
      <c r="E75" s="354">
        <v>43</v>
      </c>
      <c r="F75" s="418">
        <v>411</v>
      </c>
      <c r="G75" s="1263" t="s">
        <v>27</v>
      </c>
      <c r="H75" s="1264"/>
      <c r="I75" s="1265"/>
      <c r="J75" s="857">
        <v>32000000</v>
      </c>
      <c r="K75" s="857">
        <v>14742180.009999998</v>
      </c>
      <c r="L75" s="358">
        <v>32798000</v>
      </c>
      <c r="M75" s="358">
        <f>Rashodi!M76</f>
        <v>34790000</v>
      </c>
      <c r="N75" s="358">
        <f>Rashodi!N76</f>
        <v>0</v>
      </c>
      <c r="O75" s="358">
        <f>Rashodi!O76</f>
        <v>0</v>
      </c>
      <c r="P75" s="358">
        <f>Rashodi!P76</f>
        <v>0</v>
      </c>
      <c r="Q75" s="358">
        <f>Rashodi!Q76</f>
        <v>0</v>
      </c>
      <c r="R75" s="358">
        <f>Rashodi!R76</f>
        <v>0</v>
      </c>
      <c r="S75" s="358">
        <f>Rashodi!S76</f>
        <v>0</v>
      </c>
      <c r="T75" s="358">
        <f>Rashodi!T76</f>
        <v>0</v>
      </c>
      <c r="U75" s="358">
        <f>Rashodi!U76</f>
        <v>34790000</v>
      </c>
      <c r="V75" s="358">
        <v>33000000</v>
      </c>
      <c r="W75" s="358">
        <v>33000000</v>
      </c>
    </row>
    <row r="76" spans="1:23" ht="12.75">
      <c r="A76" s="336"/>
      <c r="B76" s="343"/>
      <c r="C76" s="338"/>
      <c r="D76" s="343"/>
      <c r="E76" s="354">
        <v>44</v>
      </c>
      <c r="F76" s="418">
        <v>412</v>
      </c>
      <c r="G76" s="1257" t="s">
        <v>78</v>
      </c>
      <c r="H76" s="1258"/>
      <c r="I76" s="1259"/>
      <c r="J76" s="358">
        <v>5800000</v>
      </c>
      <c r="K76" s="358">
        <v>2454572.84</v>
      </c>
      <c r="L76" s="358">
        <v>5942000</v>
      </c>
      <c r="M76" s="358">
        <f>Rashodi!M77</f>
        <v>5700000</v>
      </c>
      <c r="N76" s="358">
        <f>Rashodi!N77</f>
        <v>0</v>
      </c>
      <c r="O76" s="358">
        <f>Rashodi!O77</f>
        <v>0</v>
      </c>
      <c r="P76" s="358">
        <f>Rashodi!P77</f>
        <v>0</v>
      </c>
      <c r="Q76" s="358">
        <f>Rashodi!Q77</f>
        <v>0</v>
      </c>
      <c r="R76" s="358">
        <f>Rashodi!R77</f>
        <v>0</v>
      </c>
      <c r="S76" s="358">
        <f>Rashodi!S77</f>
        <v>0</v>
      </c>
      <c r="T76" s="358">
        <f>Rashodi!T77</f>
        <v>0</v>
      </c>
      <c r="U76" s="358">
        <f>Rashodi!U77</f>
        <v>5700000</v>
      </c>
      <c r="V76" s="358">
        <v>5900000</v>
      </c>
      <c r="W76" s="358">
        <v>5900000</v>
      </c>
    </row>
    <row r="77" spans="1:23" ht="12.75">
      <c r="A77" s="336"/>
      <c r="B77" s="343"/>
      <c r="C77" s="338"/>
      <c r="D77" s="343"/>
      <c r="E77" s="354">
        <v>45</v>
      </c>
      <c r="F77" s="418">
        <v>414</v>
      </c>
      <c r="G77" s="1257" t="s">
        <v>30</v>
      </c>
      <c r="H77" s="1258"/>
      <c r="I77" s="1259"/>
      <c r="J77" s="358">
        <v>1000000</v>
      </c>
      <c r="K77" s="358">
        <v>500414.06</v>
      </c>
      <c r="L77" s="358">
        <v>1100000</v>
      </c>
      <c r="M77" s="358">
        <f>Rashodi!M78</f>
        <v>1000000</v>
      </c>
      <c r="N77" s="358">
        <f>Rashodi!N78</f>
        <v>0</v>
      </c>
      <c r="O77" s="358">
        <f>Rashodi!O78</f>
        <v>0</v>
      </c>
      <c r="P77" s="358">
        <f>Rashodi!P78</f>
        <v>0</v>
      </c>
      <c r="Q77" s="358">
        <f>Rashodi!Q78</f>
        <v>0</v>
      </c>
      <c r="R77" s="358">
        <f>Rashodi!R78</f>
        <v>0</v>
      </c>
      <c r="S77" s="358">
        <f>Rashodi!S78</f>
        <v>0</v>
      </c>
      <c r="T77" s="358">
        <f>Rashodi!T78</f>
        <v>0</v>
      </c>
      <c r="U77" s="358">
        <f>Rashodi!U78</f>
        <v>1000000</v>
      </c>
      <c r="V77" s="358">
        <v>1000000</v>
      </c>
      <c r="W77" s="358">
        <v>1000000</v>
      </c>
    </row>
    <row r="78" spans="1:23" ht="12.75">
      <c r="A78" s="336"/>
      <c r="B78" s="343"/>
      <c r="C78" s="338"/>
      <c r="D78" s="343"/>
      <c r="E78" s="354">
        <v>46</v>
      </c>
      <c r="F78" s="418">
        <v>415</v>
      </c>
      <c r="G78" s="1257" t="s">
        <v>31</v>
      </c>
      <c r="H78" s="1258"/>
      <c r="I78" s="1259"/>
      <c r="J78" s="358">
        <v>5000000</v>
      </c>
      <c r="K78" s="358">
        <v>2385622.32</v>
      </c>
      <c r="L78" s="358">
        <v>5000000</v>
      </c>
      <c r="M78" s="358">
        <f>Rashodi!M79</f>
        <v>2160000</v>
      </c>
      <c r="N78" s="358">
        <f>Rashodi!N79</f>
        <v>0</v>
      </c>
      <c r="O78" s="358">
        <f>Rashodi!O79</f>
        <v>0</v>
      </c>
      <c r="P78" s="358">
        <f>Rashodi!P79</f>
        <v>0</v>
      </c>
      <c r="Q78" s="358">
        <f>Rashodi!Q79</f>
        <v>0</v>
      </c>
      <c r="R78" s="358">
        <f>Rashodi!R79</f>
        <v>0</v>
      </c>
      <c r="S78" s="358">
        <f>Rashodi!S79</f>
        <v>0</v>
      </c>
      <c r="T78" s="358">
        <f>Rashodi!T79</f>
        <v>0</v>
      </c>
      <c r="U78" s="358">
        <f>Rashodi!U79</f>
        <v>2160000</v>
      </c>
      <c r="V78" s="358">
        <v>2160000</v>
      </c>
      <c r="W78" s="358">
        <v>2160000</v>
      </c>
    </row>
    <row r="79" spans="1:23" ht="12.75">
      <c r="A79" s="336"/>
      <c r="B79" s="343"/>
      <c r="C79" s="338"/>
      <c r="D79" s="343"/>
      <c r="E79" s="354">
        <v>47</v>
      </c>
      <c r="F79" s="418">
        <v>416</v>
      </c>
      <c r="G79" s="1269" t="s">
        <v>197</v>
      </c>
      <c r="H79" s="1270"/>
      <c r="I79" s="1271"/>
      <c r="J79" s="358">
        <v>400000</v>
      </c>
      <c r="K79" s="358">
        <v>393939.07</v>
      </c>
      <c r="L79" s="358">
        <v>590000</v>
      </c>
      <c r="M79" s="358">
        <f>Rashodi!M80</f>
        <v>550000</v>
      </c>
      <c r="N79" s="358">
        <f>Rashodi!N80</f>
        <v>0</v>
      </c>
      <c r="O79" s="358">
        <f>Rashodi!O80</f>
        <v>0</v>
      </c>
      <c r="P79" s="358">
        <f>Rashodi!P80</f>
        <v>0</v>
      </c>
      <c r="Q79" s="358">
        <f>Rashodi!Q80</f>
        <v>0</v>
      </c>
      <c r="R79" s="358">
        <f>Rashodi!R80</f>
        <v>0</v>
      </c>
      <c r="S79" s="358">
        <f>Rashodi!S80</f>
        <v>0</v>
      </c>
      <c r="T79" s="358">
        <f>Rashodi!T80</f>
        <v>0</v>
      </c>
      <c r="U79" s="358">
        <f>Rashodi!U80</f>
        <v>550000</v>
      </c>
      <c r="V79" s="358">
        <v>350000</v>
      </c>
      <c r="W79" s="358">
        <v>350000</v>
      </c>
    </row>
    <row r="80" spans="1:23" ht="12.75">
      <c r="A80" s="336"/>
      <c r="B80" s="343"/>
      <c r="C80" s="338"/>
      <c r="D80" s="343"/>
      <c r="E80" s="354">
        <v>48</v>
      </c>
      <c r="F80" s="428">
        <v>421</v>
      </c>
      <c r="G80" s="1257" t="s">
        <v>33</v>
      </c>
      <c r="H80" s="1258"/>
      <c r="I80" s="1259"/>
      <c r="J80" s="358">
        <v>6100000</v>
      </c>
      <c r="K80" s="358">
        <v>3149054.71</v>
      </c>
      <c r="L80" s="358">
        <v>6100000</v>
      </c>
      <c r="M80" s="358">
        <f>Rashodi!M81</f>
        <v>9000000</v>
      </c>
      <c r="N80" s="358">
        <f>Rashodi!N81</f>
        <v>0</v>
      </c>
      <c r="O80" s="358">
        <f>Rashodi!O81</f>
        <v>0</v>
      </c>
      <c r="P80" s="358">
        <f>Rashodi!P81</f>
        <v>53748</v>
      </c>
      <c r="Q80" s="358">
        <f>Rashodi!Q81</f>
        <v>0</v>
      </c>
      <c r="R80" s="358">
        <f>Rashodi!R81</f>
        <v>0</v>
      </c>
      <c r="S80" s="358">
        <f>Rashodi!S81</f>
        <v>0</v>
      </c>
      <c r="T80" s="358">
        <f>Rashodi!T81</f>
        <v>53748</v>
      </c>
      <c r="U80" s="358">
        <f>Rashodi!U81</f>
        <v>9053748</v>
      </c>
      <c r="V80" s="358">
        <v>6000000</v>
      </c>
      <c r="W80" s="358">
        <v>6000000</v>
      </c>
    </row>
    <row r="81" spans="1:23" ht="12.75">
      <c r="A81" s="336"/>
      <c r="B81" s="343"/>
      <c r="C81" s="338"/>
      <c r="D81" s="343"/>
      <c r="E81" s="354">
        <v>49</v>
      </c>
      <c r="F81" s="428">
        <v>422</v>
      </c>
      <c r="G81" s="1269" t="s">
        <v>34</v>
      </c>
      <c r="H81" s="1270"/>
      <c r="I81" s="1271"/>
      <c r="J81" s="358">
        <v>100000</v>
      </c>
      <c r="K81" s="358">
        <v>12367.5</v>
      </c>
      <c r="L81" s="358">
        <v>50000</v>
      </c>
      <c r="M81" s="358">
        <f>Rashodi!M82</f>
        <v>50000</v>
      </c>
      <c r="N81" s="358">
        <f>Rashodi!N82</f>
        <v>0</v>
      </c>
      <c r="O81" s="358">
        <f>Rashodi!O82</f>
        <v>0</v>
      </c>
      <c r="P81" s="358">
        <f>Rashodi!P82</f>
        <v>0</v>
      </c>
      <c r="Q81" s="358">
        <f>Rashodi!Q82</f>
        <v>0</v>
      </c>
      <c r="R81" s="358">
        <f>Rashodi!R82</f>
        <v>0</v>
      </c>
      <c r="S81" s="358">
        <f>Rashodi!S82</f>
        <v>0</v>
      </c>
      <c r="T81" s="358">
        <f>Rashodi!T82</f>
        <v>0</v>
      </c>
      <c r="U81" s="358">
        <f>Rashodi!U82</f>
        <v>50000</v>
      </c>
      <c r="V81" s="358">
        <v>50000</v>
      </c>
      <c r="W81" s="358">
        <v>50000</v>
      </c>
    </row>
    <row r="82" spans="1:23" ht="12.75">
      <c r="A82" s="336"/>
      <c r="B82" s="343"/>
      <c r="C82" s="338"/>
      <c r="D82" s="343"/>
      <c r="E82" s="354">
        <v>50</v>
      </c>
      <c r="F82" s="428">
        <v>423</v>
      </c>
      <c r="G82" s="1269" t="s">
        <v>35</v>
      </c>
      <c r="H82" s="1270"/>
      <c r="I82" s="1271"/>
      <c r="J82" s="358">
        <v>13000000</v>
      </c>
      <c r="K82" s="358">
        <v>11278441.44</v>
      </c>
      <c r="L82" s="358">
        <v>17000000</v>
      </c>
      <c r="M82" s="358">
        <f>Rashodi!M83</f>
        <v>21000000</v>
      </c>
      <c r="N82" s="358">
        <f>Rashodi!N83</f>
        <v>0</v>
      </c>
      <c r="O82" s="358">
        <f>Rashodi!O83</f>
        <v>0</v>
      </c>
      <c r="P82" s="358">
        <f>Rashodi!P83</f>
        <v>5181748.32</v>
      </c>
      <c r="Q82" s="358">
        <f>Rashodi!Q83</f>
        <v>3000000</v>
      </c>
      <c r="R82" s="358">
        <f>Rashodi!R83</f>
        <v>0</v>
      </c>
      <c r="S82" s="358">
        <f>Rashodi!S83</f>
        <v>0</v>
      </c>
      <c r="T82" s="358">
        <f>Rashodi!T83</f>
        <v>8181748.32</v>
      </c>
      <c r="U82" s="358">
        <f>Rashodi!U83</f>
        <v>29181748.32</v>
      </c>
      <c r="V82" s="358">
        <v>23000000</v>
      </c>
      <c r="W82" s="358">
        <v>23000000</v>
      </c>
    </row>
    <row r="83" spans="1:23" ht="12.75">
      <c r="A83" s="336"/>
      <c r="B83" s="343"/>
      <c r="C83" s="338"/>
      <c r="D83" s="343"/>
      <c r="E83" s="354">
        <v>51</v>
      </c>
      <c r="F83" s="428">
        <v>423</v>
      </c>
      <c r="G83" s="1269" t="s">
        <v>1444</v>
      </c>
      <c r="H83" s="1270"/>
      <c r="I83" s="1271"/>
      <c r="J83" s="358">
        <v>200000</v>
      </c>
      <c r="K83" s="358">
        <v>0</v>
      </c>
      <c r="L83" s="358">
        <v>200000</v>
      </c>
      <c r="M83" s="358">
        <f>Rashodi!M84</f>
        <v>200000</v>
      </c>
      <c r="N83" s="358">
        <f>Rashodi!N84</f>
        <v>0</v>
      </c>
      <c r="O83" s="358">
        <f>Rashodi!O84</f>
        <v>0</v>
      </c>
      <c r="P83" s="358">
        <f>Rashodi!P84</f>
        <v>0</v>
      </c>
      <c r="Q83" s="358">
        <f>Rashodi!Q84</f>
        <v>0</v>
      </c>
      <c r="R83" s="358">
        <f>Rashodi!R84</f>
        <v>0</v>
      </c>
      <c r="S83" s="358">
        <f>Rashodi!S84</f>
        <v>0</v>
      </c>
      <c r="T83" s="358">
        <f>Rashodi!T84</f>
        <v>0</v>
      </c>
      <c r="U83" s="358">
        <f>Rashodi!U84</f>
        <v>200000</v>
      </c>
      <c r="V83" s="358">
        <v>200000</v>
      </c>
      <c r="W83" s="358">
        <v>200000</v>
      </c>
    </row>
    <row r="84" spans="1:23" ht="12.75">
      <c r="A84" s="336"/>
      <c r="B84" s="343"/>
      <c r="C84" s="338"/>
      <c r="D84" s="343"/>
      <c r="E84" s="354">
        <v>52</v>
      </c>
      <c r="F84" s="418">
        <v>423</v>
      </c>
      <c r="G84" s="1257" t="s">
        <v>1332</v>
      </c>
      <c r="H84" s="1258"/>
      <c r="I84" s="1259"/>
      <c r="J84" s="358">
        <v>300000</v>
      </c>
      <c r="K84" s="358">
        <v>178396.14</v>
      </c>
      <c r="L84" s="358">
        <v>300000</v>
      </c>
      <c r="M84" s="358">
        <f>Rashodi!M85</f>
        <v>800000</v>
      </c>
      <c r="N84" s="358">
        <f>Rashodi!N85</f>
        <v>0</v>
      </c>
      <c r="O84" s="358">
        <f>Rashodi!O85</f>
        <v>0</v>
      </c>
      <c r="P84" s="358">
        <f>Rashodi!P85</f>
        <v>0</v>
      </c>
      <c r="Q84" s="358">
        <f>Rashodi!Q85</f>
        <v>0</v>
      </c>
      <c r="R84" s="358">
        <f>Rashodi!R85</f>
        <v>0</v>
      </c>
      <c r="S84" s="358">
        <f>Rashodi!S85</f>
        <v>0</v>
      </c>
      <c r="T84" s="358">
        <f>Rashodi!T85</f>
        <v>0</v>
      </c>
      <c r="U84" s="358">
        <f>Rashodi!U85</f>
        <v>800000</v>
      </c>
      <c r="V84" s="358">
        <v>200000</v>
      </c>
      <c r="W84" s="358">
        <v>200000</v>
      </c>
    </row>
    <row r="85" spans="1:23" ht="12.75">
      <c r="A85" s="336"/>
      <c r="B85" s="343"/>
      <c r="C85" s="430"/>
      <c r="D85" s="431"/>
      <c r="E85" s="354">
        <v>53</v>
      </c>
      <c r="F85" s="432">
        <v>423</v>
      </c>
      <c r="G85" s="1380" t="s">
        <v>1334</v>
      </c>
      <c r="H85" s="1381"/>
      <c r="I85" s="1382"/>
      <c r="J85" s="862">
        <v>150000</v>
      </c>
      <c r="K85" s="862">
        <v>0</v>
      </c>
      <c r="L85" s="862">
        <v>150000</v>
      </c>
      <c r="M85" s="358">
        <f>Rashodi!M86</f>
        <v>100000</v>
      </c>
      <c r="N85" s="358">
        <f>Rashodi!N86</f>
        <v>0</v>
      </c>
      <c r="O85" s="358">
        <f>Rashodi!O86</f>
        <v>0</v>
      </c>
      <c r="P85" s="358">
        <f>Rashodi!P86</f>
        <v>0</v>
      </c>
      <c r="Q85" s="358">
        <f>Rashodi!Q86</f>
        <v>0</v>
      </c>
      <c r="R85" s="358">
        <f>Rashodi!R86</f>
        <v>0</v>
      </c>
      <c r="S85" s="358">
        <f>Rashodi!S86</f>
        <v>0</v>
      </c>
      <c r="T85" s="358">
        <f>Rashodi!T86</f>
        <v>0</v>
      </c>
      <c r="U85" s="358">
        <f>Rashodi!U86</f>
        <v>100000</v>
      </c>
      <c r="V85" s="358">
        <v>100000</v>
      </c>
      <c r="W85" s="358">
        <v>100000</v>
      </c>
    </row>
    <row r="86" spans="1:23" ht="12.75">
      <c r="A86" s="495"/>
      <c r="B86" s="436"/>
      <c r="C86" s="496"/>
      <c r="D86" s="436"/>
      <c r="E86" s="354">
        <v>54</v>
      </c>
      <c r="F86" s="418">
        <v>423</v>
      </c>
      <c r="G86" s="1355" t="s">
        <v>1335</v>
      </c>
      <c r="H86" s="1356"/>
      <c r="I86" s="1357"/>
      <c r="J86" s="860">
        <v>180000</v>
      </c>
      <c r="K86" s="860">
        <v>0</v>
      </c>
      <c r="L86" s="860">
        <v>180000</v>
      </c>
      <c r="M86" s="358">
        <f>Rashodi!M87</f>
        <v>100000</v>
      </c>
      <c r="N86" s="358">
        <f>Rashodi!N87</f>
        <v>0</v>
      </c>
      <c r="O86" s="358">
        <f>Rashodi!O87</f>
        <v>0</v>
      </c>
      <c r="P86" s="358">
        <f>Rashodi!P87</f>
        <v>0</v>
      </c>
      <c r="Q86" s="358">
        <f>Rashodi!Q87</f>
        <v>0</v>
      </c>
      <c r="R86" s="358">
        <f>Rashodi!R87</f>
        <v>0</v>
      </c>
      <c r="S86" s="358">
        <f>Rashodi!S87</f>
        <v>0</v>
      </c>
      <c r="T86" s="358">
        <f>Rashodi!T87</f>
        <v>0</v>
      </c>
      <c r="U86" s="358">
        <f>Rashodi!U87</f>
        <v>100000</v>
      </c>
      <c r="V86" s="358">
        <v>100000</v>
      </c>
      <c r="W86" s="358">
        <v>100000</v>
      </c>
    </row>
    <row r="87" spans="1:23" ht="12.75">
      <c r="A87" s="495"/>
      <c r="B87" s="436"/>
      <c r="C87" s="496"/>
      <c r="D87" s="436"/>
      <c r="E87" s="354">
        <v>55</v>
      </c>
      <c r="F87" s="418">
        <v>423</v>
      </c>
      <c r="G87" s="1363" t="s">
        <v>1336</v>
      </c>
      <c r="H87" s="1364"/>
      <c r="I87" s="1365"/>
      <c r="J87" s="860">
        <v>400000</v>
      </c>
      <c r="K87" s="860">
        <v>110400</v>
      </c>
      <c r="L87" s="860">
        <v>120000</v>
      </c>
      <c r="M87" s="358">
        <f>Rashodi!M88</f>
        <v>100</v>
      </c>
      <c r="N87" s="358">
        <f>Rashodi!N88</f>
        <v>0</v>
      </c>
      <c r="O87" s="358">
        <f>Rashodi!O88</f>
        <v>0</v>
      </c>
      <c r="P87" s="358">
        <f>Rashodi!P88</f>
        <v>0</v>
      </c>
      <c r="Q87" s="358">
        <f>Rashodi!Q88</f>
        <v>0</v>
      </c>
      <c r="R87" s="358">
        <f>Rashodi!R88</f>
        <v>0</v>
      </c>
      <c r="S87" s="358">
        <f>Rashodi!S88</f>
        <v>0</v>
      </c>
      <c r="T87" s="358">
        <f>Rashodi!T88</f>
        <v>0</v>
      </c>
      <c r="U87" s="358">
        <f>Rashodi!U88</f>
        <v>100</v>
      </c>
      <c r="V87" s="358">
        <v>200000</v>
      </c>
      <c r="W87" s="358">
        <v>200000</v>
      </c>
    </row>
    <row r="88" spans="1:23" ht="12.75">
      <c r="A88" s="336"/>
      <c r="B88" s="343"/>
      <c r="C88" s="338"/>
      <c r="D88" s="343"/>
      <c r="E88" s="354">
        <v>56</v>
      </c>
      <c r="F88" s="418">
        <v>424</v>
      </c>
      <c r="G88" s="1257" t="s">
        <v>36</v>
      </c>
      <c r="H88" s="1258"/>
      <c r="I88" s="1259"/>
      <c r="J88" s="723">
        <v>600000</v>
      </c>
      <c r="K88" s="723">
        <v>308930.24</v>
      </c>
      <c r="L88" s="723">
        <v>600000</v>
      </c>
      <c r="M88" s="358">
        <f>Rashodi!M89</f>
        <v>1300000</v>
      </c>
      <c r="N88" s="358">
        <f>Rashodi!N89</f>
        <v>0</v>
      </c>
      <c r="O88" s="358">
        <f>Rashodi!O89</f>
        <v>0</v>
      </c>
      <c r="P88" s="358">
        <f>Rashodi!P89</f>
        <v>0</v>
      </c>
      <c r="Q88" s="358">
        <f>Rashodi!Q89</f>
        <v>0</v>
      </c>
      <c r="R88" s="358">
        <f>Rashodi!R89</f>
        <v>0</v>
      </c>
      <c r="S88" s="358">
        <f>Rashodi!S89</f>
        <v>0</v>
      </c>
      <c r="T88" s="358">
        <f>Rashodi!T89</f>
        <v>0</v>
      </c>
      <c r="U88" s="358">
        <f>Rashodi!U89</f>
        <v>1300000</v>
      </c>
      <c r="V88" s="358">
        <v>1000000</v>
      </c>
      <c r="W88" s="358">
        <v>1000000</v>
      </c>
    </row>
    <row r="89" spans="1:23" ht="12.75">
      <c r="A89" s="336"/>
      <c r="B89" s="343"/>
      <c r="C89" s="338"/>
      <c r="D89" s="343"/>
      <c r="E89" s="354">
        <v>57</v>
      </c>
      <c r="F89" s="418">
        <v>425</v>
      </c>
      <c r="G89" s="1257" t="s">
        <v>90</v>
      </c>
      <c r="H89" s="1258"/>
      <c r="I89" s="1259"/>
      <c r="J89" s="723">
        <v>2200000</v>
      </c>
      <c r="K89" s="723">
        <v>585606.06</v>
      </c>
      <c r="L89" s="723">
        <v>2200000</v>
      </c>
      <c r="M89" s="358">
        <f>Rashodi!M90</f>
        <v>3500000</v>
      </c>
      <c r="N89" s="358">
        <f>Rashodi!N90</f>
        <v>0</v>
      </c>
      <c r="O89" s="358">
        <f>Rashodi!O90</f>
        <v>0</v>
      </c>
      <c r="P89" s="358">
        <f>Rashodi!P90</f>
        <v>0</v>
      </c>
      <c r="Q89" s="358">
        <f>Rashodi!Q90</f>
        <v>0</v>
      </c>
      <c r="R89" s="358">
        <f>Rashodi!R90</f>
        <v>0</v>
      </c>
      <c r="S89" s="358">
        <f>Rashodi!S90</f>
        <v>0</v>
      </c>
      <c r="T89" s="358">
        <f>Rashodi!T90</f>
        <v>0</v>
      </c>
      <c r="U89" s="358">
        <f>Rashodi!U90</f>
        <v>3500000</v>
      </c>
      <c r="V89" s="358">
        <v>3000000</v>
      </c>
      <c r="W89" s="358">
        <v>3000000</v>
      </c>
    </row>
    <row r="90" spans="1:23" ht="12.75">
      <c r="A90" s="336"/>
      <c r="B90" s="343"/>
      <c r="C90" s="430"/>
      <c r="D90" s="431"/>
      <c r="E90" s="354">
        <v>58</v>
      </c>
      <c r="F90" s="432">
        <v>425</v>
      </c>
      <c r="G90" s="1380" t="s">
        <v>1164</v>
      </c>
      <c r="H90" s="1381"/>
      <c r="I90" s="1382"/>
      <c r="J90" s="862">
        <v>300000</v>
      </c>
      <c r="K90" s="862">
        <v>0</v>
      </c>
      <c r="L90" s="862">
        <v>300000</v>
      </c>
      <c r="M90" s="358">
        <f>Rashodi!M91</f>
        <v>300000</v>
      </c>
      <c r="N90" s="358">
        <f>Rashodi!N91</f>
        <v>0</v>
      </c>
      <c r="O90" s="358">
        <f>Rashodi!O91</f>
        <v>0</v>
      </c>
      <c r="P90" s="358">
        <f>Rashodi!P91</f>
        <v>0</v>
      </c>
      <c r="Q90" s="358">
        <f>Rashodi!Q91</f>
        <v>0</v>
      </c>
      <c r="R90" s="358">
        <f>Rashodi!R91</f>
        <v>0</v>
      </c>
      <c r="S90" s="358">
        <f>Rashodi!S91</f>
        <v>0</v>
      </c>
      <c r="T90" s="358">
        <f>Rashodi!T91</f>
        <v>0</v>
      </c>
      <c r="U90" s="358">
        <f>Rashodi!U91</f>
        <v>300000</v>
      </c>
      <c r="V90" s="358">
        <v>300000</v>
      </c>
      <c r="W90" s="358">
        <v>300000</v>
      </c>
    </row>
    <row r="91" spans="1:23" ht="12.75">
      <c r="A91" s="336"/>
      <c r="B91" s="343"/>
      <c r="C91" s="338"/>
      <c r="D91" s="343"/>
      <c r="E91" s="354">
        <v>59</v>
      </c>
      <c r="F91" s="418">
        <v>426</v>
      </c>
      <c r="G91" s="1257" t="s">
        <v>38</v>
      </c>
      <c r="H91" s="1258"/>
      <c r="I91" s="1259"/>
      <c r="J91" s="723">
        <v>3000000</v>
      </c>
      <c r="K91" s="723">
        <v>1351824.19</v>
      </c>
      <c r="L91" s="723">
        <v>3000000</v>
      </c>
      <c r="M91" s="358">
        <f>Rashodi!M92</f>
        <v>2763641</v>
      </c>
      <c r="N91" s="358">
        <f>Rashodi!N92</f>
        <v>0</v>
      </c>
      <c r="O91" s="358">
        <f>Rashodi!O92</f>
        <v>0</v>
      </c>
      <c r="P91" s="358">
        <f>Rashodi!P92</f>
        <v>405669.15</v>
      </c>
      <c r="Q91" s="358">
        <f>Rashodi!Q92</f>
        <v>30000</v>
      </c>
      <c r="R91" s="358">
        <f>Rashodi!R92</f>
        <v>0</v>
      </c>
      <c r="S91" s="358">
        <f>Rashodi!S92</f>
        <v>0</v>
      </c>
      <c r="T91" s="358">
        <f>Rashodi!T92</f>
        <v>435669.15</v>
      </c>
      <c r="U91" s="358">
        <f>Rashodi!U92</f>
        <v>3199310.15</v>
      </c>
      <c r="V91" s="358">
        <v>3000000</v>
      </c>
      <c r="W91" s="358">
        <v>3000000</v>
      </c>
    </row>
    <row r="92" spans="1:23" ht="12.75">
      <c r="A92" s="336"/>
      <c r="B92" s="343"/>
      <c r="C92" s="430"/>
      <c r="D92" s="431"/>
      <c r="E92" s="354">
        <v>60</v>
      </c>
      <c r="F92" s="432">
        <v>426</v>
      </c>
      <c r="G92" s="1380" t="s">
        <v>17</v>
      </c>
      <c r="H92" s="1381"/>
      <c r="I92" s="1382"/>
      <c r="J92" s="862">
        <v>50000</v>
      </c>
      <c r="K92" s="862">
        <v>0</v>
      </c>
      <c r="L92" s="862">
        <v>50000</v>
      </c>
      <c r="M92" s="358">
        <f>Rashodi!M93</f>
        <v>50000</v>
      </c>
      <c r="N92" s="358">
        <f>Rashodi!N93</f>
        <v>0</v>
      </c>
      <c r="O92" s="358">
        <f>Rashodi!O93</f>
        <v>0</v>
      </c>
      <c r="P92" s="358">
        <f>Rashodi!P93</f>
        <v>0</v>
      </c>
      <c r="Q92" s="358">
        <f>Rashodi!Q93</f>
        <v>0</v>
      </c>
      <c r="R92" s="358">
        <f>Rashodi!R93</f>
        <v>0</v>
      </c>
      <c r="S92" s="358">
        <f>Rashodi!S93</f>
        <v>0</v>
      </c>
      <c r="T92" s="358">
        <f>Rashodi!T93</f>
        <v>0</v>
      </c>
      <c r="U92" s="358">
        <f>Rashodi!U93</f>
        <v>50000</v>
      </c>
      <c r="V92" s="358">
        <v>50000</v>
      </c>
      <c r="W92" s="358">
        <v>50000</v>
      </c>
    </row>
    <row r="93" spans="1:23" ht="12.75">
      <c r="A93" s="336"/>
      <c r="B93" s="343"/>
      <c r="C93" s="338"/>
      <c r="D93" s="343"/>
      <c r="E93" s="354">
        <v>61</v>
      </c>
      <c r="F93" s="428">
        <v>465</v>
      </c>
      <c r="G93" s="1269" t="s">
        <v>1388</v>
      </c>
      <c r="H93" s="1270"/>
      <c r="I93" s="1271"/>
      <c r="J93" s="723">
        <v>500000</v>
      </c>
      <c r="K93" s="723">
        <v>0</v>
      </c>
      <c r="L93" s="723">
        <v>500000</v>
      </c>
      <c r="M93" s="358">
        <f>Rashodi!M94</f>
        <v>500000</v>
      </c>
      <c r="N93" s="358">
        <f>Rashodi!N94</f>
        <v>0</v>
      </c>
      <c r="O93" s="358">
        <f>Rashodi!O94</f>
        <v>0</v>
      </c>
      <c r="P93" s="358">
        <f>Rashodi!P94</f>
        <v>0</v>
      </c>
      <c r="Q93" s="358">
        <f>Rashodi!Q94</f>
        <v>0</v>
      </c>
      <c r="R93" s="358">
        <f>Rashodi!R94</f>
        <v>0</v>
      </c>
      <c r="S93" s="358">
        <f>Rashodi!S94</f>
        <v>0</v>
      </c>
      <c r="T93" s="358">
        <f>Rashodi!T94</f>
        <v>0</v>
      </c>
      <c r="U93" s="358">
        <f>Rashodi!U94</f>
        <v>500000</v>
      </c>
      <c r="V93" s="358">
        <v>500000</v>
      </c>
      <c r="W93" s="358">
        <v>500000</v>
      </c>
    </row>
    <row r="94" spans="1:23" ht="12.75">
      <c r="A94" s="336"/>
      <c r="B94" s="343"/>
      <c r="C94" s="338"/>
      <c r="D94" s="343"/>
      <c r="E94" s="354">
        <v>62</v>
      </c>
      <c r="F94" s="418">
        <v>465</v>
      </c>
      <c r="G94" s="1257" t="s">
        <v>275</v>
      </c>
      <c r="H94" s="1258"/>
      <c r="I94" s="1259"/>
      <c r="J94" s="723">
        <v>600000</v>
      </c>
      <c r="K94" s="723">
        <v>260486.5</v>
      </c>
      <c r="L94" s="723">
        <v>600000</v>
      </c>
      <c r="M94" s="358">
        <f>Rashodi!M95</f>
        <v>650000</v>
      </c>
      <c r="N94" s="358">
        <f>Rashodi!N95</f>
        <v>0</v>
      </c>
      <c r="O94" s="358">
        <f>Rashodi!O95</f>
        <v>0</v>
      </c>
      <c r="P94" s="358">
        <f>Rashodi!P95</f>
        <v>0</v>
      </c>
      <c r="Q94" s="358">
        <f>Rashodi!Q95</f>
        <v>0</v>
      </c>
      <c r="R94" s="358">
        <f>Rashodi!R95</f>
        <v>0</v>
      </c>
      <c r="S94" s="358">
        <f>Rashodi!S95</f>
        <v>0</v>
      </c>
      <c r="T94" s="358">
        <f>Rashodi!T95</f>
        <v>0</v>
      </c>
      <c r="U94" s="358">
        <f>Rashodi!U95</f>
        <v>650000</v>
      </c>
      <c r="V94" s="358">
        <v>600000</v>
      </c>
      <c r="W94" s="358">
        <v>600000</v>
      </c>
    </row>
    <row r="95" spans="1:23" ht="12.75">
      <c r="A95" s="336"/>
      <c r="B95" s="343"/>
      <c r="C95" s="167"/>
      <c r="D95" s="167"/>
      <c r="E95" s="354">
        <v>63</v>
      </c>
      <c r="F95" s="432">
        <v>472</v>
      </c>
      <c r="G95" s="1257" t="s">
        <v>1337</v>
      </c>
      <c r="H95" s="1258"/>
      <c r="I95" s="1259"/>
      <c r="J95" s="723">
        <v>50000</v>
      </c>
      <c r="K95" s="723">
        <v>0</v>
      </c>
      <c r="L95" s="723">
        <v>50000</v>
      </c>
      <c r="M95" s="358">
        <f>Rashodi!M96</f>
        <v>50000</v>
      </c>
      <c r="N95" s="358">
        <f>Rashodi!N96</f>
        <v>0</v>
      </c>
      <c r="O95" s="358">
        <f>Rashodi!O96</f>
        <v>0</v>
      </c>
      <c r="P95" s="358">
        <f>Rashodi!P96</f>
        <v>0</v>
      </c>
      <c r="Q95" s="358">
        <f>Rashodi!Q96</f>
        <v>0</v>
      </c>
      <c r="R95" s="358">
        <f>Rashodi!R96</f>
        <v>0</v>
      </c>
      <c r="S95" s="358">
        <f>Rashodi!S96</f>
        <v>0</v>
      </c>
      <c r="T95" s="358">
        <f>Rashodi!T96</f>
        <v>0</v>
      </c>
      <c r="U95" s="358">
        <f>Rashodi!U96</f>
        <v>50000</v>
      </c>
      <c r="V95" s="358">
        <v>50000</v>
      </c>
      <c r="W95" s="358">
        <v>50000</v>
      </c>
    </row>
    <row r="96" spans="1:23" ht="12.75">
      <c r="A96" s="336"/>
      <c r="B96" s="343"/>
      <c r="C96" s="167"/>
      <c r="D96" s="167"/>
      <c r="E96" s="354">
        <v>64</v>
      </c>
      <c r="F96" s="339">
        <v>481</v>
      </c>
      <c r="G96" s="1257" t="s">
        <v>1397</v>
      </c>
      <c r="H96" s="1258"/>
      <c r="I96" s="1259"/>
      <c r="J96" s="723">
        <v>700000</v>
      </c>
      <c r="K96" s="723">
        <v>700000</v>
      </c>
      <c r="L96" s="723">
        <v>970000</v>
      </c>
      <c r="M96" s="358">
        <f>Rashodi!M97</f>
        <v>500000</v>
      </c>
      <c r="N96" s="358">
        <f>Rashodi!N97</f>
        <v>0</v>
      </c>
      <c r="O96" s="358">
        <f>Rashodi!O97</f>
        <v>0</v>
      </c>
      <c r="P96" s="358">
        <f>Rashodi!P97</f>
        <v>0</v>
      </c>
      <c r="Q96" s="358">
        <f>Rashodi!Q97</f>
        <v>0</v>
      </c>
      <c r="R96" s="358">
        <f>Rashodi!R97</f>
        <v>0</v>
      </c>
      <c r="S96" s="358">
        <f>Rashodi!S97</f>
        <v>0</v>
      </c>
      <c r="T96" s="358">
        <f>Rashodi!T97</f>
        <v>0</v>
      </c>
      <c r="U96" s="358">
        <f>Rashodi!U97</f>
        <v>500000</v>
      </c>
      <c r="V96" s="358">
        <v>500000</v>
      </c>
      <c r="W96" s="358">
        <v>500000</v>
      </c>
    </row>
    <row r="97" spans="1:23" ht="12.75">
      <c r="A97" s="336"/>
      <c r="B97" s="343"/>
      <c r="C97" s="167"/>
      <c r="D97" s="167"/>
      <c r="E97" s="354">
        <v>65</v>
      </c>
      <c r="F97" s="432">
        <v>481</v>
      </c>
      <c r="G97" s="1269" t="s">
        <v>1338</v>
      </c>
      <c r="H97" s="1270"/>
      <c r="I97" s="1271"/>
      <c r="J97" s="723">
        <v>4300000</v>
      </c>
      <c r="K97" s="723">
        <v>1546337.3</v>
      </c>
      <c r="L97" s="723">
        <v>4300000</v>
      </c>
      <c r="M97" s="358">
        <f>Rashodi!M98</f>
        <v>4000000</v>
      </c>
      <c r="N97" s="358">
        <f>Rashodi!N98</f>
        <v>0</v>
      </c>
      <c r="O97" s="358">
        <f>Rashodi!O98</f>
        <v>0</v>
      </c>
      <c r="P97" s="358">
        <f>Rashodi!P98</f>
        <v>0</v>
      </c>
      <c r="Q97" s="358">
        <f>Rashodi!Q98</f>
        <v>0</v>
      </c>
      <c r="R97" s="358">
        <f>Rashodi!R98</f>
        <v>0</v>
      </c>
      <c r="S97" s="358">
        <f>Rashodi!S98</f>
        <v>0</v>
      </c>
      <c r="T97" s="358">
        <f>Rashodi!T98</f>
        <v>0</v>
      </c>
      <c r="U97" s="358">
        <f>Rashodi!U98</f>
        <v>4000000</v>
      </c>
      <c r="V97" s="358">
        <v>4000000</v>
      </c>
      <c r="W97" s="358">
        <v>4000000</v>
      </c>
    </row>
    <row r="98" spans="1:23" ht="12.75">
      <c r="A98" s="336"/>
      <c r="B98" s="343"/>
      <c r="C98" s="338"/>
      <c r="D98" s="343"/>
      <c r="E98" s="354">
        <v>66</v>
      </c>
      <c r="F98" s="418">
        <v>482</v>
      </c>
      <c r="G98" s="1257" t="s">
        <v>81</v>
      </c>
      <c r="H98" s="1258"/>
      <c r="I98" s="1259"/>
      <c r="J98" s="723">
        <v>3000000</v>
      </c>
      <c r="K98" s="723">
        <v>29124.329999999998</v>
      </c>
      <c r="L98" s="723">
        <v>1200000</v>
      </c>
      <c r="M98" s="358">
        <f>Rashodi!M99</f>
        <v>3000000</v>
      </c>
      <c r="N98" s="358">
        <f>Rashodi!N99</f>
        <v>0</v>
      </c>
      <c r="O98" s="358">
        <f>Rashodi!O99</f>
        <v>0</v>
      </c>
      <c r="P98" s="358">
        <f>Rashodi!P99</f>
        <v>0</v>
      </c>
      <c r="Q98" s="358">
        <f>Rashodi!Q99</f>
        <v>800000</v>
      </c>
      <c r="R98" s="358">
        <f>Rashodi!R99</f>
        <v>0</v>
      </c>
      <c r="S98" s="358">
        <f>Rashodi!S99</f>
        <v>0</v>
      </c>
      <c r="T98" s="358">
        <f>Rashodi!T99</f>
        <v>800000</v>
      </c>
      <c r="U98" s="358">
        <f>Rashodi!U99</f>
        <v>3800000</v>
      </c>
      <c r="V98" s="358">
        <v>3800000</v>
      </c>
      <c r="W98" s="358">
        <v>3800000</v>
      </c>
    </row>
    <row r="99" spans="1:23" ht="12.75">
      <c r="A99" s="336"/>
      <c r="B99" s="343"/>
      <c r="C99" s="338"/>
      <c r="D99" s="343"/>
      <c r="E99" s="354">
        <v>67</v>
      </c>
      <c r="F99" s="418">
        <v>483</v>
      </c>
      <c r="G99" s="1257" t="s">
        <v>91</v>
      </c>
      <c r="H99" s="1258"/>
      <c r="I99" s="1259"/>
      <c r="J99" s="723">
        <v>400000</v>
      </c>
      <c r="K99" s="723">
        <v>0</v>
      </c>
      <c r="L99" s="723">
        <v>400000</v>
      </c>
      <c r="M99" s="358">
        <f>Rashodi!M100</f>
        <v>400000</v>
      </c>
      <c r="N99" s="358">
        <f>Rashodi!N100</f>
        <v>0</v>
      </c>
      <c r="O99" s="358">
        <f>Rashodi!O100</f>
        <v>0</v>
      </c>
      <c r="P99" s="358">
        <f>Rashodi!P100</f>
        <v>0</v>
      </c>
      <c r="Q99" s="358">
        <f>Rashodi!Q100</f>
        <v>0</v>
      </c>
      <c r="R99" s="358">
        <f>Rashodi!R100</f>
        <v>0</v>
      </c>
      <c r="S99" s="358">
        <f>Rashodi!S100</f>
        <v>0</v>
      </c>
      <c r="T99" s="358">
        <f>Rashodi!T100</f>
        <v>0</v>
      </c>
      <c r="U99" s="358">
        <f>Rashodi!U100</f>
        <v>400000</v>
      </c>
      <c r="V99" s="358">
        <v>400000</v>
      </c>
      <c r="W99" s="358">
        <v>400000</v>
      </c>
    </row>
    <row r="100" spans="1:23" ht="12.75">
      <c r="A100" s="336"/>
      <c r="B100" s="343"/>
      <c r="C100" s="338"/>
      <c r="D100" s="343"/>
      <c r="E100" s="354">
        <v>68</v>
      </c>
      <c r="F100" s="418">
        <v>485</v>
      </c>
      <c r="G100" s="1257" t="s">
        <v>92</v>
      </c>
      <c r="H100" s="1258"/>
      <c r="I100" s="1259"/>
      <c r="J100" s="723">
        <v>1400000</v>
      </c>
      <c r="K100" s="723">
        <v>0</v>
      </c>
      <c r="L100" s="723">
        <v>400000</v>
      </c>
      <c r="M100" s="358">
        <f>Rashodi!M101</f>
        <v>400000</v>
      </c>
      <c r="N100" s="358">
        <f>Rashodi!N101</f>
        <v>0</v>
      </c>
      <c r="O100" s="358">
        <f>Rashodi!O101</f>
        <v>0</v>
      </c>
      <c r="P100" s="358">
        <f>Rashodi!P101</f>
        <v>0</v>
      </c>
      <c r="Q100" s="358">
        <f>Rashodi!Q101</f>
        <v>0</v>
      </c>
      <c r="R100" s="358">
        <f>Rashodi!R101</f>
        <v>0</v>
      </c>
      <c r="S100" s="358">
        <f>Rashodi!S101</f>
        <v>0</v>
      </c>
      <c r="T100" s="358">
        <f>Rashodi!T101</f>
        <v>0</v>
      </c>
      <c r="U100" s="358">
        <f>Rashodi!U101</f>
        <v>400000</v>
      </c>
      <c r="V100" s="358">
        <v>400000</v>
      </c>
      <c r="W100" s="358">
        <v>400000</v>
      </c>
    </row>
    <row r="101" spans="1:23" ht="12.75">
      <c r="A101" s="336"/>
      <c r="B101" s="343"/>
      <c r="C101" s="338"/>
      <c r="D101" s="343"/>
      <c r="E101" s="354">
        <v>69</v>
      </c>
      <c r="F101" s="418">
        <v>512</v>
      </c>
      <c r="G101" s="1257" t="s">
        <v>82</v>
      </c>
      <c r="H101" s="1258"/>
      <c r="I101" s="1259"/>
      <c r="J101" s="723">
        <v>700000</v>
      </c>
      <c r="K101" s="723">
        <v>224580.79999999996</v>
      </c>
      <c r="L101" s="723">
        <v>700000</v>
      </c>
      <c r="M101" s="358">
        <f>Rashodi!M102</f>
        <v>5200000</v>
      </c>
      <c r="N101" s="358">
        <f>Rashodi!N102</f>
        <v>0</v>
      </c>
      <c r="O101" s="358">
        <f>Rashodi!O102</f>
        <v>0</v>
      </c>
      <c r="P101" s="358">
        <f>Rashodi!P102</f>
        <v>281600</v>
      </c>
      <c r="Q101" s="358">
        <f>Rashodi!Q102</f>
        <v>0</v>
      </c>
      <c r="R101" s="358">
        <f>Rashodi!R102</f>
        <v>0</v>
      </c>
      <c r="S101" s="358">
        <f>Rashodi!S102</f>
        <v>0</v>
      </c>
      <c r="T101" s="358">
        <f>Rashodi!T102</f>
        <v>281600</v>
      </c>
      <c r="U101" s="358">
        <f>Rashodi!U102</f>
        <v>5481600</v>
      </c>
      <c r="V101" s="358">
        <v>6400000</v>
      </c>
      <c r="W101" s="358">
        <v>6400000</v>
      </c>
    </row>
    <row r="102" spans="1:23" ht="12.75">
      <c r="A102" s="336"/>
      <c r="B102" s="343"/>
      <c r="C102" s="430"/>
      <c r="D102" s="431"/>
      <c r="E102" s="354">
        <v>70</v>
      </c>
      <c r="F102" s="432">
        <v>512</v>
      </c>
      <c r="G102" s="1380" t="s">
        <v>272</v>
      </c>
      <c r="H102" s="1381"/>
      <c r="I102" s="1382"/>
      <c r="J102" s="863">
        <v>110000</v>
      </c>
      <c r="K102" s="863">
        <v>0</v>
      </c>
      <c r="L102" s="863">
        <v>110000</v>
      </c>
      <c r="M102" s="358">
        <f>Rashodi!M103</f>
        <v>110000</v>
      </c>
      <c r="N102" s="358">
        <f>Rashodi!N103</f>
        <v>0</v>
      </c>
      <c r="O102" s="358">
        <f>Rashodi!O103</f>
        <v>0</v>
      </c>
      <c r="P102" s="358">
        <f>Rashodi!P103</f>
        <v>0</v>
      </c>
      <c r="Q102" s="358">
        <f>Rashodi!Q103</f>
        <v>0</v>
      </c>
      <c r="R102" s="358">
        <f>Rashodi!R103</f>
        <v>0</v>
      </c>
      <c r="S102" s="358">
        <f>Rashodi!S103</f>
        <v>0</v>
      </c>
      <c r="T102" s="358">
        <f>Rashodi!T103</f>
        <v>0</v>
      </c>
      <c r="U102" s="358">
        <f>Rashodi!U103</f>
        <v>110000</v>
      </c>
      <c r="V102" s="358">
        <v>110000</v>
      </c>
      <c r="W102" s="358">
        <v>110000</v>
      </c>
    </row>
    <row r="103" spans="1:23" ht="12.75">
      <c r="A103" s="336"/>
      <c r="B103" s="343"/>
      <c r="C103" s="430"/>
      <c r="D103" s="431"/>
      <c r="E103" s="354">
        <v>71</v>
      </c>
      <c r="F103" s="432">
        <v>515</v>
      </c>
      <c r="G103" s="1428" t="s">
        <v>211</v>
      </c>
      <c r="H103" s="1429"/>
      <c r="I103" s="1429"/>
      <c r="J103" s="706">
        <v>660000</v>
      </c>
      <c r="K103" s="706">
        <v>182880</v>
      </c>
      <c r="L103" s="706">
        <v>660000</v>
      </c>
      <c r="M103" s="358">
        <f>Rashodi!M104</f>
        <v>660000</v>
      </c>
      <c r="N103" s="358">
        <f>Rashodi!N104</f>
        <v>0</v>
      </c>
      <c r="O103" s="358">
        <f>Rashodi!O104</f>
        <v>0</v>
      </c>
      <c r="P103" s="358">
        <f>Rashodi!P104</f>
        <v>0</v>
      </c>
      <c r="Q103" s="358">
        <f>Rashodi!Q104</f>
        <v>0</v>
      </c>
      <c r="R103" s="358">
        <f>Rashodi!R104</f>
        <v>0</v>
      </c>
      <c r="S103" s="358">
        <f>Rashodi!S104</f>
        <v>0</v>
      </c>
      <c r="T103" s="358">
        <f>Rashodi!T104</f>
        <v>0</v>
      </c>
      <c r="U103" s="358">
        <f>Rashodi!U104</f>
        <v>660000</v>
      </c>
      <c r="V103" s="358">
        <v>660000</v>
      </c>
      <c r="W103" s="358">
        <v>660000</v>
      </c>
    </row>
    <row r="104" spans="1:23" ht="12.75">
      <c r="A104" s="336"/>
      <c r="B104" s="343"/>
      <c r="C104" s="338"/>
      <c r="D104" s="343"/>
      <c r="E104" s="354">
        <v>72</v>
      </c>
      <c r="F104" s="428">
        <v>541</v>
      </c>
      <c r="G104" s="1252" t="s">
        <v>201</v>
      </c>
      <c r="H104" s="1252"/>
      <c r="I104" s="1276"/>
      <c r="J104" s="523">
        <v>500000</v>
      </c>
      <c r="K104" s="523">
        <v>0</v>
      </c>
      <c r="L104" s="523">
        <v>500000</v>
      </c>
      <c r="M104" s="358">
        <f>Rashodi!M105</f>
        <v>500000</v>
      </c>
      <c r="N104" s="358">
        <f>Rashodi!N105</f>
        <v>0</v>
      </c>
      <c r="O104" s="358">
        <f>Rashodi!O105</f>
        <v>0</v>
      </c>
      <c r="P104" s="358">
        <f>Rashodi!P105</f>
        <v>0</v>
      </c>
      <c r="Q104" s="358">
        <f>Rashodi!Q105</f>
        <v>0</v>
      </c>
      <c r="R104" s="358">
        <f>Rashodi!R105</f>
        <v>0</v>
      </c>
      <c r="S104" s="358">
        <f>Rashodi!S105</f>
        <v>0</v>
      </c>
      <c r="T104" s="358">
        <f>Rashodi!T105</f>
        <v>0</v>
      </c>
      <c r="U104" s="358">
        <f>Rashodi!U105</f>
        <v>500000</v>
      </c>
      <c r="V104" s="358">
        <v>500000</v>
      </c>
      <c r="W104" s="358">
        <v>500000</v>
      </c>
    </row>
    <row r="105" spans="1:23" ht="12.75">
      <c r="A105" s="270"/>
      <c r="B105" s="271"/>
      <c r="C105" s="412"/>
      <c r="D105" s="332" t="s">
        <v>1231</v>
      </c>
      <c r="E105" s="412"/>
      <c r="F105" s="413"/>
      <c r="G105" s="1411" t="s">
        <v>314</v>
      </c>
      <c r="H105" s="1412"/>
      <c r="I105" s="1412"/>
      <c r="J105" s="984">
        <f aca="true" t="shared" si="20" ref="J105:S105">SUM(J107:J110)</f>
        <v>2000000</v>
      </c>
      <c r="K105" s="984">
        <f t="shared" si="20"/>
        <v>1541600</v>
      </c>
      <c r="L105" s="984">
        <f>SUM(L107:L110)</f>
        <v>2550000</v>
      </c>
      <c r="M105" s="984">
        <f t="shared" si="20"/>
        <v>2550000</v>
      </c>
      <c r="N105" s="635">
        <f t="shared" si="20"/>
        <v>0</v>
      </c>
      <c r="O105" s="276">
        <f t="shared" si="20"/>
        <v>0</v>
      </c>
      <c r="P105" s="276">
        <f t="shared" si="20"/>
        <v>0</v>
      </c>
      <c r="Q105" s="276">
        <f t="shared" si="20"/>
        <v>0</v>
      </c>
      <c r="R105" s="276">
        <f t="shared" si="20"/>
        <v>0</v>
      </c>
      <c r="S105" s="276">
        <f t="shared" si="20"/>
        <v>0</v>
      </c>
      <c r="T105" s="321">
        <f>SUM(N105:S105)</f>
        <v>0</v>
      </c>
      <c r="U105" s="819">
        <f>M105+N105+O105+P105+Q105+R105+S105</f>
        <v>2550000</v>
      </c>
      <c r="V105" s="819">
        <v>2550000</v>
      </c>
      <c r="W105" s="819">
        <v>2550000</v>
      </c>
    </row>
    <row r="106" spans="1:23" ht="12.75">
      <c r="A106" s="414"/>
      <c r="B106" s="415"/>
      <c r="C106" s="56">
        <v>130</v>
      </c>
      <c r="D106" s="58"/>
      <c r="E106" s="416"/>
      <c r="F106" s="417"/>
      <c r="G106" s="1296" t="s">
        <v>89</v>
      </c>
      <c r="H106" s="1297"/>
      <c r="I106" s="1298"/>
      <c r="J106" s="727">
        <f aca="true" t="shared" si="21" ref="J106:S106">SUM(J107:J110)</f>
        <v>2000000</v>
      </c>
      <c r="K106" s="727">
        <f t="shared" si="21"/>
        <v>1541600</v>
      </c>
      <c r="L106" s="727">
        <f>SUM(L107:L110)</f>
        <v>2550000</v>
      </c>
      <c r="M106" s="727">
        <f t="shared" si="21"/>
        <v>2550000</v>
      </c>
      <c r="N106" s="727">
        <f t="shared" si="21"/>
        <v>0</v>
      </c>
      <c r="O106" s="727">
        <f t="shared" si="21"/>
        <v>0</v>
      </c>
      <c r="P106" s="168">
        <f t="shared" si="21"/>
        <v>0</v>
      </c>
      <c r="Q106" s="168">
        <f t="shared" si="21"/>
        <v>0</v>
      </c>
      <c r="R106" s="168">
        <f t="shared" si="21"/>
        <v>0</v>
      </c>
      <c r="S106" s="168">
        <f t="shared" si="21"/>
        <v>0</v>
      </c>
      <c r="T106" s="322">
        <f>SUM(N106:S106)</f>
        <v>0</v>
      </c>
      <c r="U106" s="1048">
        <f>M106+N106+O106+P106+Q106+R106+S106</f>
        <v>2550000</v>
      </c>
      <c r="V106" s="1048">
        <v>2550000</v>
      </c>
      <c r="W106" s="1048">
        <v>2550000</v>
      </c>
    </row>
    <row r="107" spans="1:23" ht="12.75">
      <c r="A107" s="414"/>
      <c r="B107" s="415"/>
      <c r="C107" s="344"/>
      <c r="D107" s="443"/>
      <c r="E107" s="354">
        <v>73</v>
      </c>
      <c r="F107" s="417">
        <v>421</v>
      </c>
      <c r="G107" s="1257" t="s">
        <v>1341</v>
      </c>
      <c r="H107" s="1258"/>
      <c r="I107" s="1259"/>
      <c r="J107" s="358">
        <v>10000</v>
      </c>
      <c r="K107" s="358">
        <v>0</v>
      </c>
      <c r="L107" s="358">
        <v>10000</v>
      </c>
      <c r="M107" s="358">
        <f>Rashodi!M108</f>
        <v>10000</v>
      </c>
      <c r="N107" s="358">
        <f>Rashodi!N108</f>
        <v>0</v>
      </c>
      <c r="O107" s="358">
        <f>Rashodi!O108</f>
        <v>0</v>
      </c>
      <c r="P107" s="358">
        <f>Rashodi!P108</f>
        <v>0</v>
      </c>
      <c r="Q107" s="358">
        <f>Rashodi!Q108</f>
        <v>0</v>
      </c>
      <c r="R107" s="358">
        <f>Rashodi!R108</f>
        <v>0</v>
      </c>
      <c r="S107" s="358">
        <f>Rashodi!S108</f>
        <v>0</v>
      </c>
      <c r="T107" s="358">
        <f>Rashodi!T108</f>
        <v>0</v>
      </c>
      <c r="U107" s="358">
        <f>Rashodi!U108</f>
        <v>10000</v>
      </c>
      <c r="V107" s="358">
        <v>10000</v>
      </c>
      <c r="W107" s="358">
        <v>10000</v>
      </c>
    </row>
    <row r="108" spans="1:23" ht="12.75">
      <c r="A108" s="414"/>
      <c r="B108" s="415"/>
      <c r="C108" s="344"/>
      <c r="D108" s="443"/>
      <c r="E108" s="354">
        <v>74</v>
      </c>
      <c r="F108" s="417">
        <v>422</v>
      </c>
      <c r="G108" s="1269" t="s">
        <v>34</v>
      </c>
      <c r="H108" s="1270"/>
      <c r="I108" s="1271"/>
      <c r="J108" s="358">
        <v>10000</v>
      </c>
      <c r="K108" s="358">
        <v>0</v>
      </c>
      <c r="L108" s="358">
        <v>10000</v>
      </c>
      <c r="M108" s="358">
        <f>Rashodi!M109</f>
        <v>10000</v>
      </c>
      <c r="N108" s="358">
        <f>Rashodi!N109</f>
        <v>0</v>
      </c>
      <c r="O108" s="358">
        <f>Rashodi!O109</f>
        <v>0</v>
      </c>
      <c r="P108" s="358">
        <f>Rashodi!P109</f>
        <v>0</v>
      </c>
      <c r="Q108" s="358">
        <f>Rashodi!Q109</f>
        <v>0</v>
      </c>
      <c r="R108" s="358">
        <f>Rashodi!R109</f>
        <v>0</v>
      </c>
      <c r="S108" s="358">
        <f>Rashodi!S109</f>
        <v>0</v>
      </c>
      <c r="T108" s="358">
        <f>Rashodi!T109</f>
        <v>0</v>
      </c>
      <c r="U108" s="358">
        <f>Rashodi!U109</f>
        <v>10000</v>
      </c>
      <c r="V108" s="358">
        <v>10000</v>
      </c>
      <c r="W108" s="358">
        <v>10000</v>
      </c>
    </row>
    <row r="109" spans="1:23" ht="12.75">
      <c r="A109" s="336"/>
      <c r="B109" s="343"/>
      <c r="C109" s="338"/>
      <c r="D109" s="343"/>
      <c r="E109" s="354">
        <v>75</v>
      </c>
      <c r="F109" s="428">
        <v>423</v>
      </c>
      <c r="G109" s="1257" t="s">
        <v>1339</v>
      </c>
      <c r="H109" s="1258"/>
      <c r="I109" s="1259"/>
      <c r="J109" s="358">
        <v>1970000</v>
      </c>
      <c r="K109" s="358">
        <v>1541600</v>
      </c>
      <c r="L109" s="358">
        <v>2520000</v>
      </c>
      <c r="M109" s="358">
        <f>Rashodi!M110</f>
        <v>2520000</v>
      </c>
      <c r="N109" s="358">
        <f>Rashodi!N110</f>
        <v>0</v>
      </c>
      <c r="O109" s="358">
        <f>Rashodi!O110</f>
        <v>0</v>
      </c>
      <c r="P109" s="358">
        <f>Rashodi!P110</f>
        <v>0</v>
      </c>
      <c r="Q109" s="358">
        <f>Rashodi!Q110</f>
        <v>0</v>
      </c>
      <c r="R109" s="358">
        <f>Rashodi!R110</f>
        <v>0</v>
      </c>
      <c r="S109" s="358">
        <f>Rashodi!S110</f>
        <v>0</v>
      </c>
      <c r="T109" s="358">
        <f>Rashodi!T110</f>
        <v>0</v>
      </c>
      <c r="U109" s="358">
        <f>Rashodi!U110</f>
        <v>2520000</v>
      </c>
      <c r="V109" s="358">
        <v>2520000</v>
      </c>
      <c r="W109" s="358">
        <v>2520000</v>
      </c>
    </row>
    <row r="110" spans="1:23" ht="12.75">
      <c r="A110" s="336"/>
      <c r="B110" s="343"/>
      <c r="C110" s="338"/>
      <c r="D110" s="343"/>
      <c r="E110" s="611" t="s">
        <v>1481</v>
      </c>
      <c r="F110" s="418">
        <v>426</v>
      </c>
      <c r="G110" s="1257" t="s">
        <v>1340</v>
      </c>
      <c r="H110" s="1258"/>
      <c r="I110" s="1259"/>
      <c r="J110" s="723">
        <v>10000</v>
      </c>
      <c r="K110" s="723">
        <v>0</v>
      </c>
      <c r="L110" s="723">
        <v>10000</v>
      </c>
      <c r="M110" s="358">
        <f>Rashodi!M111</f>
        <v>10000</v>
      </c>
      <c r="N110" s="358">
        <f>Rashodi!N111</f>
        <v>0</v>
      </c>
      <c r="O110" s="358">
        <f>Rashodi!O111</f>
        <v>0</v>
      </c>
      <c r="P110" s="358">
        <f>Rashodi!P111</f>
        <v>0</v>
      </c>
      <c r="Q110" s="358">
        <f>Rashodi!Q111</f>
        <v>0</v>
      </c>
      <c r="R110" s="358">
        <f>Rashodi!R111</f>
        <v>0</v>
      </c>
      <c r="S110" s="358">
        <f>Rashodi!S111</f>
        <v>0</v>
      </c>
      <c r="T110" s="358">
        <f>Rashodi!T111</f>
        <v>0</v>
      </c>
      <c r="U110" s="358">
        <f>Rashodi!U111</f>
        <v>10000</v>
      </c>
      <c r="V110" s="358">
        <v>10000</v>
      </c>
      <c r="W110" s="358">
        <v>10000</v>
      </c>
    </row>
    <row r="111" spans="1:23" ht="12.75">
      <c r="A111" s="270"/>
      <c r="B111" s="271"/>
      <c r="C111" s="412"/>
      <c r="D111" s="332" t="s">
        <v>1189</v>
      </c>
      <c r="E111" s="332"/>
      <c r="F111" s="584"/>
      <c r="G111" s="1260" t="s">
        <v>1241</v>
      </c>
      <c r="H111" s="1261"/>
      <c r="I111" s="1262"/>
      <c r="J111" s="851">
        <f aca="true" t="shared" si="22" ref="J111:S111">J112</f>
        <v>3980000</v>
      </c>
      <c r="K111" s="851">
        <f t="shared" si="22"/>
        <v>660982.14</v>
      </c>
      <c r="L111" s="851">
        <f t="shared" si="22"/>
        <v>2980000</v>
      </c>
      <c r="M111" s="851">
        <f t="shared" si="22"/>
        <v>1880000</v>
      </c>
      <c r="N111" s="276">
        <f t="shared" si="22"/>
        <v>0</v>
      </c>
      <c r="O111" s="276">
        <f t="shared" si="22"/>
        <v>0</v>
      </c>
      <c r="P111" s="276">
        <f t="shared" si="22"/>
        <v>0</v>
      </c>
      <c r="Q111" s="276">
        <f t="shared" si="22"/>
        <v>0</v>
      </c>
      <c r="R111" s="276">
        <f t="shared" si="22"/>
        <v>0</v>
      </c>
      <c r="S111" s="276">
        <f t="shared" si="22"/>
        <v>0</v>
      </c>
      <c r="T111" s="321">
        <f>SUM(N111:S111)</f>
        <v>0</v>
      </c>
      <c r="U111" s="819">
        <f>M111+N111+O111+P111+Q111+R111+S111</f>
        <v>1880000</v>
      </c>
      <c r="V111" s="819">
        <v>1880000</v>
      </c>
      <c r="W111" s="819">
        <v>1880000</v>
      </c>
    </row>
    <row r="112" spans="1:23" ht="12.75">
      <c r="A112" s="336"/>
      <c r="B112" s="343"/>
      <c r="C112" s="56">
        <v>220</v>
      </c>
      <c r="D112" s="167"/>
      <c r="E112" s="343"/>
      <c r="F112" s="339"/>
      <c r="G112" s="1296" t="s">
        <v>1232</v>
      </c>
      <c r="H112" s="1297"/>
      <c r="I112" s="1298"/>
      <c r="J112" s="168">
        <f>SUM(J113:J117)</f>
        <v>3980000</v>
      </c>
      <c r="K112" s="168">
        <f>SUM(K113:K117)</f>
        <v>660982.14</v>
      </c>
      <c r="L112" s="168">
        <f>SUM(L113:L117)</f>
        <v>2980000</v>
      </c>
      <c r="M112" s="168">
        <f>SUM(M113:M117)</f>
        <v>1880000</v>
      </c>
      <c r="N112" s="168">
        <f aca="true" t="shared" si="23" ref="N112:S112">SUM(N113:N117)</f>
        <v>0</v>
      </c>
      <c r="O112" s="168">
        <f t="shared" si="23"/>
        <v>0</v>
      </c>
      <c r="P112" s="168">
        <f t="shared" si="23"/>
        <v>0</v>
      </c>
      <c r="Q112" s="168">
        <f t="shared" si="23"/>
        <v>0</v>
      </c>
      <c r="R112" s="168">
        <f t="shared" si="23"/>
        <v>0</v>
      </c>
      <c r="S112" s="168">
        <f t="shared" si="23"/>
        <v>0</v>
      </c>
      <c r="T112" s="322">
        <f>SUM(N112:S112)</f>
        <v>0</v>
      </c>
      <c r="U112" s="1048">
        <f>M112+N112+O112+P112+Q112+R112+S112</f>
        <v>1880000</v>
      </c>
      <c r="V112" s="1048">
        <v>1880000</v>
      </c>
      <c r="W112" s="1048">
        <v>1880000</v>
      </c>
    </row>
    <row r="113" spans="1:23" ht="12.75">
      <c r="A113" s="495"/>
      <c r="B113" s="436"/>
      <c r="C113" s="496"/>
      <c r="D113" s="436"/>
      <c r="E113" s="649" t="s">
        <v>1483</v>
      </c>
      <c r="F113" s="513">
        <v>423</v>
      </c>
      <c r="G113" s="1363" t="s">
        <v>1343</v>
      </c>
      <c r="H113" s="1364"/>
      <c r="I113" s="1365"/>
      <c r="J113" s="860">
        <v>580000</v>
      </c>
      <c r="K113" s="860">
        <v>188679.24</v>
      </c>
      <c r="L113" s="860">
        <v>580000</v>
      </c>
      <c r="M113" s="723">
        <f>Rashodi!M119</f>
        <v>580000</v>
      </c>
      <c r="N113" s="723">
        <f>Rashodi!N119</f>
        <v>0</v>
      </c>
      <c r="O113" s="723">
        <f>Rashodi!O119</f>
        <v>0</v>
      </c>
      <c r="P113" s="723">
        <f>Rashodi!P119</f>
        <v>0</v>
      </c>
      <c r="Q113" s="723">
        <f>Rashodi!Q119</f>
        <v>0</v>
      </c>
      <c r="R113" s="723">
        <f>Rashodi!R119</f>
        <v>0</v>
      </c>
      <c r="S113" s="723">
        <f>Rashodi!S119</f>
        <v>0</v>
      </c>
      <c r="T113" s="723">
        <f>Rashodi!T119</f>
        <v>0</v>
      </c>
      <c r="U113" s="723">
        <f>Rashodi!U119</f>
        <v>580000</v>
      </c>
      <c r="V113" s="723">
        <v>580000</v>
      </c>
      <c r="W113" s="723">
        <v>580000</v>
      </c>
    </row>
    <row r="114" spans="1:23" ht="12.75">
      <c r="A114" s="355"/>
      <c r="B114" s="348"/>
      <c r="C114" s="349"/>
      <c r="D114" s="348"/>
      <c r="E114" s="650" t="s">
        <v>1482</v>
      </c>
      <c r="F114" s="466">
        <v>424</v>
      </c>
      <c r="G114" s="1436" t="s">
        <v>1344</v>
      </c>
      <c r="H114" s="1436"/>
      <c r="I114" s="1437"/>
      <c r="J114" s="862">
        <v>2500000</v>
      </c>
      <c r="K114" s="862">
        <v>472302.9</v>
      </c>
      <c r="L114" s="862">
        <v>1500000</v>
      </c>
      <c r="M114" s="723">
        <f>Rashodi!M120</f>
        <v>1000000</v>
      </c>
      <c r="N114" s="723">
        <f>Rashodi!N120</f>
        <v>0</v>
      </c>
      <c r="O114" s="723">
        <f>Rashodi!O120</f>
        <v>0</v>
      </c>
      <c r="P114" s="723">
        <f>Rashodi!P120</f>
        <v>0</v>
      </c>
      <c r="Q114" s="723">
        <f>Rashodi!Q120</f>
        <v>0</v>
      </c>
      <c r="R114" s="723">
        <f>Rashodi!R120</f>
        <v>0</v>
      </c>
      <c r="S114" s="723">
        <f>Rashodi!S120</f>
        <v>0</v>
      </c>
      <c r="T114" s="723">
        <f>Rashodi!T120</f>
        <v>0</v>
      </c>
      <c r="U114" s="723">
        <f>Rashodi!U120</f>
        <v>1000000</v>
      </c>
      <c r="V114" s="723">
        <v>1000000</v>
      </c>
      <c r="W114" s="723">
        <v>1000000</v>
      </c>
    </row>
    <row r="115" spans="1:23" ht="12.75">
      <c r="A115" s="355"/>
      <c r="B115" s="348"/>
      <c r="C115" s="349"/>
      <c r="D115" s="348"/>
      <c r="E115" s="987" t="s">
        <v>1484</v>
      </c>
      <c r="F115" s="466">
        <v>472</v>
      </c>
      <c r="G115" s="981" t="s">
        <v>1457</v>
      </c>
      <c r="H115" s="982"/>
      <c r="I115" s="982"/>
      <c r="J115" s="862">
        <v>100000</v>
      </c>
      <c r="K115" s="862">
        <v>0</v>
      </c>
      <c r="L115" s="862">
        <v>100000</v>
      </c>
      <c r="M115" s="723">
        <f>Rashodi!M121</f>
        <v>100000</v>
      </c>
      <c r="N115" s="723">
        <f>Rashodi!N121</f>
        <v>0</v>
      </c>
      <c r="O115" s="723">
        <f>Rashodi!O121</f>
        <v>0</v>
      </c>
      <c r="P115" s="723">
        <f>Rashodi!P121</f>
        <v>0</v>
      </c>
      <c r="Q115" s="723">
        <f>Rashodi!Q121</f>
        <v>0</v>
      </c>
      <c r="R115" s="723">
        <f>Rashodi!R121</f>
        <v>0</v>
      </c>
      <c r="S115" s="723">
        <f>Rashodi!S121</f>
        <v>0</v>
      </c>
      <c r="T115" s="723">
        <f>Rashodi!T121</f>
        <v>0</v>
      </c>
      <c r="U115" s="723">
        <f>Rashodi!U121</f>
        <v>100000</v>
      </c>
      <c r="V115" s="723">
        <v>100000</v>
      </c>
      <c r="W115" s="723">
        <v>100000</v>
      </c>
    </row>
    <row r="116" spans="1:23" ht="12.75">
      <c r="A116" s="355"/>
      <c r="B116" s="348"/>
      <c r="C116" s="349"/>
      <c r="D116" s="348"/>
      <c r="E116" s="987" t="s">
        <v>419</v>
      </c>
      <c r="F116" s="466">
        <v>426</v>
      </c>
      <c r="G116" s="782" t="s">
        <v>38</v>
      </c>
      <c r="H116" s="1000"/>
      <c r="I116" s="1000"/>
      <c r="J116" s="862">
        <v>300000</v>
      </c>
      <c r="K116" s="862">
        <v>0</v>
      </c>
      <c r="L116" s="862">
        <v>300000</v>
      </c>
      <c r="M116" s="723">
        <f>Rashodi!M122</f>
        <v>100000</v>
      </c>
      <c r="N116" s="723">
        <f>Rashodi!N122</f>
        <v>0</v>
      </c>
      <c r="O116" s="723">
        <f>Rashodi!O122</f>
        <v>0</v>
      </c>
      <c r="P116" s="723">
        <f>Rashodi!P122</f>
        <v>0</v>
      </c>
      <c r="Q116" s="723">
        <f>Rashodi!Q122</f>
        <v>0</v>
      </c>
      <c r="R116" s="723">
        <f>Rashodi!R122</f>
        <v>0</v>
      </c>
      <c r="S116" s="723">
        <f>Rashodi!S122</f>
        <v>0</v>
      </c>
      <c r="T116" s="723">
        <f>Rashodi!T122</f>
        <v>0</v>
      </c>
      <c r="U116" s="723">
        <f>Rashodi!U122</f>
        <v>100000</v>
      </c>
      <c r="V116" s="723">
        <v>100000</v>
      </c>
      <c r="W116" s="723">
        <v>100000</v>
      </c>
    </row>
    <row r="117" spans="1:23" ht="12.75">
      <c r="A117" s="355"/>
      <c r="B117" s="348"/>
      <c r="C117" s="349"/>
      <c r="D117" s="348"/>
      <c r="E117" s="343" t="s">
        <v>1485</v>
      </c>
      <c r="F117" s="466">
        <v>512</v>
      </c>
      <c r="G117" s="1381" t="s">
        <v>1163</v>
      </c>
      <c r="H117" s="1381"/>
      <c r="I117" s="1382"/>
      <c r="J117" s="862">
        <v>500000</v>
      </c>
      <c r="K117" s="862">
        <v>0</v>
      </c>
      <c r="L117" s="862">
        <v>500000</v>
      </c>
      <c r="M117" s="723">
        <f>Rashodi!M123</f>
        <v>100000</v>
      </c>
      <c r="N117" s="723">
        <f>Rashodi!N123</f>
        <v>0</v>
      </c>
      <c r="O117" s="723">
        <f>Rashodi!O123</f>
        <v>0</v>
      </c>
      <c r="P117" s="723">
        <f>Rashodi!P123</f>
        <v>0</v>
      </c>
      <c r="Q117" s="723">
        <f>Rashodi!Q123</f>
        <v>0</v>
      </c>
      <c r="R117" s="723">
        <f>Rashodi!R123</f>
        <v>0</v>
      </c>
      <c r="S117" s="723">
        <f>Rashodi!S123</f>
        <v>0</v>
      </c>
      <c r="T117" s="723">
        <f>Rashodi!T123</f>
        <v>0</v>
      </c>
      <c r="U117" s="723">
        <f>Rashodi!U123</f>
        <v>100000</v>
      </c>
      <c r="V117" s="723">
        <v>100000</v>
      </c>
      <c r="W117" s="723">
        <v>100000</v>
      </c>
    </row>
    <row r="118" spans="1:23" ht="12.75">
      <c r="A118" s="270"/>
      <c r="B118" s="271"/>
      <c r="C118" s="412"/>
      <c r="D118" s="332" t="s">
        <v>1479</v>
      </c>
      <c r="E118" s="332"/>
      <c r="F118" s="413"/>
      <c r="G118" s="1433" t="s">
        <v>1188</v>
      </c>
      <c r="H118" s="1434"/>
      <c r="I118" s="1435"/>
      <c r="J118" s="1062">
        <f aca="true" t="shared" si="24" ref="J118:S119">J119</f>
        <v>450000</v>
      </c>
      <c r="K118" s="1017">
        <f t="shared" si="24"/>
        <v>0</v>
      </c>
      <c r="L118" s="973">
        <f t="shared" si="24"/>
        <v>500000</v>
      </c>
      <c r="M118" s="1113">
        <f t="shared" si="24"/>
        <v>500000</v>
      </c>
      <c r="N118" s="272">
        <f t="shared" si="24"/>
        <v>0</v>
      </c>
      <c r="O118" s="272">
        <f t="shared" si="24"/>
        <v>0</v>
      </c>
      <c r="P118" s="272">
        <f t="shared" si="24"/>
        <v>0</v>
      </c>
      <c r="Q118" s="272">
        <f t="shared" si="24"/>
        <v>0</v>
      </c>
      <c r="R118" s="272">
        <f t="shared" si="24"/>
        <v>0</v>
      </c>
      <c r="S118" s="272">
        <f t="shared" si="24"/>
        <v>0</v>
      </c>
      <c r="T118" s="320">
        <f>SUM(N118:S118)</f>
        <v>0</v>
      </c>
      <c r="U118" s="819">
        <f>M118+N118+O118+P118+Q118+R118+S118</f>
        <v>500000</v>
      </c>
      <c r="V118" s="819">
        <v>500000</v>
      </c>
      <c r="W118" s="819">
        <v>500000</v>
      </c>
    </row>
    <row r="119" spans="1:23" ht="12.75">
      <c r="A119" s="336"/>
      <c r="B119" s="343"/>
      <c r="C119" s="56">
        <v>160</v>
      </c>
      <c r="D119" s="167"/>
      <c r="E119" s="343"/>
      <c r="F119" s="339"/>
      <c r="G119" s="1296" t="s">
        <v>1473</v>
      </c>
      <c r="H119" s="1297"/>
      <c r="I119" s="1297"/>
      <c r="J119" s="812">
        <f t="shared" si="24"/>
        <v>450000</v>
      </c>
      <c r="K119" s="812">
        <f t="shared" si="24"/>
        <v>0</v>
      </c>
      <c r="L119" s="744">
        <f t="shared" si="24"/>
        <v>500000</v>
      </c>
      <c r="M119" s="744">
        <f t="shared" si="24"/>
        <v>500000</v>
      </c>
      <c r="N119" s="556">
        <f t="shared" si="24"/>
        <v>0</v>
      </c>
      <c r="O119" s="65">
        <f t="shared" si="24"/>
        <v>0</v>
      </c>
      <c r="P119" s="65">
        <f t="shared" si="24"/>
        <v>0</v>
      </c>
      <c r="Q119" s="65">
        <f t="shared" si="24"/>
        <v>0</v>
      </c>
      <c r="R119" s="65">
        <f t="shared" si="24"/>
        <v>0</v>
      </c>
      <c r="S119" s="65">
        <f t="shared" si="24"/>
        <v>0</v>
      </c>
      <c r="T119" s="326">
        <f>SUM(N119:S119)</f>
        <v>0</v>
      </c>
      <c r="U119" s="1048">
        <f>M119+N119+O119+P119+Q119+R119+S119</f>
        <v>500000</v>
      </c>
      <c r="V119" s="1048">
        <v>500000</v>
      </c>
      <c r="W119" s="1048">
        <v>500000</v>
      </c>
    </row>
    <row r="120" spans="1:23" ht="12.75">
      <c r="A120" s="336"/>
      <c r="B120" s="343"/>
      <c r="C120" s="338"/>
      <c r="D120" s="587"/>
      <c r="E120" s="343" t="s">
        <v>1395</v>
      </c>
      <c r="F120" s="588">
        <v>499</v>
      </c>
      <c r="G120" s="1351" t="s">
        <v>83</v>
      </c>
      <c r="H120" s="1332"/>
      <c r="I120" s="1332"/>
      <c r="J120" s="523">
        <v>450000</v>
      </c>
      <c r="K120" s="523">
        <v>0</v>
      </c>
      <c r="L120" s="866">
        <v>500000</v>
      </c>
      <c r="M120" s="866">
        <f>Rashodi!M126</f>
        <v>500000</v>
      </c>
      <c r="N120" s="441">
        <v>0</v>
      </c>
      <c r="O120" s="388">
        <v>0</v>
      </c>
      <c r="P120" s="395">
        <v>0</v>
      </c>
      <c r="Q120" s="398">
        <v>0</v>
      </c>
      <c r="R120" s="398">
        <v>0</v>
      </c>
      <c r="S120" s="398">
        <v>0</v>
      </c>
      <c r="T120" s="398">
        <f>SUM(N120:S120)</f>
        <v>0</v>
      </c>
      <c r="U120" s="818">
        <f>M120+N120+O120+P120+Q120+R120+S120</f>
        <v>500000</v>
      </c>
      <c r="V120" s="818">
        <v>500000</v>
      </c>
      <c r="W120" s="818">
        <v>500000</v>
      </c>
    </row>
    <row r="121" spans="1:23" ht="12.75">
      <c r="A121" s="580"/>
      <c r="B121" s="581"/>
      <c r="C121" s="582"/>
      <c r="D121" s="332" t="s">
        <v>848</v>
      </c>
      <c r="E121" s="332"/>
      <c r="F121" s="584"/>
      <c r="G121" s="1433" t="s">
        <v>1187</v>
      </c>
      <c r="H121" s="1439"/>
      <c r="I121" s="1439"/>
      <c r="J121" s="1018">
        <f>J123</f>
        <v>0</v>
      </c>
      <c r="K121" s="1018">
        <f>K123</f>
        <v>0</v>
      </c>
      <c r="L121" s="867">
        <f>L123</f>
        <v>500000</v>
      </c>
      <c r="M121" s="1114">
        <f>M123</f>
        <v>3000000</v>
      </c>
      <c r="N121" s="601">
        <f aca="true" t="shared" si="25" ref="N121:S121">N123</f>
        <v>0</v>
      </c>
      <c r="O121" s="585">
        <f t="shared" si="25"/>
        <v>0</v>
      </c>
      <c r="P121" s="585">
        <f t="shared" si="25"/>
        <v>0</v>
      </c>
      <c r="Q121" s="585">
        <f t="shared" si="25"/>
        <v>0</v>
      </c>
      <c r="R121" s="585">
        <f t="shared" si="25"/>
        <v>0</v>
      </c>
      <c r="S121" s="585">
        <f t="shared" si="25"/>
        <v>0</v>
      </c>
      <c r="T121" s="586">
        <f>SUM(N121:S121)</f>
        <v>0</v>
      </c>
      <c r="U121" s="819">
        <f>M121+N121+O121+P121+Q121+R121+S121</f>
        <v>3000000</v>
      </c>
      <c r="V121" s="819">
        <v>3000000</v>
      </c>
      <c r="W121" s="819">
        <v>3000000</v>
      </c>
    </row>
    <row r="122" spans="1:23" ht="12.75">
      <c r="A122" s="336"/>
      <c r="B122" s="343"/>
      <c r="C122" s="56">
        <v>160</v>
      </c>
      <c r="D122" s="167"/>
      <c r="E122" s="343"/>
      <c r="F122" s="339"/>
      <c r="G122" s="1296" t="s">
        <v>1473</v>
      </c>
      <c r="H122" s="1297"/>
      <c r="I122" s="1297"/>
      <c r="J122" s="812">
        <f>J123</f>
        <v>0</v>
      </c>
      <c r="K122" s="812">
        <f>K123</f>
        <v>0</v>
      </c>
      <c r="L122" s="727">
        <f>L123</f>
        <v>500000</v>
      </c>
      <c r="M122" s="727">
        <f>M123</f>
        <v>3000000</v>
      </c>
      <c r="N122" s="718">
        <f aca="true" t="shared" si="26" ref="N122:S122">N123</f>
        <v>0</v>
      </c>
      <c r="O122" s="65">
        <f t="shared" si="26"/>
        <v>0</v>
      </c>
      <c r="P122" s="65">
        <f t="shared" si="26"/>
        <v>0</v>
      </c>
      <c r="Q122" s="65">
        <f t="shared" si="26"/>
        <v>0</v>
      </c>
      <c r="R122" s="65">
        <f t="shared" si="26"/>
        <v>0</v>
      </c>
      <c r="S122" s="65">
        <f t="shared" si="26"/>
        <v>0</v>
      </c>
      <c r="T122" s="326">
        <f>SUM(N122:S122)</f>
        <v>0</v>
      </c>
      <c r="U122" s="1048">
        <f>M122+N122+O122+P122+Q122+R122+S122</f>
        <v>3000000</v>
      </c>
      <c r="V122" s="1048">
        <v>3000000</v>
      </c>
      <c r="W122" s="1048">
        <v>3000000</v>
      </c>
    </row>
    <row r="123" spans="1:23" ht="12.75">
      <c r="A123" s="336"/>
      <c r="B123" s="343"/>
      <c r="C123" s="339"/>
      <c r="D123" s="469"/>
      <c r="E123" s="343" t="s">
        <v>1268</v>
      </c>
      <c r="F123" s="466">
        <v>499</v>
      </c>
      <c r="G123" s="1284" t="s">
        <v>84</v>
      </c>
      <c r="H123" s="1285"/>
      <c r="I123" s="1285"/>
      <c r="J123" s="523">
        <v>0</v>
      </c>
      <c r="K123" s="523">
        <v>0</v>
      </c>
      <c r="L123" s="859">
        <v>500000</v>
      </c>
      <c r="M123" s="859">
        <f>Rashodi!M129</f>
        <v>3000000</v>
      </c>
      <c r="N123" s="859">
        <f>Rashodi!N129</f>
        <v>0</v>
      </c>
      <c r="O123" s="859">
        <f>Rashodi!O129</f>
        <v>0</v>
      </c>
      <c r="P123" s="859">
        <f>Rashodi!P129</f>
        <v>0</v>
      </c>
      <c r="Q123" s="859">
        <f>Rashodi!Q129</f>
        <v>0</v>
      </c>
      <c r="R123" s="859">
        <f>Rashodi!R129</f>
        <v>0</v>
      </c>
      <c r="S123" s="859">
        <f>Rashodi!S129</f>
        <v>0</v>
      </c>
      <c r="T123" s="859">
        <f>Rashodi!T129</f>
        <v>0</v>
      </c>
      <c r="U123" s="859">
        <f>Rashodi!U129</f>
        <v>3000000</v>
      </c>
      <c r="V123" s="859">
        <v>3000000</v>
      </c>
      <c r="W123" s="859">
        <v>3000000</v>
      </c>
    </row>
    <row r="124" spans="1:23" ht="12.75">
      <c r="A124" s="270"/>
      <c r="B124" s="271"/>
      <c r="C124" s="412"/>
      <c r="D124" s="593" t="s">
        <v>286</v>
      </c>
      <c r="E124" s="412"/>
      <c r="F124" s="413"/>
      <c r="G124" s="1302" t="s">
        <v>1201</v>
      </c>
      <c r="H124" s="1303"/>
      <c r="I124" s="1304"/>
      <c r="J124" s="868">
        <f aca="true" t="shared" si="27" ref="J124:S124">J125+J129</f>
        <v>7400000</v>
      </c>
      <c r="K124" s="996">
        <f t="shared" si="27"/>
        <v>2705000</v>
      </c>
      <c r="L124" s="994">
        <f>L125+L129</f>
        <v>8400000</v>
      </c>
      <c r="M124" s="994">
        <f t="shared" si="27"/>
        <v>9900000</v>
      </c>
      <c r="N124" s="272">
        <f t="shared" si="27"/>
        <v>0</v>
      </c>
      <c r="O124" s="272">
        <f t="shared" si="27"/>
        <v>0</v>
      </c>
      <c r="P124" s="272">
        <f t="shared" si="27"/>
        <v>0</v>
      </c>
      <c r="Q124" s="272">
        <f t="shared" si="27"/>
        <v>0</v>
      </c>
      <c r="R124" s="272">
        <f t="shared" si="27"/>
        <v>0</v>
      </c>
      <c r="S124" s="272">
        <f t="shared" si="27"/>
        <v>0</v>
      </c>
      <c r="T124" s="320">
        <f>SUM(N124:S124)</f>
        <v>0</v>
      </c>
      <c r="U124" s="819">
        <f>M124+N124+O124+P124+Q124+R124+S124</f>
        <v>9900000</v>
      </c>
      <c r="V124" s="819">
        <v>7400000</v>
      </c>
      <c r="W124" s="819">
        <v>7400000</v>
      </c>
    </row>
    <row r="125" spans="1:23" ht="12.75">
      <c r="A125" s="270"/>
      <c r="B125" s="271"/>
      <c r="C125" s="412"/>
      <c r="D125" s="332" t="s">
        <v>297</v>
      </c>
      <c r="E125" s="412"/>
      <c r="F125" s="413"/>
      <c r="G125" s="1310" t="s">
        <v>1256</v>
      </c>
      <c r="H125" s="1378"/>
      <c r="I125" s="1379"/>
      <c r="J125" s="848">
        <f aca="true" t="shared" si="28" ref="J125:S125">J126</f>
        <v>3000000</v>
      </c>
      <c r="K125" s="848">
        <f t="shared" si="28"/>
        <v>655000</v>
      </c>
      <c r="L125" s="848">
        <f t="shared" si="28"/>
        <v>4000000</v>
      </c>
      <c r="M125" s="848">
        <f t="shared" si="28"/>
        <v>5500000</v>
      </c>
      <c r="N125" s="276">
        <f t="shared" si="28"/>
        <v>0</v>
      </c>
      <c r="O125" s="276">
        <f t="shared" si="28"/>
        <v>0</v>
      </c>
      <c r="P125" s="276">
        <f t="shared" si="28"/>
        <v>0</v>
      </c>
      <c r="Q125" s="276">
        <f t="shared" si="28"/>
        <v>0</v>
      </c>
      <c r="R125" s="276">
        <f t="shared" si="28"/>
        <v>0</v>
      </c>
      <c r="S125" s="321">
        <f t="shared" si="28"/>
        <v>0</v>
      </c>
      <c r="T125" s="321">
        <f>SUM(N125:S125)</f>
        <v>0</v>
      </c>
      <c r="U125" s="819">
        <f>M125+N125+O125+P125+Q125+R125+S125</f>
        <v>5500000</v>
      </c>
      <c r="V125" s="819">
        <v>3000000</v>
      </c>
      <c r="W125" s="819">
        <v>3000000</v>
      </c>
    </row>
    <row r="126" spans="1:23" ht="12.75">
      <c r="A126" s="336"/>
      <c r="B126" s="343"/>
      <c r="C126" s="56">
        <v>820</v>
      </c>
      <c r="D126" s="167"/>
      <c r="E126" s="338"/>
      <c r="F126" s="339"/>
      <c r="G126" s="1296" t="s">
        <v>167</v>
      </c>
      <c r="H126" s="1297"/>
      <c r="I126" s="1298"/>
      <c r="J126" s="168">
        <f aca="true" t="shared" si="29" ref="J126:S126">SUM(J127:J128)</f>
        <v>3000000</v>
      </c>
      <c r="K126" s="168">
        <f t="shared" si="29"/>
        <v>655000</v>
      </c>
      <c r="L126" s="168">
        <f>SUM(L127:L128)</f>
        <v>4000000</v>
      </c>
      <c r="M126" s="168">
        <f t="shared" si="29"/>
        <v>5500000</v>
      </c>
      <c r="N126" s="65">
        <f t="shared" si="29"/>
        <v>0</v>
      </c>
      <c r="O126" s="65">
        <f t="shared" si="29"/>
        <v>0</v>
      </c>
      <c r="P126" s="65">
        <f t="shared" si="29"/>
        <v>0</v>
      </c>
      <c r="Q126" s="65">
        <f t="shared" si="29"/>
        <v>0</v>
      </c>
      <c r="R126" s="65">
        <f t="shared" si="29"/>
        <v>0</v>
      </c>
      <c r="S126" s="65">
        <f t="shared" si="29"/>
        <v>0</v>
      </c>
      <c r="T126" s="325">
        <f>SUM(N126:S126)</f>
        <v>0</v>
      </c>
      <c r="U126" s="1048">
        <f>M126+N126+O126+P126+Q126+R126+S126</f>
        <v>5500000</v>
      </c>
      <c r="V126" s="1048">
        <v>3000000</v>
      </c>
      <c r="W126" s="1048">
        <v>3000000</v>
      </c>
    </row>
    <row r="127" spans="1:23" ht="12.75">
      <c r="A127" s="336"/>
      <c r="B127" s="343"/>
      <c r="C127" s="56"/>
      <c r="D127" s="167"/>
      <c r="E127" s="343" t="s">
        <v>1269</v>
      </c>
      <c r="F127" s="432">
        <v>481</v>
      </c>
      <c r="G127" s="1257" t="s">
        <v>1377</v>
      </c>
      <c r="H127" s="1258"/>
      <c r="I127" s="1259"/>
      <c r="J127" s="723">
        <v>2000000</v>
      </c>
      <c r="K127" s="723">
        <v>655000</v>
      </c>
      <c r="L127" s="723">
        <v>3000000</v>
      </c>
      <c r="M127" s="723">
        <f>Rashodi!M133</f>
        <v>4000000</v>
      </c>
      <c r="N127" s="723">
        <f>Rashodi!N133</f>
        <v>0</v>
      </c>
      <c r="O127" s="723">
        <f>Rashodi!O133</f>
        <v>0</v>
      </c>
      <c r="P127" s="723">
        <f>Rashodi!P133</f>
        <v>0</v>
      </c>
      <c r="Q127" s="723">
        <f>Rashodi!Q133</f>
        <v>0</v>
      </c>
      <c r="R127" s="723">
        <f>Rashodi!R133</f>
        <v>0</v>
      </c>
      <c r="S127" s="723">
        <f>Rashodi!S133</f>
        <v>0</v>
      </c>
      <c r="T127" s="723">
        <f>Rashodi!T133</f>
        <v>0</v>
      </c>
      <c r="U127" s="723">
        <f>Rashodi!U133</f>
        <v>4000000</v>
      </c>
      <c r="V127" s="723">
        <v>2000000</v>
      </c>
      <c r="W127" s="723">
        <v>2000000</v>
      </c>
    </row>
    <row r="128" spans="1:23" ht="12.75">
      <c r="A128" s="336"/>
      <c r="B128" s="343"/>
      <c r="C128" s="338"/>
      <c r="D128" s="343"/>
      <c r="E128" s="770">
        <v>85</v>
      </c>
      <c r="F128" s="418">
        <v>481</v>
      </c>
      <c r="G128" s="1257" t="s">
        <v>1376</v>
      </c>
      <c r="H128" s="1258"/>
      <c r="I128" s="1259"/>
      <c r="J128" s="723">
        <v>1000000</v>
      </c>
      <c r="K128" s="723">
        <v>0</v>
      </c>
      <c r="L128" s="723">
        <v>1000000</v>
      </c>
      <c r="M128" s="723">
        <f>Rashodi!M134</f>
        <v>1500000</v>
      </c>
      <c r="N128" s="723">
        <f>Rashodi!N134</f>
        <v>0</v>
      </c>
      <c r="O128" s="723">
        <f>Rashodi!O134</f>
        <v>0</v>
      </c>
      <c r="P128" s="723">
        <f>Rashodi!P134</f>
        <v>0</v>
      </c>
      <c r="Q128" s="723">
        <f>Rashodi!Q134</f>
        <v>0</v>
      </c>
      <c r="R128" s="723">
        <f>Rashodi!R134</f>
        <v>0</v>
      </c>
      <c r="S128" s="723">
        <f>Rashodi!S134</f>
        <v>0</v>
      </c>
      <c r="T128" s="723">
        <f>Rashodi!T134</f>
        <v>0</v>
      </c>
      <c r="U128" s="723">
        <f>Rashodi!U134</f>
        <v>1500000</v>
      </c>
      <c r="V128" s="723">
        <v>1000000</v>
      </c>
      <c r="W128" s="723">
        <v>1000000</v>
      </c>
    </row>
    <row r="129" spans="1:23" ht="12.75">
      <c r="A129" s="270"/>
      <c r="B129" s="271"/>
      <c r="C129" s="583"/>
      <c r="D129" s="332" t="s">
        <v>1199</v>
      </c>
      <c r="E129" s="412"/>
      <c r="F129" s="413"/>
      <c r="G129" s="1260" t="s">
        <v>1200</v>
      </c>
      <c r="H129" s="1261"/>
      <c r="I129" s="1262"/>
      <c r="J129" s="851">
        <f>J131</f>
        <v>4400000</v>
      </c>
      <c r="K129" s="851">
        <f>K131</f>
        <v>2050000</v>
      </c>
      <c r="L129" s="276">
        <f>L131</f>
        <v>4400000</v>
      </c>
      <c r="M129" s="276">
        <f>M131</f>
        <v>4400000</v>
      </c>
      <c r="N129" s="276">
        <f aca="true" t="shared" si="30" ref="N129:S129">N131</f>
        <v>0</v>
      </c>
      <c r="O129" s="276">
        <f t="shared" si="30"/>
        <v>0</v>
      </c>
      <c r="P129" s="276">
        <f t="shared" si="30"/>
        <v>0</v>
      </c>
      <c r="Q129" s="276">
        <f t="shared" si="30"/>
        <v>0</v>
      </c>
      <c r="R129" s="276">
        <f t="shared" si="30"/>
        <v>0</v>
      </c>
      <c r="S129" s="321">
        <f t="shared" si="30"/>
        <v>0</v>
      </c>
      <c r="T129" s="321">
        <f>SUM(N129:S129)</f>
        <v>0</v>
      </c>
      <c r="U129" s="819">
        <f>M129+N129+O129+P129+Q129+R129+S129</f>
        <v>4400000</v>
      </c>
      <c r="V129" s="819">
        <v>4400000</v>
      </c>
      <c r="W129" s="819">
        <v>4400000</v>
      </c>
    </row>
    <row r="130" spans="1:23" ht="12.75">
      <c r="A130" s="414"/>
      <c r="B130" s="415"/>
      <c r="C130" s="56">
        <v>830</v>
      </c>
      <c r="D130" s="58"/>
      <c r="E130" s="416"/>
      <c r="F130" s="417"/>
      <c r="G130" s="1296" t="s">
        <v>1202</v>
      </c>
      <c r="H130" s="1297"/>
      <c r="I130" s="1298"/>
      <c r="J130" s="168">
        <f aca="true" t="shared" si="31" ref="J130:S130">J131</f>
        <v>4400000</v>
      </c>
      <c r="K130" s="168">
        <f t="shared" si="31"/>
        <v>2050000</v>
      </c>
      <c r="L130" s="168">
        <f t="shared" si="31"/>
        <v>4400000</v>
      </c>
      <c r="M130" s="168">
        <f t="shared" si="31"/>
        <v>4400000</v>
      </c>
      <c r="N130" s="68">
        <f t="shared" si="31"/>
        <v>0</v>
      </c>
      <c r="O130" s="68">
        <f t="shared" si="31"/>
        <v>0</v>
      </c>
      <c r="P130" s="68">
        <f t="shared" si="31"/>
        <v>0</v>
      </c>
      <c r="Q130" s="68">
        <f t="shared" si="31"/>
        <v>0</v>
      </c>
      <c r="R130" s="68">
        <f t="shared" si="31"/>
        <v>0</v>
      </c>
      <c r="S130" s="324">
        <f t="shared" si="31"/>
        <v>0</v>
      </c>
      <c r="T130" s="324">
        <f>SUM(N130:S130)</f>
        <v>0</v>
      </c>
      <c r="U130" s="1048">
        <f>M130+N130+O130+P130+Q130+R130+S130</f>
        <v>4400000</v>
      </c>
      <c r="V130" s="1048">
        <v>4400000</v>
      </c>
      <c r="W130" s="1048">
        <v>4400000</v>
      </c>
    </row>
    <row r="131" spans="1:23" ht="12.75">
      <c r="A131" s="336"/>
      <c r="B131" s="343"/>
      <c r="C131" s="343"/>
      <c r="D131" s="343"/>
      <c r="E131" s="354">
        <v>86</v>
      </c>
      <c r="F131" s="436" t="s">
        <v>476</v>
      </c>
      <c r="G131" s="366" t="s">
        <v>1474</v>
      </c>
      <c r="H131" s="419"/>
      <c r="I131" s="437"/>
      <c r="J131" s="1013">
        <v>4400000</v>
      </c>
      <c r="K131" s="1013">
        <v>2050000</v>
      </c>
      <c r="L131" s="1013">
        <v>4400000</v>
      </c>
      <c r="M131" s="1013">
        <f>Rashodi!M137</f>
        <v>4400000</v>
      </c>
      <c r="N131" s="1013">
        <f>Rashodi!N137</f>
        <v>0</v>
      </c>
      <c r="O131" s="1013">
        <f>Rashodi!O137</f>
        <v>0</v>
      </c>
      <c r="P131" s="1013">
        <f>Rashodi!P137</f>
        <v>0</v>
      </c>
      <c r="Q131" s="1013">
        <f>Rashodi!Q137</f>
        <v>0</v>
      </c>
      <c r="R131" s="1013">
        <f>Rashodi!R137</f>
        <v>0</v>
      </c>
      <c r="S131" s="1013">
        <f>Rashodi!S137</f>
        <v>0</v>
      </c>
      <c r="T131" s="1013">
        <f>Rashodi!T137</f>
        <v>0</v>
      </c>
      <c r="U131" s="1013">
        <f>Rashodi!U137</f>
        <v>4400000</v>
      </c>
      <c r="V131" s="1013">
        <v>4400000</v>
      </c>
      <c r="W131" s="1013">
        <v>4400000</v>
      </c>
    </row>
    <row r="132" spans="1:23" ht="12.75">
      <c r="A132" s="270"/>
      <c r="B132" s="271"/>
      <c r="C132" s="412"/>
      <c r="D132" s="596" t="s">
        <v>294</v>
      </c>
      <c r="E132" s="527"/>
      <c r="F132" s="413"/>
      <c r="G132" s="1293" t="s">
        <v>295</v>
      </c>
      <c r="H132" s="1294"/>
      <c r="I132" s="1294"/>
      <c r="J132" s="994">
        <f>J133</f>
        <v>5100000</v>
      </c>
      <c r="K132" s="994">
        <f>K133</f>
        <v>2877425.25</v>
      </c>
      <c r="L132" s="994">
        <f>L133</f>
        <v>7001000</v>
      </c>
      <c r="M132" s="994">
        <f>M133</f>
        <v>8201000</v>
      </c>
      <c r="N132" s="272">
        <f aca="true" t="shared" si="32" ref="N132:S132">N133</f>
        <v>0</v>
      </c>
      <c r="O132" s="272">
        <f t="shared" si="32"/>
        <v>0</v>
      </c>
      <c r="P132" s="272">
        <f t="shared" si="32"/>
        <v>0</v>
      </c>
      <c r="Q132" s="633">
        <f t="shared" si="32"/>
        <v>0</v>
      </c>
      <c r="R132" s="633">
        <f t="shared" si="32"/>
        <v>0</v>
      </c>
      <c r="S132" s="633">
        <f t="shared" si="32"/>
        <v>0</v>
      </c>
      <c r="T132" s="634">
        <f>SUM(N132:S132)</f>
        <v>0</v>
      </c>
      <c r="U132" s="819">
        <f>M132+N132+O132+P132+Q132+R132+S132</f>
        <v>8201000</v>
      </c>
      <c r="V132" s="819">
        <v>3001000</v>
      </c>
      <c r="W132" s="819">
        <v>3001000</v>
      </c>
    </row>
    <row r="133" spans="1:23" ht="12.75">
      <c r="A133" s="270"/>
      <c r="B133" s="271"/>
      <c r="C133" s="525"/>
      <c r="D133" s="525" t="s">
        <v>296</v>
      </c>
      <c r="E133" s="528"/>
      <c r="F133" s="526"/>
      <c r="G133" s="1260" t="s">
        <v>310</v>
      </c>
      <c r="H133" s="1261"/>
      <c r="I133" s="1261"/>
      <c r="J133" s="984">
        <f>SUM(J135:J136)</f>
        <v>5100000</v>
      </c>
      <c r="K133" s="984">
        <f>SUM(K135:K136)</f>
        <v>2877425.25</v>
      </c>
      <c r="L133" s="984">
        <f>SUM(L135:L136)</f>
        <v>7001000</v>
      </c>
      <c r="M133" s="984">
        <f>SUM(M135:M136)</f>
        <v>8201000</v>
      </c>
      <c r="N133" s="276">
        <f aca="true" t="shared" si="33" ref="N133:S133">N135</f>
        <v>0</v>
      </c>
      <c r="O133" s="276">
        <f>O135</f>
        <v>0</v>
      </c>
      <c r="P133" s="321">
        <f t="shared" si="33"/>
        <v>0</v>
      </c>
      <c r="Q133" s="635">
        <f t="shared" si="33"/>
        <v>0</v>
      </c>
      <c r="R133" s="635">
        <f>R135</f>
        <v>0</v>
      </c>
      <c r="S133" s="635">
        <f t="shared" si="33"/>
        <v>0</v>
      </c>
      <c r="T133" s="793">
        <f>SUM(N133:S133)</f>
        <v>0</v>
      </c>
      <c r="U133" s="819">
        <f>M133+N133+O133+P133+Q133+R133+S133</f>
        <v>8201000</v>
      </c>
      <c r="V133" s="819">
        <v>3001000</v>
      </c>
      <c r="W133" s="819">
        <v>3001000</v>
      </c>
    </row>
    <row r="134" spans="1:23" ht="12.75">
      <c r="A134" s="414"/>
      <c r="B134" s="415"/>
      <c r="C134" s="167" t="s">
        <v>535</v>
      </c>
      <c r="D134" s="501"/>
      <c r="E134" s="499"/>
      <c r="F134" s="417"/>
      <c r="G134" s="1296" t="s">
        <v>168</v>
      </c>
      <c r="H134" s="1297"/>
      <c r="I134" s="1298"/>
      <c r="J134" s="1014">
        <f>J135+J136</f>
        <v>5100000</v>
      </c>
      <c r="K134" s="880">
        <f>K135+K136</f>
        <v>2877425.25</v>
      </c>
      <c r="L134" s="1015">
        <f>L135+L136</f>
        <v>7001000</v>
      </c>
      <c r="M134" s="1015">
        <f>M135+M136</f>
        <v>8201000</v>
      </c>
      <c r="N134" s="68">
        <f aca="true" t="shared" si="34" ref="N134:S134">N135+N136</f>
        <v>0</v>
      </c>
      <c r="O134" s="68">
        <f t="shared" si="34"/>
        <v>0</v>
      </c>
      <c r="P134" s="68">
        <f t="shared" si="34"/>
        <v>0</v>
      </c>
      <c r="Q134" s="68">
        <f t="shared" si="34"/>
        <v>0</v>
      </c>
      <c r="R134" s="68">
        <f t="shared" si="34"/>
        <v>0</v>
      </c>
      <c r="S134" s="68">
        <f t="shared" si="34"/>
        <v>0</v>
      </c>
      <c r="T134" s="798">
        <f>SUM(N134:S134)</f>
        <v>0</v>
      </c>
      <c r="U134" s="1048">
        <f>M134+N134+O134+P134+Q134+R134+S134</f>
        <v>8201000</v>
      </c>
      <c r="V134" s="1048">
        <v>3001000</v>
      </c>
      <c r="W134" s="1048">
        <v>3001000</v>
      </c>
    </row>
    <row r="135" spans="1:23" ht="12.75">
      <c r="A135" s="336"/>
      <c r="B135" s="343"/>
      <c r="C135" s="338"/>
      <c r="D135" s="587"/>
      <c r="E135" s="354">
        <v>87</v>
      </c>
      <c r="F135" s="592">
        <v>481</v>
      </c>
      <c r="G135" s="1360" t="s">
        <v>1375</v>
      </c>
      <c r="H135" s="1361"/>
      <c r="I135" s="1361"/>
      <c r="J135" s="887">
        <v>5000000</v>
      </c>
      <c r="K135" s="887">
        <v>2877425.25</v>
      </c>
      <c r="L135" s="887">
        <v>7000000</v>
      </c>
      <c r="M135" s="887">
        <f>Rashodi!M141</f>
        <v>8200000</v>
      </c>
      <c r="N135" s="887">
        <f>Rashodi!N141</f>
        <v>0</v>
      </c>
      <c r="O135" s="887">
        <f>Rashodi!O141</f>
        <v>0</v>
      </c>
      <c r="P135" s="887">
        <f>Rashodi!P141</f>
        <v>0</v>
      </c>
      <c r="Q135" s="887">
        <f>Rashodi!Q141</f>
        <v>0</v>
      </c>
      <c r="R135" s="887">
        <f>Rashodi!R141</f>
        <v>0</v>
      </c>
      <c r="S135" s="887">
        <f>Rashodi!S141</f>
        <v>0</v>
      </c>
      <c r="T135" s="887">
        <f>Rashodi!T141</f>
        <v>0</v>
      </c>
      <c r="U135" s="887">
        <f>Rashodi!U141</f>
        <v>8200000</v>
      </c>
      <c r="V135" s="887">
        <v>3000000</v>
      </c>
      <c r="W135" s="887">
        <v>3000000</v>
      </c>
    </row>
    <row r="136" spans="1:23" ht="13.5" thickBot="1">
      <c r="A136" s="1030"/>
      <c r="B136" s="1031"/>
      <c r="C136" s="342"/>
      <c r="D136" s="611"/>
      <c r="E136" s="512">
        <v>88</v>
      </c>
      <c r="F136" s="771">
        <v>481</v>
      </c>
      <c r="G136" s="1032" t="s">
        <v>1396</v>
      </c>
      <c r="H136" s="1033"/>
      <c r="I136" s="1033"/>
      <c r="J136" s="1034">
        <v>100000</v>
      </c>
      <c r="K136" s="1034">
        <v>0</v>
      </c>
      <c r="L136" s="1026">
        <v>1000</v>
      </c>
      <c r="M136" s="887">
        <f>Rashodi!M142</f>
        <v>1000</v>
      </c>
      <c r="N136" s="887">
        <f>Rashodi!N142</f>
        <v>0</v>
      </c>
      <c r="O136" s="887">
        <f>Rashodi!O142</f>
        <v>0</v>
      </c>
      <c r="P136" s="887">
        <f>Rashodi!P142</f>
        <v>0</v>
      </c>
      <c r="Q136" s="887">
        <f>Rashodi!Q142</f>
        <v>0</v>
      </c>
      <c r="R136" s="887">
        <f>Rashodi!R142</f>
        <v>0</v>
      </c>
      <c r="S136" s="887">
        <f>Rashodi!S142</f>
        <v>0</v>
      </c>
      <c r="T136" s="887">
        <f>Rashodi!T142</f>
        <v>0</v>
      </c>
      <c r="U136" s="887">
        <f>Rashodi!U142</f>
        <v>1000</v>
      </c>
      <c r="V136" s="887">
        <v>1000</v>
      </c>
      <c r="W136" s="887">
        <v>1000</v>
      </c>
    </row>
    <row r="137" spans="1:23" ht="12.75">
      <c r="A137" s="1038"/>
      <c r="B137" s="1039"/>
      <c r="C137" s="1040"/>
      <c r="D137" s="1041" t="s">
        <v>283</v>
      </c>
      <c r="E137" s="1040"/>
      <c r="F137" s="1042"/>
      <c r="G137" s="1440" t="s">
        <v>1508</v>
      </c>
      <c r="H137" s="1441"/>
      <c r="I137" s="1441"/>
      <c r="J137" s="994" t="e">
        <f>J138+#REF!+#REF!</f>
        <v>#REF!</v>
      </c>
      <c r="K137" s="994" t="e">
        <f>K138+#REF!+#REF!</f>
        <v>#REF!</v>
      </c>
      <c r="L137" s="994" t="e">
        <f>L138</f>
        <v>#REF!</v>
      </c>
      <c r="M137" s="994">
        <f aca="true" t="shared" si="35" ref="M137:U137">M138</f>
        <v>35493190</v>
      </c>
      <c r="N137" s="994">
        <f t="shared" si="35"/>
        <v>0</v>
      </c>
      <c r="O137" s="994">
        <f t="shared" si="35"/>
        <v>0</v>
      </c>
      <c r="P137" s="994">
        <f t="shared" si="35"/>
        <v>0</v>
      </c>
      <c r="Q137" s="994">
        <f t="shared" si="35"/>
        <v>0</v>
      </c>
      <c r="R137" s="994">
        <f t="shared" si="35"/>
        <v>0</v>
      </c>
      <c r="S137" s="994">
        <f t="shared" si="35"/>
        <v>0</v>
      </c>
      <c r="T137" s="994">
        <f t="shared" si="35"/>
        <v>0</v>
      </c>
      <c r="U137" s="994">
        <f t="shared" si="35"/>
        <v>35493190</v>
      </c>
      <c r="V137" s="994">
        <v>33356831</v>
      </c>
      <c r="W137" s="994">
        <v>33356831</v>
      </c>
    </row>
    <row r="138" spans="1:23" ht="12.75">
      <c r="A138" s="1043"/>
      <c r="B138" s="271"/>
      <c r="C138" s="412"/>
      <c r="D138" s="332" t="s">
        <v>285</v>
      </c>
      <c r="E138" s="412"/>
      <c r="F138" s="413"/>
      <c r="G138" s="1260" t="s">
        <v>1519</v>
      </c>
      <c r="H138" s="1261"/>
      <c r="I138" s="1261"/>
      <c r="J138" s="984">
        <f>J139</f>
        <v>12800531</v>
      </c>
      <c r="K138" s="984">
        <f>K139</f>
        <v>7450463.45</v>
      </c>
      <c r="L138" s="984" t="e">
        <f>L139</f>
        <v>#REF!</v>
      </c>
      <c r="M138" s="984">
        <f>M139</f>
        <v>35493190</v>
      </c>
      <c r="N138" s="276">
        <f aca="true" t="shared" si="36" ref="N138:S138">N139</f>
        <v>0</v>
      </c>
      <c r="O138" s="276">
        <f t="shared" si="36"/>
        <v>0</v>
      </c>
      <c r="P138" s="276">
        <f t="shared" si="36"/>
        <v>0</v>
      </c>
      <c r="Q138" s="276">
        <f t="shared" si="36"/>
        <v>0</v>
      </c>
      <c r="R138" s="276">
        <f t="shared" si="36"/>
        <v>0</v>
      </c>
      <c r="S138" s="276">
        <f t="shared" si="36"/>
        <v>0</v>
      </c>
      <c r="T138" s="321">
        <f>SUM(N138:S138)</f>
        <v>0</v>
      </c>
      <c r="U138" s="819">
        <f aca="true" t="shared" si="37" ref="U138:U150">M138+N138+O138+P138+Q138+R138+S138</f>
        <v>35493190</v>
      </c>
      <c r="V138" s="819">
        <v>33356831</v>
      </c>
      <c r="W138" s="819">
        <v>33356831</v>
      </c>
    </row>
    <row r="139" spans="1:23" ht="12.75">
      <c r="A139" s="1044"/>
      <c r="B139" s="415"/>
      <c r="C139" s="56">
        <v>912</v>
      </c>
      <c r="D139" s="58"/>
      <c r="E139" s="416"/>
      <c r="F139" s="417"/>
      <c r="G139" s="1296" t="s">
        <v>96</v>
      </c>
      <c r="H139" s="1297"/>
      <c r="I139" s="1298"/>
      <c r="J139" s="812">
        <f>SUM(J140:J153)</f>
        <v>12800531</v>
      </c>
      <c r="K139" s="812">
        <f>SUM(K140:K153)</f>
        <v>7450463.45</v>
      </c>
      <c r="L139" s="812" t="e">
        <f>SUM(L140:L153)</f>
        <v>#REF!</v>
      </c>
      <c r="M139" s="812">
        <f>SUM(M140:M154)</f>
        <v>35493190</v>
      </c>
      <c r="N139" s="68">
        <f aca="true" t="shared" si="38" ref="N139:S139">SUM(N140:N153)</f>
        <v>0</v>
      </c>
      <c r="O139" s="68">
        <f t="shared" si="38"/>
        <v>0</v>
      </c>
      <c r="P139" s="68">
        <f t="shared" si="38"/>
        <v>0</v>
      </c>
      <c r="Q139" s="68">
        <f t="shared" si="38"/>
        <v>0</v>
      </c>
      <c r="R139" s="68">
        <f t="shared" si="38"/>
        <v>0</v>
      </c>
      <c r="S139" s="68">
        <f t="shared" si="38"/>
        <v>0</v>
      </c>
      <c r="T139" s="324">
        <f>SUM(N139:S139)</f>
        <v>0</v>
      </c>
      <c r="U139" s="1048">
        <f t="shared" si="37"/>
        <v>35493190</v>
      </c>
      <c r="V139" s="1048">
        <v>33356831</v>
      </c>
      <c r="W139" s="1048">
        <v>33356831</v>
      </c>
    </row>
    <row r="140" spans="1:23" ht="12.75">
      <c r="A140" s="1045"/>
      <c r="B140" s="343"/>
      <c r="C140" s="338"/>
      <c r="D140" s="343"/>
      <c r="E140" s="354">
        <v>89</v>
      </c>
      <c r="F140" s="418">
        <v>463</v>
      </c>
      <c r="G140" s="366" t="s">
        <v>97</v>
      </c>
      <c r="H140" s="419"/>
      <c r="I140" s="437"/>
      <c r="J140" s="870">
        <v>180000</v>
      </c>
      <c r="K140" s="870">
        <v>31636</v>
      </c>
      <c r="L140" s="865" t="e">
        <f>Rashodi!#REF!+Rashodi!#REF!</f>
        <v>#REF!</v>
      </c>
      <c r="M140" s="865">
        <f>Rashodi!M146+Rashodi!M177</f>
        <v>150000</v>
      </c>
      <c r="N140" s="865">
        <f>Rashodi!N146+Rashodi!N177</f>
        <v>0</v>
      </c>
      <c r="O140" s="865">
        <f>Rashodi!O146+Rashodi!O177</f>
        <v>0</v>
      </c>
      <c r="P140" s="865">
        <f>Rashodi!P146+Rashodi!P177</f>
        <v>0</v>
      </c>
      <c r="Q140" s="865">
        <f>Rashodi!Q146+Rashodi!Q177</f>
        <v>0</v>
      </c>
      <c r="R140" s="865">
        <f>Rashodi!R146+Rashodi!R177</f>
        <v>0</v>
      </c>
      <c r="S140" s="865">
        <f>Rashodi!S146+Rashodi!S177</f>
        <v>0</v>
      </c>
      <c r="T140" s="865">
        <f>Rashodi!T146+Rashodi!T177</f>
        <v>0</v>
      </c>
      <c r="U140" s="818">
        <f t="shared" si="37"/>
        <v>150000</v>
      </c>
      <c r="V140" s="818">
        <v>210000</v>
      </c>
      <c r="W140" s="818">
        <v>210000</v>
      </c>
    </row>
    <row r="141" spans="1:23" ht="12.75">
      <c r="A141" s="1045"/>
      <c r="B141" s="343"/>
      <c r="C141" s="338"/>
      <c r="D141" s="343"/>
      <c r="E141" s="354">
        <v>90</v>
      </c>
      <c r="F141" s="418">
        <v>463</v>
      </c>
      <c r="G141" s="1269" t="s">
        <v>216</v>
      </c>
      <c r="H141" s="1270"/>
      <c r="I141" s="1271"/>
      <c r="J141" s="723">
        <v>135000</v>
      </c>
      <c r="K141" s="723">
        <v>0</v>
      </c>
      <c r="L141" s="723" t="e">
        <f>Rashodi!#REF!+Rashodi!#REF!+Rashodi!#REF!</f>
        <v>#REF!</v>
      </c>
      <c r="M141" s="723">
        <f>Rashodi!M161+Rashodi!M178+Rashodi!M147</f>
        <v>400000</v>
      </c>
      <c r="N141" s="723">
        <f>Rashodi!N161+Rashodi!N178+Rashodi!N147</f>
        <v>0</v>
      </c>
      <c r="O141" s="723">
        <f>Rashodi!O161+Rashodi!O178+Rashodi!O147</f>
        <v>0</v>
      </c>
      <c r="P141" s="723">
        <f>Rashodi!P161+Rashodi!P178+Rashodi!P147</f>
        <v>0</v>
      </c>
      <c r="Q141" s="723">
        <f>Rashodi!Q161+Rashodi!Q178+Rashodi!Q147</f>
        <v>0</v>
      </c>
      <c r="R141" s="723">
        <f>Rashodi!R161+Rashodi!R178+Rashodi!R147</f>
        <v>0</v>
      </c>
      <c r="S141" s="723">
        <f>Rashodi!S161+Rashodi!S178+Rashodi!S147</f>
        <v>0</v>
      </c>
      <c r="T141" s="723">
        <f>Rashodi!T161+Rashodi!T178+Rashodi!T147</f>
        <v>0</v>
      </c>
      <c r="U141" s="818">
        <f t="shared" si="37"/>
        <v>400000</v>
      </c>
      <c r="V141" s="818">
        <v>218000</v>
      </c>
      <c r="W141" s="818">
        <v>218000</v>
      </c>
    </row>
    <row r="142" spans="1:23" ht="12.75">
      <c r="A142" s="1045"/>
      <c r="B142" s="343"/>
      <c r="C142" s="338"/>
      <c r="D142" s="343"/>
      <c r="E142" s="354">
        <v>91</v>
      </c>
      <c r="F142" s="418">
        <v>463</v>
      </c>
      <c r="G142" s="1263" t="s">
        <v>98</v>
      </c>
      <c r="H142" s="1264"/>
      <c r="I142" s="1265"/>
      <c r="J142" s="849">
        <v>3290531</v>
      </c>
      <c r="K142" s="849">
        <v>3098386</v>
      </c>
      <c r="L142" s="849" t="e">
        <f>Rashodi!#REF!+Rashodi!#REF!+Rashodi!#REF!</f>
        <v>#REF!</v>
      </c>
      <c r="M142" s="849">
        <f>Rashodi!M148+Rashodi!M162+Rashodi!M179</f>
        <v>8300000</v>
      </c>
      <c r="N142" s="849">
        <f>Rashodi!N148+Rashodi!N162+Rashodi!N179</f>
        <v>0</v>
      </c>
      <c r="O142" s="849">
        <f>Rashodi!O148+Rashodi!O162+Rashodi!O179</f>
        <v>0</v>
      </c>
      <c r="P142" s="849">
        <f>Rashodi!P148+Rashodi!P162+Rashodi!P179</f>
        <v>0</v>
      </c>
      <c r="Q142" s="849">
        <f>Rashodi!Q148+Rashodi!Q162+Rashodi!Q179</f>
        <v>0</v>
      </c>
      <c r="R142" s="849">
        <f>Rashodi!R148+Rashodi!R162+Rashodi!R179</f>
        <v>0</v>
      </c>
      <c r="S142" s="849">
        <f>Rashodi!S148+Rashodi!S162+Rashodi!S179</f>
        <v>0</v>
      </c>
      <c r="T142" s="849">
        <f>Rashodi!T148+Rashodi!T162+Rashodi!T179</f>
        <v>0</v>
      </c>
      <c r="U142" s="818">
        <f t="shared" si="37"/>
        <v>8300000</v>
      </c>
      <c r="V142" s="818">
        <v>7694000</v>
      </c>
      <c r="W142" s="818">
        <v>7694000</v>
      </c>
    </row>
    <row r="143" spans="1:23" ht="12.75">
      <c r="A143" s="1045"/>
      <c r="B143" s="343"/>
      <c r="C143" s="338"/>
      <c r="D143" s="343"/>
      <c r="E143" s="354">
        <v>92</v>
      </c>
      <c r="F143" s="418">
        <v>463</v>
      </c>
      <c r="G143" s="366" t="s">
        <v>198</v>
      </c>
      <c r="H143" s="419"/>
      <c r="I143" s="420"/>
      <c r="J143" s="849">
        <v>450000</v>
      </c>
      <c r="K143" s="849">
        <v>367131</v>
      </c>
      <c r="L143" s="849" t="e">
        <f>Rashodi!#REF!+Rashodi!#REF!</f>
        <v>#REF!</v>
      </c>
      <c r="M143" s="849">
        <f>Rashodi!M149+Rashodi!M180+Rashodi!M163</f>
        <v>1250000</v>
      </c>
      <c r="N143" s="849">
        <f>Rashodi!N149+Rashodi!N180</f>
        <v>0</v>
      </c>
      <c r="O143" s="849">
        <f>Rashodi!O149+Rashodi!O180</f>
        <v>0</v>
      </c>
      <c r="P143" s="849">
        <f>Rashodi!P149+Rashodi!P180</f>
        <v>0</v>
      </c>
      <c r="Q143" s="849">
        <f>Rashodi!Q149+Rashodi!Q180</f>
        <v>0</v>
      </c>
      <c r="R143" s="849">
        <f>Rashodi!R149+Rashodi!R180</f>
        <v>0</v>
      </c>
      <c r="S143" s="849">
        <f>Rashodi!S149+Rashodi!S180</f>
        <v>0</v>
      </c>
      <c r="T143" s="849">
        <f>Rashodi!T149+Rashodi!T180</f>
        <v>0</v>
      </c>
      <c r="U143" s="818">
        <f t="shared" si="37"/>
        <v>1250000</v>
      </c>
      <c r="V143" s="818">
        <v>600000</v>
      </c>
      <c r="W143" s="818">
        <v>600000</v>
      </c>
    </row>
    <row r="144" spans="1:23" ht="12.75">
      <c r="A144" s="1045"/>
      <c r="B144" s="343"/>
      <c r="C144" s="338"/>
      <c r="D144" s="343"/>
      <c r="E144" s="354">
        <v>93</v>
      </c>
      <c r="F144" s="418">
        <v>463</v>
      </c>
      <c r="G144" s="366" t="s">
        <v>99</v>
      </c>
      <c r="H144" s="419"/>
      <c r="I144" s="437"/>
      <c r="J144" s="870">
        <v>4050000</v>
      </c>
      <c r="K144" s="870">
        <v>2242971.8500000006</v>
      </c>
      <c r="L144" s="870" t="e">
        <f>Rashodi!#REF!+Rashodi!#REF!+Rashodi!#REF!</f>
        <v>#REF!</v>
      </c>
      <c r="M144" s="870">
        <f>Rashodi!M150+Rashodi!M164+Rashodi!M181</f>
        <v>10775341</v>
      </c>
      <c r="N144" s="870">
        <f>Rashodi!N150+Rashodi!N164+Rashodi!N181</f>
        <v>0</v>
      </c>
      <c r="O144" s="870">
        <f>Rashodi!O150+Rashodi!O164+Rashodi!O181</f>
        <v>0</v>
      </c>
      <c r="P144" s="870">
        <f>Rashodi!P150+Rashodi!P164+Rashodi!P181</f>
        <v>0</v>
      </c>
      <c r="Q144" s="870">
        <f>Rashodi!Q150+Rashodi!Q164+Rashodi!Q181</f>
        <v>0</v>
      </c>
      <c r="R144" s="870">
        <f>Rashodi!R150+Rashodi!R164+Rashodi!R181</f>
        <v>0</v>
      </c>
      <c r="S144" s="870">
        <f>Rashodi!S150+Rashodi!S164+Rashodi!S181</f>
        <v>0</v>
      </c>
      <c r="T144" s="870">
        <f>Rashodi!T150+Rashodi!T164+Rashodi!T181</f>
        <v>0</v>
      </c>
      <c r="U144" s="818">
        <f t="shared" si="37"/>
        <v>10775341</v>
      </c>
      <c r="V144" s="818">
        <v>9030841</v>
      </c>
      <c r="W144" s="818">
        <v>9030841</v>
      </c>
    </row>
    <row r="145" spans="1:23" ht="12.75">
      <c r="A145" s="1045"/>
      <c r="B145" s="343"/>
      <c r="C145" s="338"/>
      <c r="D145" s="343"/>
      <c r="E145" s="354">
        <v>94</v>
      </c>
      <c r="F145" s="418">
        <v>463</v>
      </c>
      <c r="G145" s="1263" t="s">
        <v>1149</v>
      </c>
      <c r="H145" s="1264"/>
      <c r="I145" s="1265"/>
      <c r="J145" s="849">
        <v>1395000</v>
      </c>
      <c r="K145" s="849">
        <v>445570.36</v>
      </c>
      <c r="L145" s="849" t="e">
        <f>Rashodi!#REF!+Rashodi!#REF!+Rashodi!#REF!</f>
        <v>#REF!</v>
      </c>
      <c r="M145" s="849">
        <f>Rashodi!M151+Rashodi!M165+Rashodi!M182</f>
        <v>3285000</v>
      </c>
      <c r="N145" s="849">
        <f>Rashodi!N151+Rashodi!N165+Rashodi!N182</f>
        <v>0</v>
      </c>
      <c r="O145" s="849">
        <f>Rashodi!O151+Rashodi!O165+Rashodi!O182</f>
        <v>0</v>
      </c>
      <c r="P145" s="849">
        <f>Rashodi!P151+Rashodi!P165+Rashodi!P182</f>
        <v>0</v>
      </c>
      <c r="Q145" s="849">
        <f>Rashodi!Q151+Rashodi!Q165+Rashodi!Q182</f>
        <v>0</v>
      </c>
      <c r="R145" s="849">
        <f>Rashodi!R151+Rashodi!R165+Rashodi!R182</f>
        <v>0</v>
      </c>
      <c r="S145" s="849">
        <f>Rashodi!S151+Rashodi!S165+Rashodi!S182</f>
        <v>0</v>
      </c>
      <c r="T145" s="849">
        <f>Rashodi!T151+Rashodi!T165+Rashodi!T182</f>
        <v>0</v>
      </c>
      <c r="U145" s="818">
        <f t="shared" si="37"/>
        <v>3285000</v>
      </c>
      <c r="V145" s="818">
        <v>3635000</v>
      </c>
      <c r="W145" s="818">
        <v>3635000</v>
      </c>
    </row>
    <row r="146" spans="1:23" ht="12.75">
      <c r="A146" s="1045"/>
      <c r="B146" s="343"/>
      <c r="C146" s="338"/>
      <c r="D146" s="343"/>
      <c r="E146" s="354">
        <v>95</v>
      </c>
      <c r="F146" s="418">
        <v>463</v>
      </c>
      <c r="G146" s="1263" t="s">
        <v>101</v>
      </c>
      <c r="H146" s="1264"/>
      <c r="I146" s="1265"/>
      <c r="J146" s="849">
        <v>738000</v>
      </c>
      <c r="K146" s="849">
        <v>453933</v>
      </c>
      <c r="L146" s="849" t="e">
        <f>Rashodi!#REF!+Rashodi!#REF!+Rashodi!#REF!</f>
        <v>#REF!</v>
      </c>
      <c r="M146" s="849">
        <f>Rashodi!M152+Rashodi!M166+Rashodi!M183</f>
        <v>1880000</v>
      </c>
      <c r="N146" s="849">
        <f>Rashodi!N152+Rashodi!N166+Rashodi!N183</f>
        <v>0</v>
      </c>
      <c r="O146" s="849">
        <f>Rashodi!O152+Rashodi!O166+Rashodi!O183</f>
        <v>0</v>
      </c>
      <c r="P146" s="849">
        <f>Rashodi!P152+Rashodi!P166+Rashodi!P183</f>
        <v>0</v>
      </c>
      <c r="Q146" s="849">
        <f>Rashodi!Q152+Rashodi!Q166+Rashodi!Q183</f>
        <v>0</v>
      </c>
      <c r="R146" s="849">
        <f>Rashodi!R152+Rashodi!R166+Rashodi!R183</f>
        <v>0</v>
      </c>
      <c r="S146" s="849">
        <f>Rashodi!S152+Rashodi!S166+Rashodi!S183</f>
        <v>0</v>
      </c>
      <c r="T146" s="849">
        <f>Rashodi!T152+Rashodi!T166+Rashodi!T183</f>
        <v>0</v>
      </c>
      <c r="U146" s="818">
        <f t="shared" si="37"/>
        <v>1880000</v>
      </c>
      <c r="V146" s="818">
        <v>1854000</v>
      </c>
      <c r="W146" s="818">
        <v>1854000</v>
      </c>
    </row>
    <row r="147" spans="1:23" ht="12.75">
      <c r="A147" s="1045"/>
      <c r="B147" s="343"/>
      <c r="C147" s="338"/>
      <c r="D147" s="343"/>
      <c r="E147" s="354">
        <v>96</v>
      </c>
      <c r="F147" s="418">
        <v>463</v>
      </c>
      <c r="G147" s="1263" t="s">
        <v>102</v>
      </c>
      <c r="H147" s="1264"/>
      <c r="I147" s="1265"/>
      <c r="J147" s="849">
        <v>160000</v>
      </c>
      <c r="K147" s="849">
        <v>26909</v>
      </c>
      <c r="L147" s="849" t="e">
        <f>Rashodi!#REF!+Rashodi!#REF!+Rashodi!#REF!</f>
        <v>#REF!</v>
      </c>
      <c r="M147" s="849">
        <f>Rashodi!M153+Rashodi!M167+Rashodi!M184</f>
        <v>1320000</v>
      </c>
      <c r="N147" s="849">
        <f>Rashodi!N153+Rashodi!N167+Rashodi!N184</f>
        <v>0</v>
      </c>
      <c r="O147" s="849">
        <f>Rashodi!O153+Rashodi!O167+Rashodi!O184</f>
        <v>0</v>
      </c>
      <c r="P147" s="849">
        <f>Rashodi!P153+Rashodi!P167+Rashodi!P184</f>
        <v>0</v>
      </c>
      <c r="Q147" s="849">
        <f>Rashodi!Q153+Rashodi!Q167+Rashodi!Q184</f>
        <v>0</v>
      </c>
      <c r="R147" s="849">
        <f>Rashodi!R153+Rashodi!R167+Rashodi!R184</f>
        <v>0</v>
      </c>
      <c r="S147" s="849">
        <f>Rashodi!S153+Rashodi!S167+Rashodi!S184</f>
        <v>0</v>
      </c>
      <c r="T147" s="849">
        <f>Rashodi!T153+Rashodi!T167+Rashodi!T184</f>
        <v>0</v>
      </c>
      <c r="U147" s="818">
        <f t="shared" si="37"/>
        <v>1320000</v>
      </c>
      <c r="V147" s="818">
        <v>1320000</v>
      </c>
      <c r="W147" s="818">
        <v>1320000</v>
      </c>
    </row>
    <row r="148" spans="1:23" ht="12.75">
      <c r="A148" s="1045"/>
      <c r="B148" s="343"/>
      <c r="C148" s="338"/>
      <c r="D148" s="343"/>
      <c r="E148" s="354">
        <v>97</v>
      </c>
      <c r="F148" s="418">
        <v>463</v>
      </c>
      <c r="G148" s="1263" t="s">
        <v>103</v>
      </c>
      <c r="H148" s="1264"/>
      <c r="I148" s="1265"/>
      <c r="J148" s="849">
        <v>270000</v>
      </c>
      <c r="K148" s="849">
        <v>85205.6</v>
      </c>
      <c r="L148" s="849" t="e">
        <f>Rashodi!#REF!+Rashodi!#REF!+Rashodi!#REF!</f>
        <v>#REF!</v>
      </c>
      <c r="M148" s="849">
        <f>Rashodi!M154+Rashodi!M168+Rashodi!M185</f>
        <v>1603200</v>
      </c>
      <c r="N148" s="849">
        <f>Rashodi!N154+Rashodi!N168+Rashodi!N185</f>
        <v>0</v>
      </c>
      <c r="O148" s="849">
        <f>Rashodi!O154+Rashodi!O168+Rashodi!O185</f>
        <v>0</v>
      </c>
      <c r="P148" s="849">
        <f>Rashodi!P154+Rashodi!P168+Rashodi!P185</f>
        <v>0</v>
      </c>
      <c r="Q148" s="849">
        <f>Rashodi!Q154+Rashodi!Q168+Rashodi!Q185</f>
        <v>0</v>
      </c>
      <c r="R148" s="849">
        <f>Rashodi!R154+Rashodi!R168+Rashodi!R185</f>
        <v>0</v>
      </c>
      <c r="S148" s="849">
        <f>Rashodi!S154+Rashodi!S168+Rashodi!S185</f>
        <v>0</v>
      </c>
      <c r="T148" s="849">
        <f>Rashodi!T154+Rashodi!T168+Rashodi!T185</f>
        <v>0</v>
      </c>
      <c r="U148" s="818">
        <f t="shared" si="37"/>
        <v>1603200</v>
      </c>
      <c r="V148" s="818">
        <v>1755700</v>
      </c>
      <c r="W148" s="818">
        <v>1755700</v>
      </c>
    </row>
    <row r="149" spans="1:23" ht="12.75">
      <c r="A149" s="1045"/>
      <c r="B149" s="343"/>
      <c r="C149" s="338"/>
      <c r="D149" s="343"/>
      <c r="E149" s="354">
        <v>98</v>
      </c>
      <c r="F149" s="418">
        <v>463</v>
      </c>
      <c r="G149" s="366" t="s">
        <v>104</v>
      </c>
      <c r="H149" s="419"/>
      <c r="I149" s="437"/>
      <c r="J149" s="870">
        <v>1305000</v>
      </c>
      <c r="K149" s="870">
        <v>403026.3300000001</v>
      </c>
      <c r="L149" s="870" t="e">
        <f>Rashodi!#REF!+Rashodi!#REF!+Rashodi!#REF!</f>
        <v>#REF!</v>
      </c>
      <c r="M149" s="870">
        <f>Rashodi!M155+Rashodi!M169+Rashodi!M186</f>
        <v>3370100</v>
      </c>
      <c r="N149" s="870">
        <f>Rashodi!N155+Rashodi!N169+Rashodi!N186</f>
        <v>0</v>
      </c>
      <c r="O149" s="870">
        <f>Rashodi!O155+Rashodi!O169+Rashodi!O186</f>
        <v>0</v>
      </c>
      <c r="P149" s="870">
        <f>Rashodi!P155+Rashodi!P169+Rashodi!P186</f>
        <v>0</v>
      </c>
      <c r="Q149" s="870">
        <f>Rashodi!Q155+Rashodi!Q169+Rashodi!Q186</f>
        <v>0</v>
      </c>
      <c r="R149" s="870">
        <f>Rashodi!R155+Rashodi!R169+Rashodi!R186</f>
        <v>0</v>
      </c>
      <c r="S149" s="870">
        <f>Rashodi!S155+Rashodi!S169+Rashodi!S186</f>
        <v>0</v>
      </c>
      <c r="T149" s="870">
        <f>Rashodi!T155+Rashodi!T169+Rashodi!T186</f>
        <v>0</v>
      </c>
      <c r="U149" s="818">
        <f t="shared" si="37"/>
        <v>3370100</v>
      </c>
      <c r="V149" s="818">
        <v>3411100</v>
      </c>
      <c r="W149" s="818">
        <v>3411100</v>
      </c>
    </row>
    <row r="150" spans="1:23" ht="12.75">
      <c r="A150" s="1045"/>
      <c r="B150" s="343"/>
      <c r="C150" s="338"/>
      <c r="D150" s="343"/>
      <c r="E150" s="354">
        <v>100</v>
      </c>
      <c r="F150" s="418">
        <v>463</v>
      </c>
      <c r="G150" s="1263" t="s">
        <v>105</v>
      </c>
      <c r="H150" s="1264"/>
      <c r="I150" s="1265"/>
      <c r="J150" s="849">
        <v>327000</v>
      </c>
      <c r="K150" s="849">
        <v>295694.31</v>
      </c>
      <c r="L150" s="849" t="e">
        <f>Rashodi!#REF!+Rashodi!#REF!</f>
        <v>#REF!</v>
      </c>
      <c r="M150" s="849">
        <f>Rashodi!M156+Rashodi!M187+Rashodi!M171</f>
        <v>862000</v>
      </c>
      <c r="N150" s="849">
        <f>Rashodi!N156+Rashodi!N187</f>
        <v>0</v>
      </c>
      <c r="O150" s="849">
        <f>Rashodi!O156+Rashodi!O187</f>
        <v>0</v>
      </c>
      <c r="P150" s="849">
        <f>Rashodi!P156+Rashodi!P187</f>
        <v>0</v>
      </c>
      <c r="Q150" s="849">
        <f>Rashodi!Q156+Rashodi!Q187</f>
        <v>0</v>
      </c>
      <c r="R150" s="849">
        <f>Rashodi!R156+Rashodi!R187</f>
        <v>0</v>
      </c>
      <c r="S150" s="849">
        <f>Rashodi!S156+Rashodi!S187</f>
        <v>0</v>
      </c>
      <c r="T150" s="849">
        <f>Rashodi!T156+Rashodi!T187</f>
        <v>0</v>
      </c>
      <c r="U150" s="818">
        <f t="shared" si="37"/>
        <v>862000</v>
      </c>
      <c r="V150" s="818">
        <v>370000</v>
      </c>
      <c r="W150" s="818">
        <v>370000</v>
      </c>
    </row>
    <row r="151" spans="1:23" ht="12.75">
      <c r="A151" s="1045"/>
      <c r="B151" s="343"/>
      <c r="C151" s="338"/>
      <c r="D151" s="343"/>
      <c r="E151" s="354"/>
      <c r="F151" s="418">
        <v>463</v>
      </c>
      <c r="G151" s="1299" t="s">
        <v>1309</v>
      </c>
      <c r="H151" s="1300"/>
      <c r="I151" s="1301"/>
      <c r="J151" s="849"/>
      <c r="K151" s="849"/>
      <c r="L151" s="849" t="e">
        <f>Rashodi!#REF!</f>
        <v>#REF!</v>
      </c>
      <c r="M151" s="849">
        <f>Rashodi!M189</f>
        <v>150000</v>
      </c>
      <c r="N151" s="849">
        <f>Rashodi!N189</f>
        <v>0</v>
      </c>
      <c r="O151" s="849">
        <f>Rashodi!O189</f>
        <v>0</v>
      </c>
      <c r="P151" s="849">
        <f>Rashodi!P189</f>
        <v>0</v>
      </c>
      <c r="Q151" s="849">
        <f>Rashodi!Q189</f>
        <v>0</v>
      </c>
      <c r="R151" s="849">
        <f>Rashodi!R189</f>
        <v>0</v>
      </c>
      <c r="S151" s="849">
        <f>Rashodi!S189</f>
        <v>0</v>
      </c>
      <c r="T151" s="849">
        <f>Rashodi!T189</f>
        <v>0</v>
      </c>
      <c r="U151" s="849">
        <f>Rashodi!U189</f>
        <v>150000</v>
      </c>
      <c r="V151" s="849">
        <v>150000</v>
      </c>
      <c r="W151" s="849">
        <v>150000</v>
      </c>
    </row>
    <row r="152" spans="1:23" ht="12.75">
      <c r="A152" s="1045"/>
      <c r="B152" s="343"/>
      <c r="C152" s="338"/>
      <c r="D152" s="343"/>
      <c r="E152" s="354"/>
      <c r="F152" s="418">
        <v>463</v>
      </c>
      <c r="G152" s="1299" t="s">
        <v>1535</v>
      </c>
      <c r="H152" s="1300"/>
      <c r="I152" s="1301"/>
      <c r="J152" s="849"/>
      <c r="K152" s="849"/>
      <c r="L152" s="849" t="e">
        <f>Rashodi!#REF!+Rashodi!#REF!</f>
        <v>#REF!</v>
      </c>
      <c r="M152" s="849">
        <f>Rashodi!M172+Rashodi!M157</f>
        <v>735000</v>
      </c>
      <c r="N152" s="849">
        <f>Rashodi!N172</f>
        <v>0</v>
      </c>
      <c r="O152" s="849">
        <f>Rashodi!O172</f>
        <v>0</v>
      </c>
      <c r="P152" s="849">
        <f>Rashodi!P172</f>
        <v>0</v>
      </c>
      <c r="Q152" s="849">
        <f>Rashodi!Q172</f>
        <v>0</v>
      </c>
      <c r="R152" s="849">
        <f>Rashodi!R172</f>
        <v>0</v>
      </c>
      <c r="S152" s="849">
        <f>Rashodi!S172</f>
        <v>0</v>
      </c>
      <c r="T152" s="849">
        <f>Rashodi!T172</f>
        <v>0</v>
      </c>
      <c r="U152" s="849">
        <f>Rashodi!U172</f>
        <v>400000</v>
      </c>
      <c r="V152" s="849">
        <v>500000</v>
      </c>
      <c r="W152" s="849">
        <v>500000</v>
      </c>
    </row>
    <row r="153" spans="1:23" ht="12.75">
      <c r="A153" s="1045"/>
      <c r="B153" s="343"/>
      <c r="C153" s="338"/>
      <c r="D153" s="343"/>
      <c r="E153" s="354">
        <v>102</v>
      </c>
      <c r="F153" s="418">
        <v>463</v>
      </c>
      <c r="G153" s="366" t="s">
        <v>106</v>
      </c>
      <c r="H153" s="419"/>
      <c r="I153" s="420"/>
      <c r="J153" s="849">
        <v>500000</v>
      </c>
      <c r="K153" s="849">
        <v>0</v>
      </c>
      <c r="L153" s="849" t="e">
        <f>Rashodi!#REF!+Rashodi!#REF!+Rashodi!#REF!</f>
        <v>#REF!</v>
      </c>
      <c r="M153" s="849">
        <f>Rashodi!M158+Rashodi!M173+Rashodi!M190</f>
        <v>1393190</v>
      </c>
      <c r="N153" s="849">
        <f>Rashodi!N158+Rashodi!N173+Rashodi!N190</f>
        <v>0</v>
      </c>
      <c r="O153" s="849">
        <f>Rashodi!O158+Rashodi!O173+Rashodi!O190</f>
        <v>0</v>
      </c>
      <c r="P153" s="849">
        <f>Rashodi!P158+Rashodi!P173+Rashodi!P190</f>
        <v>0</v>
      </c>
      <c r="Q153" s="849">
        <f>Rashodi!Q158+Rashodi!Q173+Rashodi!Q190</f>
        <v>0</v>
      </c>
      <c r="R153" s="849">
        <f>Rashodi!R158+Rashodi!R173+Rashodi!R190</f>
        <v>0</v>
      </c>
      <c r="S153" s="849">
        <f>Rashodi!S158+Rashodi!S173+Rashodi!S190</f>
        <v>0</v>
      </c>
      <c r="T153" s="849">
        <f>Rashodi!T158+Rashodi!T173+Rashodi!T190</f>
        <v>0</v>
      </c>
      <c r="U153" s="818">
        <f>M153+N153+O153+P153+Q153+R153+S153</f>
        <v>1393190</v>
      </c>
      <c r="V153" s="818">
        <v>2403190</v>
      </c>
      <c r="W153" s="818">
        <v>2403190</v>
      </c>
    </row>
    <row r="154" spans="1:23" ht="12.75">
      <c r="A154" s="1047"/>
      <c r="B154" s="348"/>
      <c r="C154" s="349"/>
      <c r="D154" s="348"/>
      <c r="E154" s="447"/>
      <c r="F154" s="720">
        <v>463</v>
      </c>
      <c r="G154" s="1338" t="s">
        <v>1323</v>
      </c>
      <c r="H154" s="1339"/>
      <c r="I154" s="1340"/>
      <c r="J154" s="857"/>
      <c r="K154" s="857"/>
      <c r="L154" s="857" t="e">
        <f>Rashodi!#REF!</f>
        <v>#REF!</v>
      </c>
      <c r="M154" s="857">
        <f>Rashodi!M174</f>
        <v>19359</v>
      </c>
      <c r="N154" s="857">
        <f>Rashodi!N174</f>
        <v>0</v>
      </c>
      <c r="O154" s="857">
        <f>Rashodi!O174</f>
        <v>0</v>
      </c>
      <c r="P154" s="857">
        <f>Rashodi!P174</f>
        <v>0</v>
      </c>
      <c r="Q154" s="857">
        <f>Rashodi!Q174</f>
        <v>0</v>
      </c>
      <c r="R154" s="857">
        <f>Rashodi!R174</f>
        <v>0</v>
      </c>
      <c r="S154" s="857">
        <f>Rashodi!S174</f>
        <v>0</v>
      </c>
      <c r="T154" s="857">
        <f>Rashodi!T174</f>
        <v>0</v>
      </c>
      <c r="U154" s="857">
        <f>Rashodi!U174</f>
        <v>19359</v>
      </c>
      <c r="V154" s="857">
        <v>70000</v>
      </c>
      <c r="W154" s="857">
        <v>70000</v>
      </c>
    </row>
    <row r="155" spans="1:23" ht="12.75">
      <c r="A155" s="270"/>
      <c r="B155" s="271"/>
      <c r="C155" s="412"/>
      <c r="D155" s="593" t="s">
        <v>1513</v>
      </c>
      <c r="E155" s="412"/>
      <c r="F155" s="413"/>
      <c r="G155" s="1293" t="s">
        <v>1511</v>
      </c>
      <c r="H155" s="1294"/>
      <c r="I155" s="1294"/>
      <c r="J155" s="1012">
        <f aca="true" t="shared" si="39" ref="J155:S156">J156</f>
        <v>6875439</v>
      </c>
      <c r="K155" s="1012">
        <f t="shared" si="39"/>
        <v>2985238.8000000003</v>
      </c>
      <c r="L155" s="1012">
        <f t="shared" si="39"/>
        <v>6875439</v>
      </c>
      <c r="M155" s="1012">
        <f t="shared" si="39"/>
        <v>5300000</v>
      </c>
      <c r="N155" s="272">
        <f t="shared" si="39"/>
        <v>0</v>
      </c>
      <c r="O155" s="272">
        <f t="shared" si="39"/>
        <v>0</v>
      </c>
      <c r="P155" s="272">
        <f t="shared" si="39"/>
        <v>0</v>
      </c>
      <c r="Q155" s="272">
        <f t="shared" si="39"/>
        <v>0</v>
      </c>
      <c r="R155" s="272">
        <f t="shared" si="39"/>
        <v>0</v>
      </c>
      <c r="S155" s="272">
        <f t="shared" si="39"/>
        <v>0</v>
      </c>
      <c r="T155" s="320">
        <f>SUM(N155:S155)</f>
        <v>0</v>
      </c>
      <c r="U155" s="819">
        <f>M155+N155+O155+P155+Q155+R155+S155</f>
        <v>5300000</v>
      </c>
      <c r="V155" s="819">
        <v>5300000</v>
      </c>
      <c r="W155" s="819">
        <v>5300000</v>
      </c>
    </row>
    <row r="156" spans="1:23" ht="12.75">
      <c r="A156" s="270"/>
      <c r="B156" s="271"/>
      <c r="C156" s="412"/>
      <c r="D156" s="332" t="s">
        <v>1514</v>
      </c>
      <c r="E156" s="412"/>
      <c r="F156" s="413"/>
      <c r="G156" s="1260" t="s">
        <v>1512</v>
      </c>
      <c r="H156" s="1261"/>
      <c r="I156" s="1261"/>
      <c r="J156" s="984">
        <f t="shared" si="39"/>
        <v>6875439</v>
      </c>
      <c r="K156" s="984">
        <f t="shared" si="39"/>
        <v>2985238.8000000003</v>
      </c>
      <c r="L156" s="984">
        <f t="shared" si="39"/>
        <v>6875439</v>
      </c>
      <c r="M156" s="984">
        <f t="shared" si="39"/>
        <v>5300000</v>
      </c>
      <c r="N156" s="276">
        <f t="shared" si="39"/>
        <v>0</v>
      </c>
      <c r="O156" s="276">
        <f t="shared" si="39"/>
        <v>0</v>
      </c>
      <c r="P156" s="276">
        <f t="shared" si="39"/>
        <v>0</v>
      </c>
      <c r="Q156" s="276">
        <f t="shared" si="39"/>
        <v>0</v>
      </c>
      <c r="R156" s="276">
        <f t="shared" si="39"/>
        <v>0</v>
      </c>
      <c r="S156" s="276">
        <f t="shared" si="39"/>
        <v>0</v>
      </c>
      <c r="T156" s="321">
        <f>SUM(N156:S156)</f>
        <v>0</v>
      </c>
      <c r="U156" s="819">
        <f>M156+N156+O156+P156+Q156+R156+S156</f>
        <v>5300000</v>
      </c>
      <c r="V156" s="819">
        <v>5300000</v>
      </c>
      <c r="W156" s="819">
        <v>5300000</v>
      </c>
    </row>
    <row r="157" spans="1:23" ht="12.75">
      <c r="A157" s="414"/>
      <c r="B157" s="415"/>
      <c r="C157" s="56">
        <v>920</v>
      </c>
      <c r="D157" s="58"/>
      <c r="E157" s="416"/>
      <c r="F157" s="417"/>
      <c r="G157" s="1296" t="s">
        <v>107</v>
      </c>
      <c r="H157" s="1297"/>
      <c r="I157" s="1298"/>
      <c r="J157" s="727">
        <f>SUM(J158:J168)</f>
        <v>6875439</v>
      </c>
      <c r="K157" s="727">
        <f>SUM(K158:K168)</f>
        <v>2985238.8000000003</v>
      </c>
      <c r="L157" s="727">
        <f>SUM(L158:L168)</f>
        <v>6875439</v>
      </c>
      <c r="M157" s="727">
        <f>SUM(M158:M168)</f>
        <v>5300000</v>
      </c>
      <c r="N157" s="68">
        <f aca="true" t="shared" si="40" ref="N157:S157">SUM(N158:N168)</f>
        <v>0</v>
      </c>
      <c r="O157" s="68">
        <f t="shared" si="40"/>
        <v>0</v>
      </c>
      <c r="P157" s="68">
        <f t="shared" si="40"/>
        <v>0</v>
      </c>
      <c r="Q157" s="68">
        <f t="shared" si="40"/>
        <v>0</v>
      </c>
      <c r="R157" s="68">
        <f t="shared" si="40"/>
        <v>0</v>
      </c>
      <c r="S157" s="68">
        <f t="shared" si="40"/>
        <v>0</v>
      </c>
      <c r="T157" s="324">
        <f>SUM(N157:S157)</f>
        <v>0</v>
      </c>
      <c r="U157" s="1048">
        <f>M157+N157+O157+P157+Q157+R157+S157</f>
        <v>5300000</v>
      </c>
      <c r="V157" s="1048">
        <v>5300000</v>
      </c>
      <c r="W157" s="1048">
        <v>5300000</v>
      </c>
    </row>
    <row r="158" spans="1:23" ht="12.75">
      <c r="A158" s="414"/>
      <c r="B158" s="415"/>
      <c r="C158" s="54"/>
      <c r="D158" s="58"/>
      <c r="E158" s="416">
        <v>129</v>
      </c>
      <c r="F158" s="432">
        <v>463</v>
      </c>
      <c r="G158" s="1263" t="s">
        <v>216</v>
      </c>
      <c r="H158" s="1264"/>
      <c r="I158" s="1265"/>
      <c r="J158" s="849">
        <v>70000</v>
      </c>
      <c r="K158" s="849">
        <v>69789</v>
      </c>
      <c r="L158" s="849">
        <v>70000</v>
      </c>
      <c r="M158" s="849">
        <f>Rashodi!M194</f>
        <v>30000</v>
      </c>
      <c r="N158" s="849">
        <f>Rashodi!N194</f>
        <v>0</v>
      </c>
      <c r="O158" s="849">
        <f>Rashodi!O194</f>
        <v>0</v>
      </c>
      <c r="P158" s="849">
        <f>Rashodi!P194</f>
        <v>0</v>
      </c>
      <c r="Q158" s="849">
        <f>Rashodi!Q194</f>
        <v>0</v>
      </c>
      <c r="R158" s="849">
        <f>Rashodi!R194</f>
        <v>0</v>
      </c>
      <c r="S158" s="849">
        <f>Rashodi!S194</f>
        <v>0</v>
      </c>
      <c r="T158" s="849">
        <f>Rashodi!T194</f>
        <v>0</v>
      </c>
      <c r="U158" s="849">
        <f>Rashodi!U194</f>
        <v>30000</v>
      </c>
      <c r="V158" s="849">
        <v>30000</v>
      </c>
      <c r="W158" s="849">
        <v>30000</v>
      </c>
    </row>
    <row r="159" spans="1:23" ht="12.75">
      <c r="A159" s="336"/>
      <c r="B159" s="343"/>
      <c r="C159" s="338"/>
      <c r="D159" s="343"/>
      <c r="E159" s="416">
        <v>130</v>
      </c>
      <c r="F159" s="418">
        <v>463</v>
      </c>
      <c r="G159" s="1263" t="s">
        <v>108</v>
      </c>
      <c r="H159" s="1264"/>
      <c r="I159" s="1265"/>
      <c r="J159" s="849">
        <v>2652889</v>
      </c>
      <c r="K159" s="849">
        <v>1436906.4000000001</v>
      </c>
      <c r="L159" s="849">
        <v>2652889</v>
      </c>
      <c r="M159" s="849">
        <f>Rashodi!M195</f>
        <v>1215000</v>
      </c>
      <c r="N159" s="849">
        <f>Rashodi!N195</f>
        <v>0</v>
      </c>
      <c r="O159" s="849">
        <f>Rashodi!O195</f>
        <v>0</v>
      </c>
      <c r="P159" s="849">
        <f>Rashodi!P195</f>
        <v>0</v>
      </c>
      <c r="Q159" s="849">
        <f>Rashodi!Q195</f>
        <v>0</v>
      </c>
      <c r="R159" s="849">
        <f>Rashodi!R195</f>
        <v>0</v>
      </c>
      <c r="S159" s="849">
        <f>Rashodi!S195</f>
        <v>0</v>
      </c>
      <c r="T159" s="849">
        <f>Rashodi!T195</f>
        <v>0</v>
      </c>
      <c r="U159" s="849">
        <f>Rashodi!U195</f>
        <v>1215000</v>
      </c>
      <c r="V159" s="849">
        <v>1215000</v>
      </c>
      <c r="W159" s="849">
        <v>1215000</v>
      </c>
    </row>
    <row r="160" spans="1:23" ht="12.75">
      <c r="A160" s="336"/>
      <c r="B160" s="343"/>
      <c r="C160" s="338"/>
      <c r="D160" s="343"/>
      <c r="E160" s="416">
        <v>131</v>
      </c>
      <c r="F160" s="418">
        <v>463</v>
      </c>
      <c r="G160" s="366" t="s">
        <v>198</v>
      </c>
      <c r="H160" s="419"/>
      <c r="I160" s="420"/>
      <c r="J160" s="849">
        <v>255000</v>
      </c>
      <c r="K160" s="849">
        <v>0</v>
      </c>
      <c r="L160" s="849">
        <v>255000</v>
      </c>
      <c r="M160" s="849">
        <f>Rashodi!M196</f>
        <v>255000</v>
      </c>
      <c r="N160" s="849">
        <f>Rashodi!N196</f>
        <v>0</v>
      </c>
      <c r="O160" s="849">
        <f>Rashodi!O196</f>
        <v>0</v>
      </c>
      <c r="P160" s="849">
        <f>Rashodi!P196</f>
        <v>0</v>
      </c>
      <c r="Q160" s="849">
        <f>Rashodi!Q196</f>
        <v>0</v>
      </c>
      <c r="R160" s="849">
        <f>Rashodi!R196</f>
        <v>0</v>
      </c>
      <c r="S160" s="849">
        <f>Rashodi!S196</f>
        <v>0</v>
      </c>
      <c r="T160" s="849">
        <f>Rashodi!T196</f>
        <v>0</v>
      </c>
      <c r="U160" s="849">
        <f>Rashodi!U196</f>
        <v>255000</v>
      </c>
      <c r="V160" s="849">
        <v>255000</v>
      </c>
      <c r="W160" s="849">
        <v>255000</v>
      </c>
    </row>
    <row r="161" spans="1:23" ht="12.75">
      <c r="A161" s="336"/>
      <c r="B161" s="343"/>
      <c r="C161" s="338"/>
      <c r="D161" s="343"/>
      <c r="E161" s="416">
        <v>132</v>
      </c>
      <c r="F161" s="418">
        <v>463</v>
      </c>
      <c r="G161" s="1263" t="s">
        <v>99</v>
      </c>
      <c r="H161" s="1264"/>
      <c r="I161" s="1265"/>
      <c r="J161" s="849">
        <v>2091000</v>
      </c>
      <c r="K161" s="849">
        <v>665575.9899999999</v>
      </c>
      <c r="L161" s="849">
        <v>2091000</v>
      </c>
      <c r="M161" s="849">
        <f>Rashodi!M197</f>
        <v>1953450</v>
      </c>
      <c r="N161" s="849">
        <f>Rashodi!N197</f>
        <v>0</v>
      </c>
      <c r="O161" s="849">
        <f>Rashodi!O197</f>
        <v>0</v>
      </c>
      <c r="P161" s="849">
        <f>Rashodi!P197</f>
        <v>0</v>
      </c>
      <c r="Q161" s="849">
        <f>Rashodi!Q197</f>
        <v>0</v>
      </c>
      <c r="R161" s="849">
        <f>Rashodi!R197</f>
        <v>0</v>
      </c>
      <c r="S161" s="849">
        <f>Rashodi!S197</f>
        <v>0</v>
      </c>
      <c r="T161" s="849">
        <f>Rashodi!T197</f>
        <v>0</v>
      </c>
      <c r="U161" s="849">
        <f>Rashodi!U197</f>
        <v>1953450</v>
      </c>
      <c r="V161" s="849">
        <v>1953450</v>
      </c>
      <c r="W161" s="849">
        <v>1953450</v>
      </c>
    </row>
    <row r="162" spans="1:23" ht="12.75">
      <c r="A162" s="336"/>
      <c r="B162" s="343"/>
      <c r="C162" s="338"/>
      <c r="D162" s="343"/>
      <c r="E162" s="416">
        <v>133</v>
      </c>
      <c r="F162" s="418">
        <v>463</v>
      </c>
      <c r="G162" s="1263" t="s">
        <v>100</v>
      </c>
      <c r="H162" s="1264"/>
      <c r="I162" s="1265"/>
      <c r="J162" s="849">
        <v>70000</v>
      </c>
      <c r="K162" s="849">
        <v>0</v>
      </c>
      <c r="L162" s="849">
        <v>70000</v>
      </c>
      <c r="M162" s="849">
        <f>Rashodi!M198</f>
        <v>70000</v>
      </c>
      <c r="N162" s="849">
        <f>Rashodi!N198</f>
        <v>0</v>
      </c>
      <c r="O162" s="849">
        <f>Rashodi!O198</f>
        <v>0</v>
      </c>
      <c r="P162" s="849">
        <f>Rashodi!P198</f>
        <v>0</v>
      </c>
      <c r="Q162" s="849">
        <f>Rashodi!Q198</f>
        <v>0</v>
      </c>
      <c r="R162" s="849">
        <f>Rashodi!R198</f>
        <v>0</v>
      </c>
      <c r="S162" s="849">
        <f>Rashodi!S198</f>
        <v>0</v>
      </c>
      <c r="T162" s="849">
        <f>Rashodi!T198</f>
        <v>0</v>
      </c>
      <c r="U162" s="849">
        <f>Rashodi!U198</f>
        <v>70000</v>
      </c>
      <c r="V162" s="849">
        <v>70000</v>
      </c>
      <c r="W162" s="849">
        <v>70000</v>
      </c>
    </row>
    <row r="163" spans="1:23" ht="12.75">
      <c r="A163" s="336"/>
      <c r="B163" s="343"/>
      <c r="C163" s="338"/>
      <c r="D163" s="343"/>
      <c r="E163" s="416">
        <v>134</v>
      </c>
      <c r="F163" s="418">
        <v>463</v>
      </c>
      <c r="G163" s="1263" t="s">
        <v>101</v>
      </c>
      <c r="H163" s="1264"/>
      <c r="I163" s="1265"/>
      <c r="J163" s="849">
        <v>206550</v>
      </c>
      <c r="K163" s="849">
        <v>55000</v>
      </c>
      <c r="L163" s="849">
        <v>206550</v>
      </c>
      <c r="M163" s="849">
        <f>Rashodi!M199</f>
        <v>206550</v>
      </c>
      <c r="N163" s="849">
        <f>Rashodi!N199</f>
        <v>0</v>
      </c>
      <c r="O163" s="849">
        <f>Rashodi!O199</f>
        <v>0</v>
      </c>
      <c r="P163" s="849">
        <f>Rashodi!P199</f>
        <v>0</v>
      </c>
      <c r="Q163" s="849">
        <f>Rashodi!Q199</f>
        <v>0</v>
      </c>
      <c r="R163" s="849">
        <f>Rashodi!R199</f>
        <v>0</v>
      </c>
      <c r="S163" s="849">
        <f>Rashodi!S199</f>
        <v>0</v>
      </c>
      <c r="T163" s="849">
        <f>Rashodi!T199</f>
        <v>0</v>
      </c>
      <c r="U163" s="849">
        <f>Rashodi!U199</f>
        <v>206550</v>
      </c>
      <c r="V163" s="849">
        <v>206550</v>
      </c>
      <c r="W163" s="849">
        <v>206550</v>
      </c>
    </row>
    <row r="164" spans="1:23" ht="12.75">
      <c r="A164" s="336"/>
      <c r="B164" s="343"/>
      <c r="C164" s="338"/>
      <c r="D164" s="343"/>
      <c r="E164" s="416">
        <v>135</v>
      </c>
      <c r="F164" s="418">
        <v>463</v>
      </c>
      <c r="G164" s="366" t="s">
        <v>102</v>
      </c>
      <c r="H164" s="419"/>
      <c r="I164" s="420"/>
      <c r="J164" s="849">
        <v>50000</v>
      </c>
      <c r="K164" s="849">
        <v>25800</v>
      </c>
      <c r="L164" s="849">
        <v>50000</v>
      </c>
      <c r="M164" s="849">
        <f>Rashodi!M200</f>
        <v>50000</v>
      </c>
      <c r="N164" s="849">
        <f>Rashodi!N200</f>
        <v>0</v>
      </c>
      <c r="O164" s="849">
        <f>Rashodi!O200</f>
        <v>0</v>
      </c>
      <c r="P164" s="849">
        <f>Rashodi!P200</f>
        <v>0</v>
      </c>
      <c r="Q164" s="849">
        <f>Rashodi!Q200</f>
        <v>0</v>
      </c>
      <c r="R164" s="849">
        <f>Rashodi!R200</f>
        <v>0</v>
      </c>
      <c r="S164" s="849">
        <f>Rashodi!S200</f>
        <v>0</v>
      </c>
      <c r="T164" s="849">
        <f>Rashodi!T200</f>
        <v>0</v>
      </c>
      <c r="U164" s="849">
        <f>Rashodi!U200</f>
        <v>50000</v>
      </c>
      <c r="V164" s="849">
        <v>50000</v>
      </c>
      <c r="W164" s="849">
        <v>50000</v>
      </c>
    </row>
    <row r="165" spans="1:23" ht="12.75">
      <c r="A165" s="336"/>
      <c r="B165" s="343"/>
      <c r="C165" s="338"/>
      <c r="D165" s="343"/>
      <c r="E165" s="416">
        <v>136</v>
      </c>
      <c r="F165" s="418">
        <v>463</v>
      </c>
      <c r="G165" s="1263" t="s">
        <v>103</v>
      </c>
      <c r="H165" s="1264"/>
      <c r="I165" s="1265"/>
      <c r="J165" s="849">
        <v>460000</v>
      </c>
      <c r="K165" s="849">
        <v>212382.47</v>
      </c>
      <c r="L165" s="849">
        <v>460000</v>
      </c>
      <c r="M165" s="849">
        <f>Rashodi!M201</f>
        <v>500000</v>
      </c>
      <c r="N165" s="849">
        <f>Rashodi!N201</f>
        <v>0</v>
      </c>
      <c r="O165" s="849">
        <f>Rashodi!O201</f>
        <v>0</v>
      </c>
      <c r="P165" s="849">
        <f>Rashodi!P201</f>
        <v>0</v>
      </c>
      <c r="Q165" s="849">
        <f>Rashodi!Q201</f>
        <v>0</v>
      </c>
      <c r="R165" s="849">
        <f>Rashodi!R201</f>
        <v>0</v>
      </c>
      <c r="S165" s="849">
        <f>Rashodi!S201</f>
        <v>0</v>
      </c>
      <c r="T165" s="849">
        <f>Rashodi!T201</f>
        <v>0</v>
      </c>
      <c r="U165" s="849">
        <f>Rashodi!U201</f>
        <v>500000</v>
      </c>
      <c r="V165" s="849">
        <v>500000</v>
      </c>
      <c r="W165" s="849">
        <v>500000</v>
      </c>
    </row>
    <row r="166" spans="1:23" ht="12.75">
      <c r="A166" s="336"/>
      <c r="B166" s="343"/>
      <c r="C166" s="338"/>
      <c r="D166" s="343"/>
      <c r="E166" s="354">
        <v>137</v>
      </c>
      <c r="F166" s="418">
        <v>463</v>
      </c>
      <c r="G166" s="1263" t="s">
        <v>104</v>
      </c>
      <c r="H166" s="1264"/>
      <c r="I166" s="1265"/>
      <c r="J166" s="849">
        <v>940000</v>
      </c>
      <c r="K166" s="849">
        <v>496016.94000000006</v>
      </c>
      <c r="L166" s="849">
        <v>940000</v>
      </c>
      <c r="M166" s="849">
        <f>Rashodi!M202</f>
        <v>940000</v>
      </c>
      <c r="N166" s="849">
        <f>Rashodi!N202</f>
        <v>0</v>
      </c>
      <c r="O166" s="849">
        <f>Rashodi!O202</f>
        <v>0</v>
      </c>
      <c r="P166" s="849">
        <f>Rashodi!P202</f>
        <v>0</v>
      </c>
      <c r="Q166" s="849">
        <f>Rashodi!Q202</f>
        <v>0</v>
      </c>
      <c r="R166" s="849">
        <f>Rashodi!R202</f>
        <v>0</v>
      </c>
      <c r="S166" s="849">
        <f>Rashodi!S202</f>
        <v>0</v>
      </c>
      <c r="T166" s="849">
        <f>Rashodi!T202</f>
        <v>0</v>
      </c>
      <c r="U166" s="849">
        <f>Rashodi!U202</f>
        <v>940000</v>
      </c>
      <c r="V166" s="849">
        <v>940000</v>
      </c>
      <c r="W166" s="849">
        <v>940000</v>
      </c>
    </row>
    <row r="167" spans="1:23" ht="12.75">
      <c r="A167" s="336"/>
      <c r="B167" s="343"/>
      <c r="C167" s="338"/>
      <c r="D167" s="343"/>
      <c r="E167" s="354">
        <v>138</v>
      </c>
      <c r="F167" s="418">
        <v>463</v>
      </c>
      <c r="G167" s="1263" t="s">
        <v>105</v>
      </c>
      <c r="H167" s="1264"/>
      <c r="I167" s="1265"/>
      <c r="J167" s="849">
        <v>15000</v>
      </c>
      <c r="K167" s="849">
        <v>0</v>
      </c>
      <c r="L167" s="849">
        <v>15000</v>
      </c>
      <c r="M167" s="849">
        <f>Rashodi!M203</f>
        <v>15000</v>
      </c>
      <c r="N167" s="849">
        <f>Rashodi!N203</f>
        <v>0</v>
      </c>
      <c r="O167" s="849">
        <f>Rashodi!O203</f>
        <v>0</v>
      </c>
      <c r="P167" s="849">
        <f>Rashodi!P203</f>
        <v>0</v>
      </c>
      <c r="Q167" s="849">
        <f>Rashodi!Q203</f>
        <v>0</v>
      </c>
      <c r="R167" s="849">
        <f>Rashodi!R203</f>
        <v>0</v>
      </c>
      <c r="S167" s="849">
        <f>Rashodi!S203</f>
        <v>0</v>
      </c>
      <c r="T167" s="849">
        <f>Rashodi!T203</f>
        <v>0</v>
      </c>
      <c r="U167" s="849">
        <f>Rashodi!U203</f>
        <v>15000</v>
      </c>
      <c r="V167" s="849">
        <v>15000</v>
      </c>
      <c r="W167" s="849">
        <v>15000</v>
      </c>
    </row>
    <row r="168" spans="1:23" ht="12.75">
      <c r="A168" s="336"/>
      <c r="B168" s="343"/>
      <c r="C168" s="338"/>
      <c r="D168" s="343"/>
      <c r="E168" s="354">
        <v>139</v>
      </c>
      <c r="F168" s="418">
        <v>463</v>
      </c>
      <c r="G168" s="366" t="s">
        <v>106</v>
      </c>
      <c r="H168" s="419"/>
      <c r="I168" s="420"/>
      <c r="J168" s="850">
        <v>65000</v>
      </c>
      <c r="K168" s="850">
        <v>23768</v>
      </c>
      <c r="L168" s="850">
        <v>65000</v>
      </c>
      <c r="M168" s="849">
        <f>Rashodi!M204</f>
        <v>65000</v>
      </c>
      <c r="N168" s="849">
        <f>Rashodi!N204</f>
        <v>0</v>
      </c>
      <c r="O168" s="849">
        <f>Rashodi!O204</f>
        <v>0</v>
      </c>
      <c r="P168" s="849">
        <f>Rashodi!P204</f>
        <v>0</v>
      </c>
      <c r="Q168" s="849">
        <f>Rashodi!Q204</f>
        <v>0</v>
      </c>
      <c r="R168" s="849">
        <f>Rashodi!R204</f>
        <v>0</v>
      </c>
      <c r="S168" s="849">
        <f>Rashodi!S204</f>
        <v>0</v>
      </c>
      <c r="T168" s="849">
        <f>Rashodi!T204</f>
        <v>0</v>
      </c>
      <c r="U168" s="849">
        <f>Rashodi!U204</f>
        <v>65000</v>
      </c>
      <c r="V168" s="849">
        <v>65000</v>
      </c>
      <c r="W168" s="849">
        <v>65000</v>
      </c>
    </row>
    <row r="169" spans="1:23" ht="12.75">
      <c r="A169" s="270"/>
      <c r="B169" s="271"/>
      <c r="C169" s="412"/>
      <c r="D169" s="593" t="s">
        <v>1524</v>
      </c>
      <c r="E169" s="412"/>
      <c r="F169" s="413"/>
      <c r="G169" s="1293" t="s">
        <v>288</v>
      </c>
      <c r="H169" s="1294"/>
      <c r="I169" s="1294"/>
      <c r="J169" s="994">
        <f>J170+J188+J196+J204</f>
        <v>51129000</v>
      </c>
      <c r="K169" s="994">
        <f>K170+K188+K196+K204</f>
        <v>21733055.759999998</v>
      </c>
      <c r="L169" s="994">
        <f>L170+L188+L196+L204</f>
        <v>49129000</v>
      </c>
      <c r="M169" s="994">
        <f>M170+M188+M196+M204+M208</f>
        <v>58441300</v>
      </c>
      <c r="N169" s="272">
        <f>N170+N188+N196+N204+N208</f>
        <v>0</v>
      </c>
      <c r="O169" s="272">
        <f>O170+O188+O196+O204+O208</f>
        <v>0</v>
      </c>
      <c r="P169" s="272">
        <f>P170+P188+P196+P204+P208</f>
        <v>4056580</v>
      </c>
      <c r="Q169" s="272">
        <f>Q170+Q188+Q196+Q204+Q39</f>
        <v>0</v>
      </c>
      <c r="R169" s="272">
        <f>R170+R188+R196+R204+R208</f>
        <v>0</v>
      </c>
      <c r="S169" s="272">
        <f>S170+S188+S196+S204</f>
        <v>0</v>
      </c>
      <c r="T169" s="320">
        <f>SUM(N169:S169)</f>
        <v>4056580</v>
      </c>
      <c r="U169" s="819">
        <f aca="true" t="shared" si="41" ref="U169:U189">M169+N169+O169+P169+Q169+R169+S169</f>
        <v>62497880</v>
      </c>
      <c r="V169" s="819">
        <v>50404000</v>
      </c>
      <c r="W169" s="819">
        <v>50404000</v>
      </c>
    </row>
    <row r="170" spans="1:23" ht="12.75">
      <c r="A170" s="270"/>
      <c r="B170" s="271"/>
      <c r="C170" s="412"/>
      <c r="D170" s="332" t="s">
        <v>1525</v>
      </c>
      <c r="E170" s="412"/>
      <c r="F170" s="413"/>
      <c r="G170" s="1260" t="s">
        <v>1293</v>
      </c>
      <c r="H170" s="1261"/>
      <c r="I170" s="1261"/>
      <c r="J170" s="984">
        <f aca="true" t="shared" si="42" ref="J170:S170">J171</f>
        <v>6682000</v>
      </c>
      <c r="K170" s="984">
        <f t="shared" si="42"/>
        <v>3005768.35</v>
      </c>
      <c r="L170" s="984">
        <f t="shared" si="42"/>
        <v>7162000</v>
      </c>
      <c r="M170" s="984">
        <f t="shared" si="42"/>
        <v>7069300</v>
      </c>
      <c r="N170" s="276">
        <f t="shared" si="42"/>
        <v>0</v>
      </c>
      <c r="O170" s="276">
        <f t="shared" si="42"/>
        <v>0</v>
      </c>
      <c r="P170" s="276">
        <f t="shared" si="42"/>
        <v>0</v>
      </c>
      <c r="Q170" s="276">
        <f t="shared" si="42"/>
        <v>0</v>
      </c>
      <c r="R170" s="276">
        <f t="shared" si="42"/>
        <v>0</v>
      </c>
      <c r="S170" s="276">
        <f t="shared" si="42"/>
        <v>0</v>
      </c>
      <c r="T170" s="321">
        <f aca="true" t="shared" si="43" ref="T170:T239">SUM(N170:S170)</f>
        <v>0</v>
      </c>
      <c r="U170" s="819">
        <f t="shared" si="41"/>
        <v>7069300</v>
      </c>
      <c r="V170" s="819">
        <v>6462000</v>
      </c>
      <c r="W170" s="819">
        <v>6462000</v>
      </c>
    </row>
    <row r="171" spans="1:23" ht="12.75">
      <c r="A171" s="414"/>
      <c r="B171" s="415"/>
      <c r="C171" s="167" t="s">
        <v>21</v>
      </c>
      <c r="D171" s="58"/>
      <c r="E171" s="416"/>
      <c r="F171" s="417"/>
      <c r="G171" s="1296" t="s">
        <v>110</v>
      </c>
      <c r="H171" s="1297"/>
      <c r="I171" s="1298"/>
      <c r="J171" s="727">
        <f>SUM(J172:J187)</f>
        <v>6682000</v>
      </c>
      <c r="K171" s="727">
        <f>SUM(K172:K187)</f>
        <v>3005768.35</v>
      </c>
      <c r="L171" s="727">
        <f>SUM(L172:L187)</f>
        <v>7162000</v>
      </c>
      <c r="M171" s="727">
        <f>SUM(M172:M187)</f>
        <v>7069300</v>
      </c>
      <c r="N171" s="65">
        <f aca="true" t="shared" si="44" ref="N171:S171">SUM(N172:N187)</f>
        <v>0</v>
      </c>
      <c r="O171" s="65">
        <f t="shared" si="44"/>
        <v>0</v>
      </c>
      <c r="P171" s="65">
        <f t="shared" si="44"/>
        <v>0</v>
      </c>
      <c r="Q171" s="65">
        <f t="shared" si="44"/>
        <v>0</v>
      </c>
      <c r="R171" s="65">
        <f t="shared" si="44"/>
        <v>0</v>
      </c>
      <c r="S171" s="65">
        <f t="shared" si="44"/>
        <v>0</v>
      </c>
      <c r="T171" s="325">
        <f t="shared" si="43"/>
        <v>0</v>
      </c>
      <c r="U171" s="1048">
        <f t="shared" si="41"/>
        <v>7069300</v>
      </c>
      <c r="V171" s="1048">
        <v>6462000</v>
      </c>
      <c r="W171" s="1048">
        <v>6462000</v>
      </c>
    </row>
    <row r="172" spans="1:23" ht="12.75">
      <c r="A172" s="336"/>
      <c r="B172" s="343"/>
      <c r="C172" s="338"/>
      <c r="D172" s="343"/>
      <c r="E172" s="354">
        <v>140</v>
      </c>
      <c r="F172" s="428">
        <v>463</v>
      </c>
      <c r="G172" s="1257" t="s">
        <v>111</v>
      </c>
      <c r="H172" s="1258"/>
      <c r="I172" s="1259"/>
      <c r="J172" s="723">
        <v>1095000</v>
      </c>
      <c r="K172" s="723">
        <v>451425.86</v>
      </c>
      <c r="L172" s="723">
        <v>1095000</v>
      </c>
      <c r="M172" s="723">
        <f>Rashodi!M208</f>
        <v>1432000</v>
      </c>
      <c r="N172" s="340">
        <v>0</v>
      </c>
      <c r="O172" s="395">
        <v>0</v>
      </c>
      <c r="P172" s="395">
        <v>0</v>
      </c>
      <c r="Q172" s="398">
        <v>0</v>
      </c>
      <c r="R172" s="395">
        <v>0</v>
      </c>
      <c r="S172" s="398">
        <v>0</v>
      </c>
      <c r="T172" s="398">
        <f t="shared" si="43"/>
        <v>0</v>
      </c>
      <c r="U172" s="818">
        <f t="shared" si="41"/>
        <v>1432000</v>
      </c>
      <c r="V172" s="818">
        <v>1272000</v>
      </c>
      <c r="W172" s="818">
        <v>1272000</v>
      </c>
    </row>
    <row r="173" spans="1:23" ht="12.75">
      <c r="A173" s="336"/>
      <c r="B173" s="343"/>
      <c r="C173" s="338"/>
      <c r="D173" s="343"/>
      <c r="E173" s="354">
        <v>141</v>
      </c>
      <c r="F173" s="428">
        <v>463</v>
      </c>
      <c r="G173" s="1257" t="s">
        <v>112</v>
      </c>
      <c r="H173" s="1258"/>
      <c r="I173" s="1259"/>
      <c r="J173" s="723">
        <v>188000</v>
      </c>
      <c r="K173" s="723">
        <v>75162.40000000001</v>
      </c>
      <c r="L173" s="723">
        <v>188000</v>
      </c>
      <c r="M173" s="723">
        <f>Rashodi!M209</f>
        <v>232000</v>
      </c>
      <c r="N173" s="340">
        <v>0</v>
      </c>
      <c r="O173" s="395">
        <v>0</v>
      </c>
      <c r="P173" s="395">
        <v>0</v>
      </c>
      <c r="Q173" s="398">
        <v>0</v>
      </c>
      <c r="R173" s="395">
        <v>0</v>
      </c>
      <c r="S173" s="398">
        <v>0</v>
      </c>
      <c r="T173" s="398">
        <f t="shared" si="43"/>
        <v>0</v>
      </c>
      <c r="U173" s="818">
        <f t="shared" si="41"/>
        <v>232000</v>
      </c>
      <c r="V173" s="818">
        <v>217000</v>
      </c>
      <c r="W173" s="818">
        <v>217000</v>
      </c>
    </row>
    <row r="174" spans="1:23" ht="12.75">
      <c r="A174" s="336"/>
      <c r="B174" s="343"/>
      <c r="C174" s="338"/>
      <c r="D174" s="343"/>
      <c r="E174" s="354">
        <v>142</v>
      </c>
      <c r="F174" s="428">
        <v>463</v>
      </c>
      <c r="G174" s="334" t="s">
        <v>216</v>
      </c>
      <c r="H174" s="426"/>
      <c r="I174" s="427"/>
      <c r="J174" s="723">
        <v>1000</v>
      </c>
      <c r="K174" s="723">
        <v>0</v>
      </c>
      <c r="L174" s="723">
        <v>1000</v>
      </c>
      <c r="M174" s="723">
        <f>Rashodi!M210</f>
        <v>23300</v>
      </c>
      <c r="N174" s="340">
        <v>0</v>
      </c>
      <c r="O174" s="395">
        <v>0</v>
      </c>
      <c r="P174" s="395">
        <v>0</v>
      </c>
      <c r="Q174" s="398">
        <v>0</v>
      </c>
      <c r="R174" s="395">
        <v>0</v>
      </c>
      <c r="S174" s="398">
        <v>0</v>
      </c>
      <c r="T174" s="398"/>
      <c r="U174" s="818">
        <f t="shared" si="41"/>
        <v>23300</v>
      </c>
      <c r="V174" s="818">
        <v>1000</v>
      </c>
      <c r="W174" s="818">
        <v>1000</v>
      </c>
    </row>
    <row r="175" spans="1:23" ht="12.75">
      <c r="A175" s="336"/>
      <c r="B175" s="343"/>
      <c r="C175" s="338"/>
      <c r="D175" s="343"/>
      <c r="E175" s="354">
        <v>143</v>
      </c>
      <c r="F175" s="428">
        <v>463</v>
      </c>
      <c r="G175" s="1257" t="s">
        <v>98</v>
      </c>
      <c r="H175" s="1258"/>
      <c r="I175" s="1259"/>
      <c r="J175" s="723">
        <v>320000</v>
      </c>
      <c r="K175" s="723">
        <v>89066.59000000001</v>
      </c>
      <c r="L175" s="723">
        <v>320000</v>
      </c>
      <c r="M175" s="723">
        <f>Rashodi!M211</f>
        <v>310000</v>
      </c>
      <c r="N175" s="340">
        <v>0</v>
      </c>
      <c r="O175" s="395">
        <v>0</v>
      </c>
      <c r="P175" s="395">
        <v>0</v>
      </c>
      <c r="Q175" s="398">
        <v>0</v>
      </c>
      <c r="R175" s="395">
        <v>0</v>
      </c>
      <c r="S175" s="398">
        <v>0</v>
      </c>
      <c r="T175" s="398">
        <f t="shared" si="43"/>
        <v>0</v>
      </c>
      <c r="U175" s="818">
        <f t="shared" si="41"/>
        <v>310000</v>
      </c>
      <c r="V175" s="818">
        <v>310000</v>
      </c>
      <c r="W175" s="818">
        <v>310000</v>
      </c>
    </row>
    <row r="176" spans="1:23" ht="12.75">
      <c r="A176" s="336"/>
      <c r="B176" s="343"/>
      <c r="C176" s="338"/>
      <c r="D176" s="343"/>
      <c r="E176" s="354">
        <v>144</v>
      </c>
      <c r="F176" s="428">
        <v>463</v>
      </c>
      <c r="G176" s="1269" t="s">
        <v>99</v>
      </c>
      <c r="H176" s="1270"/>
      <c r="I176" s="1271"/>
      <c r="J176" s="723">
        <v>280000</v>
      </c>
      <c r="K176" s="723">
        <v>98148.14</v>
      </c>
      <c r="L176" s="723">
        <v>280000</v>
      </c>
      <c r="M176" s="723">
        <f>Rashodi!M212</f>
        <v>280000</v>
      </c>
      <c r="N176" s="340">
        <v>0</v>
      </c>
      <c r="O176" s="395">
        <v>0</v>
      </c>
      <c r="P176" s="395">
        <v>0</v>
      </c>
      <c r="Q176" s="398">
        <v>0</v>
      </c>
      <c r="R176" s="395">
        <v>0</v>
      </c>
      <c r="S176" s="398">
        <v>0</v>
      </c>
      <c r="T176" s="398">
        <f t="shared" si="43"/>
        <v>0</v>
      </c>
      <c r="U176" s="818">
        <f t="shared" si="41"/>
        <v>280000</v>
      </c>
      <c r="V176" s="818">
        <v>280000</v>
      </c>
      <c r="W176" s="818">
        <v>280000</v>
      </c>
    </row>
    <row r="177" spans="1:23" ht="12.75">
      <c r="A177" s="336"/>
      <c r="B177" s="343"/>
      <c r="C177" s="338"/>
      <c r="D177" s="343"/>
      <c r="E177" s="354">
        <v>145</v>
      </c>
      <c r="F177" s="428">
        <v>463</v>
      </c>
      <c r="G177" s="1269" t="s">
        <v>206</v>
      </c>
      <c r="H177" s="1270"/>
      <c r="I177" s="1271"/>
      <c r="J177" s="723">
        <v>80000</v>
      </c>
      <c r="K177" s="723">
        <v>0</v>
      </c>
      <c r="L177" s="723">
        <v>60000</v>
      </c>
      <c r="M177" s="723">
        <f>Rashodi!M213</f>
        <v>60000</v>
      </c>
      <c r="N177" s="340">
        <v>0</v>
      </c>
      <c r="O177" s="395">
        <v>0</v>
      </c>
      <c r="P177" s="395">
        <v>0</v>
      </c>
      <c r="Q177" s="398">
        <v>0</v>
      </c>
      <c r="R177" s="395">
        <v>0</v>
      </c>
      <c r="S177" s="398">
        <v>0</v>
      </c>
      <c r="T177" s="398">
        <f t="shared" si="43"/>
        <v>0</v>
      </c>
      <c r="U177" s="818">
        <f t="shared" si="41"/>
        <v>60000</v>
      </c>
      <c r="V177" s="818">
        <v>80000</v>
      </c>
      <c r="W177" s="818">
        <v>80000</v>
      </c>
    </row>
    <row r="178" spans="1:23" ht="12.75">
      <c r="A178" s="336"/>
      <c r="B178" s="343"/>
      <c r="C178" s="338"/>
      <c r="D178" s="343"/>
      <c r="E178" s="354">
        <v>146</v>
      </c>
      <c r="F178" s="428">
        <v>463</v>
      </c>
      <c r="G178" s="1257" t="s">
        <v>101</v>
      </c>
      <c r="H178" s="1258"/>
      <c r="I178" s="1259"/>
      <c r="J178" s="723">
        <v>2546000</v>
      </c>
      <c r="K178" s="723">
        <v>1245910.86</v>
      </c>
      <c r="L178" s="723">
        <v>2546000</v>
      </c>
      <c r="M178" s="723">
        <f>Rashodi!M214</f>
        <v>2410000</v>
      </c>
      <c r="N178" s="340">
        <v>0</v>
      </c>
      <c r="O178" s="395">
        <v>0</v>
      </c>
      <c r="P178" s="395">
        <v>0</v>
      </c>
      <c r="Q178" s="398">
        <v>0</v>
      </c>
      <c r="R178" s="395">
        <v>0</v>
      </c>
      <c r="S178" s="398">
        <v>0</v>
      </c>
      <c r="T178" s="398">
        <f t="shared" si="43"/>
        <v>0</v>
      </c>
      <c r="U178" s="818">
        <f t="shared" si="41"/>
        <v>2410000</v>
      </c>
      <c r="V178" s="818">
        <v>2350000</v>
      </c>
      <c r="W178" s="818">
        <v>2350000</v>
      </c>
    </row>
    <row r="179" spans="1:23" ht="12.75">
      <c r="A179" s="336"/>
      <c r="B179" s="343"/>
      <c r="C179" s="338"/>
      <c r="D179" s="343"/>
      <c r="E179" s="354">
        <v>147</v>
      </c>
      <c r="F179" s="428">
        <v>463</v>
      </c>
      <c r="G179" s="1257" t="s">
        <v>103</v>
      </c>
      <c r="H179" s="1258"/>
      <c r="I179" s="1259"/>
      <c r="J179" s="723">
        <v>70000</v>
      </c>
      <c r="K179" s="723">
        <v>39040</v>
      </c>
      <c r="L179" s="723">
        <v>70000</v>
      </c>
      <c r="M179" s="723">
        <f>Rashodi!M215</f>
        <v>70000</v>
      </c>
      <c r="N179" s="340">
        <v>0</v>
      </c>
      <c r="O179" s="395">
        <v>0</v>
      </c>
      <c r="P179" s="395">
        <v>0</v>
      </c>
      <c r="Q179" s="398">
        <v>0</v>
      </c>
      <c r="R179" s="395">
        <v>0</v>
      </c>
      <c r="S179" s="398">
        <v>0</v>
      </c>
      <c r="T179" s="398">
        <f t="shared" si="43"/>
        <v>0</v>
      </c>
      <c r="U179" s="818">
        <f t="shared" si="41"/>
        <v>70000</v>
      </c>
      <c r="V179" s="818">
        <v>70000</v>
      </c>
      <c r="W179" s="818">
        <v>70000</v>
      </c>
    </row>
    <row r="180" spans="1:23" ht="12.75">
      <c r="A180" s="336"/>
      <c r="B180" s="343"/>
      <c r="C180" s="338"/>
      <c r="D180" s="343"/>
      <c r="E180" s="354">
        <v>148</v>
      </c>
      <c r="F180" s="428">
        <v>463</v>
      </c>
      <c r="G180" s="1269" t="s">
        <v>104</v>
      </c>
      <c r="H180" s="1270"/>
      <c r="I180" s="1271"/>
      <c r="J180" s="723">
        <v>300000</v>
      </c>
      <c r="K180" s="723">
        <v>99749.5</v>
      </c>
      <c r="L180" s="723">
        <v>300000</v>
      </c>
      <c r="M180" s="723">
        <f>Rashodi!M216</f>
        <v>300000</v>
      </c>
      <c r="N180" s="340">
        <v>0</v>
      </c>
      <c r="O180" s="395">
        <v>0</v>
      </c>
      <c r="P180" s="395">
        <v>0</v>
      </c>
      <c r="Q180" s="398">
        <v>0</v>
      </c>
      <c r="R180" s="395">
        <v>0</v>
      </c>
      <c r="S180" s="398">
        <v>0</v>
      </c>
      <c r="T180" s="398">
        <f t="shared" si="43"/>
        <v>0</v>
      </c>
      <c r="U180" s="818">
        <f t="shared" si="41"/>
        <v>300000</v>
      </c>
      <c r="V180" s="818">
        <v>300000</v>
      </c>
      <c r="W180" s="818">
        <v>300000</v>
      </c>
    </row>
    <row r="181" spans="1:23" ht="12.75">
      <c r="A181" s="336"/>
      <c r="B181" s="343"/>
      <c r="C181" s="338"/>
      <c r="D181" s="343"/>
      <c r="E181" s="354">
        <v>149</v>
      </c>
      <c r="F181" s="428">
        <v>463</v>
      </c>
      <c r="G181" s="1257" t="s">
        <v>1372</v>
      </c>
      <c r="H181" s="1258"/>
      <c r="I181" s="1259"/>
      <c r="J181" s="723">
        <v>300000</v>
      </c>
      <c r="K181" s="723">
        <v>262476.39</v>
      </c>
      <c r="L181" s="723">
        <v>600000</v>
      </c>
      <c r="M181" s="723">
        <f>Rashodi!M217</f>
        <v>600000</v>
      </c>
      <c r="N181" s="340">
        <v>0</v>
      </c>
      <c r="O181" s="395">
        <v>0</v>
      </c>
      <c r="P181" s="395">
        <v>0</v>
      </c>
      <c r="Q181" s="398">
        <v>0</v>
      </c>
      <c r="R181" s="395">
        <v>0</v>
      </c>
      <c r="S181" s="398">
        <v>0</v>
      </c>
      <c r="T181" s="398">
        <f t="shared" si="43"/>
        <v>0</v>
      </c>
      <c r="U181" s="818">
        <f t="shared" si="41"/>
        <v>600000</v>
      </c>
      <c r="V181" s="818">
        <v>600000</v>
      </c>
      <c r="W181" s="818">
        <v>600000</v>
      </c>
    </row>
    <row r="182" spans="1:23" ht="12.75">
      <c r="A182" s="336"/>
      <c r="B182" s="343"/>
      <c r="C182" s="338"/>
      <c r="D182" s="343"/>
      <c r="E182" s="354">
        <v>150</v>
      </c>
      <c r="F182" s="428">
        <v>463</v>
      </c>
      <c r="G182" s="1257" t="s">
        <v>1381</v>
      </c>
      <c r="H182" s="1258"/>
      <c r="I182" s="1259"/>
      <c r="J182" s="723">
        <v>100000</v>
      </c>
      <c r="K182" s="723">
        <v>0</v>
      </c>
      <c r="L182" s="723">
        <v>100000</v>
      </c>
      <c r="M182" s="723">
        <f>Rashodi!M218</f>
        <v>100000</v>
      </c>
      <c r="N182" s="340">
        <v>0</v>
      </c>
      <c r="O182" s="395">
        <v>0</v>
      </c>
      <c r="P182" s="395">
        <v>0</v>
      </c>
      <c r="Q182" s="398">
        <v>0</v>
      </c>
      <c r="R182" s="395">
        <v>0</v>
      </c>
      <c r="S182" s="398">
        <v>0</v>
      </c>
      <c r="T182" s="398">
        <f t="shared" si="43"/>
        <v>0</v>
      </c>
      <c r="U182" s="818">
        <f t="shared" si="41"/>
        <v>100000</v>
      </c>
      <c r="V182" s="818">
        <v>100000</v>
      </c>
      <c r="W182" s="818">
        <v>100000</v>
      </c>
    </row>
    <row r="183" spans="1:23" ht="12.75">
      <c r="A183" s="336"/>
      <c r="B183" s="343"/>
      <c r="C183" s="338"/>
      <c r="D183" s="343"/>
      <c r="E183" s="354">
        <v>151</v>
      </c>
      <c r="F183" s="428">
        <v>463</v>
      </c>
      <c r="G183" s="1257" t="s">
        <v>1382</v>
      </c>
      <c r="H183" s="1258"/>
      <c r="I183" s="1259"/>
      <c r="J183" s="723">
        <v>1200000</v>
      </c>
      <c r="K183" s="723">
        <v>644788.61</v>
      </c>
      <c r="L183" s="723">
        <v>1400000</v>
      </c>
      <c r="M183" s="723">
        <f>Rashodi!M219</f>
        <v>1100000</v>
      </c>
      <c r="N183" s="340">
        <v>0</v>
      </c>
      <c r="O183" s="395">
        <v>0</v>
      </c>
      <c r="P183" s="395">
        <v>0</v>
      </c>
      <c r="Q183" s="398">
        <v>0</v>
      </c>
      <c r="R183" s="395">
        <v>0</v>
      </c>
      <c r="S183" s="398">
        <v>0</v>
      </c>
      <c r="T183" s="398">
        <f t="shared" si="43"/>
        <v>0</v>
      </c>
      <c r="U183" s="818">
        <f t="shared" si="41"/>
        <v>1100000</v>
      </c>
      <c r="V183" s="818">
        <v>700000</v>
      </c>
      <c r="W183" s="818">
        <v>700000</v>
      </c>
    </row>
    <row r="184" spans="1:23" ht="12.75">
      <c r="A184" s="336"/>
      <c r="B184" s="343"/>
      <c r="C184" s="338"/>
      <c r="D184" s="343"/>
      <c r="E184" s="354">
        <v>152</v>
      </c>
      <c r="F184" s="428">
        <v>463</v>
      </c>
      <c r="G184" s="1257" t="s">
        <v>105</v>
      </c>
      <c r="H184" s="1258"/>
      <c r="I184" s="1259"/>
      <c r="J184" s="723">
        <v>50000</v>
      </c>
      <c r="K184" s="723">
        <v>0</v>
      </c>
      <c r="L184" s="723">
        <v>50000</v>
      </c>
      <c r="M184" s="723">
        <f>Rashodi!M220</f>
        <v>20000</v>
      </c>
      <c r="N184" s="340">
        <v>0</v>
      </c>
      <c r="O184" s="395">
        <v>0</v>
      </c>
      <c r="P184" s="395">
        <v>0</v>
      </c>
      <c r="Q184" s="398">
        <v>0</v>
      </c>
      <c r="R184" s="395">
        <v>0</v>
      </c>
      <c r="S184" s="398">
        <v>0</v>
      </c>
      <c r="T184" s="398">
        <f t="shared" si="43"/>
        <v>0</v>
      </c>
      <c r="U184" s="818">
        <f t="shared" si="41"/>
        <v>20000</v>
      </c>
      <c r="V184" s="818">
        <v>50000</v>
      </c>
      <c r="W184" s="818">
        <v>50000</v>
      </c>
    </row>
    <row r="185" spans="1:23" ht="12.75">
      <c r="A185" s="336"/>
      <c r="B185" s="343"/>
      <c r="C185" s="338"/>
      <c r="D185" s="343"/>
      <c r="E185" s="354">
        <v>153</v>
      </c>
      <c r="F185" s="428">
        <v>463</v>
      </c>
      <c r="G185" s="1257" t="s">
        <v>1309</v>
      </c>
      <c r="H185" s="1258"/>
      <c r="I185" s="1259"/>
      <c r="J185" s="723">
        <v>1000</v>
      </c>
      <c r="K185" s="723">
        <v>0</v>
      </c>
      <c r="L185" s="723">
        <v>1000</v>
      </c>
      <c r="M185" s="723">
        <f>Rashodi!M221</f>
        <v>1000</v>
      </c>
      <c r="N185" s="340">
        <v>0</v>
      </c>
      <c r="O185" s="395">
        <v>0</v>
      </c>
      <c r="P185" s="395">
        <v>0</v>
      </c>
      <c r="Q185" s="398">
        <v>0</v>
      </c>
      <c r="R185" s="395">
        <v>0</v>
      </c>
      <c r="S185" s="398">
        <v>0</v>
      </c>
      <c r="T185" s="398">
        <f t="shared" si="43"/>
        <v>0</v>
      </c>
      <c r="U185" s="818">
        <f t="shared" si="41"/>
        <v>1000</v>
      </c>
      <c r="V185" s="818">
        <v>1000</v>
      </c>
      <c r="W185" s="818">
        <v>1000</v>
      </c>
    </row>
    <row r="186" spans="1:23" ht="12.75">
      <c r="A186" s="336"/>
      <c r="B186" s="343"/>
      <c r="C186" s="338"/>
      <c r="D186" s="343"/>
      <c r="E186" s="354">
        <v>154</v>
      </c>
      <c r="F186" s="428">
        <v>463</v>
      </c>
      <c r="G186" s="524" t="s">
        <v>1476</v>
      </c>
      <c r="H186" s="697"/>
      <c r="I186" s="698"/>
      <c r="J186" s="871">
        <v>1000</v>
      </c>
      <c r="K186" s="871">
        <v>0</v>
      </c>
      <c r="L186" s="871">
        <v>1000</v>
      </c>
      <c r="M186" s="723">
        <f>Rashodi!M222</f>
        <v>1000</v>
      </c>
      <c r="N186" s="340">
        <v>0</v>
      </c>
      <c r="O186" s="395">
        <v>0</v>
      </c>
      <c r="P186" s="395">
        <v>0</v>
      </c>
      <c r="Q186" s="398">
        <v>0</v>
      </c>
      <c r="R186" s="395">
        <v>0</v>
      </c>
      <c r="S186" s="398">
        <v>0</v>
      </c>
      <c r="T186" s="401">
        <f t="shared" si="43"/>
        <v>0</v>
      </c>
      <c r="U186" s="818">
        <f t="shared" si="41"/>
        <v>1000</v>
      </c>
      <c r="V186" s="818">
        <v>1000</v>
      </c>
      <c r="W186" s="818">
        <v>1000</v>
      </c>
    </row>
    <row r="187" spans="1:23" ht="12.75">
      <c r="A187" s="336"/>
      <c r="B187" s="343"/>
      <c r="C187" s="338"/>
      <c r="D187" s="343"/>
      <c r="E187" s="354">
        <v>155</v>
      </c>
      <c r="F187" s="428">
        <v>463</v>
      </c>
      <c r="G187" s="1351" t="s">
        <v>106</v>
      </c>
      <c r="H187" s="1332"/>
      <c r="I187" s="1352"/>
      <c r="J187" s="871">
        <v>150000</v>
      </c>
      <c r="K187" s="871">
        <v>0</v>
      </c>
      <c r="L187" s="871">
        <v>150000</v>
      </c>
      <c r="M187" s="723">
        <f>Rashodi!M223</f>
        <v>130000</v>
      </c>
      <c r="N187" s="340">
        <v>0</v>
      </c>
      <c r="O187" s="395">
        <v>0</v>
      </c>
      <c r="P187" s="395">
        <v>0</v>
      </c>
      <c r="Q187" s="398">
        <v>0</v>
      </c>
      <c r="R187" s="395">
        <v>0</v>
      </c>
      <c r="S187" s="398">
        <v>0</v>
      </c>
      <c r="T187" s="401">
        <f t="shared" si="43"/>
        <v>0</v>
      </c>
      <c r="U187" s="818">
        <f t="shared" si="41"/>
        <v>130000</v>
      </c>
      <c r="V187" s="818">
        <v>130000</v>
      </c>
      <c r="W187" s="818">
        <v>130000</v>
      </c>
    </row>
    <row r="188" spans="1:23" ht="12.75">
      <c r="A188" s="270"/>
      <c r="B188" s="271"/>
      <c r="C188" s="412"/>
      <c r="D188" s="332" t="s">
        <v>1526</v>
      </c>
      <c r="E188" s="412"/>
      <c r="F188" s="413"/>
      <c r="G188" s="1260" t="s">
        <v>1296</v>
      </c>
      <c r="H188" s="1261"/>
      <c r="I188" s="1262"/>
      <c r="J188" s="977">
        <f aca="true" t="shared" si="45" ref="J188:S188">J189</f>
        <v>25877000</v>
      </c>
      <c r="K188" s="977">
        <f t="shared" si="45"/>
        <v>12796755.43</v>
      </c>
      <c r="L188" s="977">
        <f t="shared" si="45"/>
        <v>25397000</v>
      </c>
      <c r="M188" s="977">
        <f t="shared" si="45"/>
        <v>22152000</v>
      </c>
      <c r="N188" s="276">
        <f t="shared" si="45"/>
        <v>0</v>
      </c>
      <c r="O188" s="276">
        <f t="shared" si="45"/>
        <v>0</v>
      </c>
      <c r="P188" s="276">
        <f t="shared" si="45"/>
        <v>0</v>
      </c>
      <c r="Q188" s="276">
        <f t="shared" si="45"/>
        <v>0</v>
      </c>
      <c r="R188" s="276">
        <f t="shared" si="45"/>
        <v>0</v>
      </c>
      <c r="S188" s="321">
        <f t="shared" si="45"/>
        <v>0</v>
      </c>
      <c r="T188" s="321">
        <f t="shared" si="43"/>
        <v>0</v>
      </c>
      <c r="U188" s="819">
        <f t="shared" si="41"/>
        <v>22152000</v>
      </c>
      <c r="V188" s="819">
        <v>19072000</v>
      </c>
      <c r="W188" s="819">
        <v>19072000</v>
      </c>
    </row>
    <row r="189" spans="1:23" ht="12.75">
      <c r="A189" s="529"/>
      <c r="B189" s="530"/>
      <c r="C189" s="167" t="s">
        <v>21</v>
      </c>
      <c r="D189" s="58"/>
      <c r="E189" s="531"/>
      <c r="F189" s="532"/>
      <c r="G189" s="73" t="s">
        <v>110</v>
      </c>
      <c r="H189" s="74"/>
      <c r="I189" s="688"/>
      <c r="J189" s="168">
        <f aca="true" t="shared" si="46" ref="J189:S189">SUM(J190:J195)</f>
        <v>25877000</v>
      </c>
      <c r="K189" s="168">
        <f t="shared" si="46"/>
        <v>12796755.43</v>
      </c>
      <c r="L189" s="727">
        <f>SUM(L190:L195)</f>
        <v>25397000</v>
      </c>
      <c r="M189" s="727">
        <f t="shared" si="46"/>
        <v>22152000</v>
      </c>
      <c r="N189" s="533">
        <f t="shared" si="46"/>
        <v>0</v>
      </c>
      <c r="O189" s="533">
        <f t="shared" si="46"/>
        <v>0</v>
      </c>
      <c r="P189" s="533">
        <f t="shared" si="46"/>
        <v>0</v>
      </c>
      <c r="Q189" s="533">
        <f t="shared" si="46"/>
        <v>0</v>
      </c>
      <c r="R189" s="533">
        <f t="shared" si="46"/>
        <v>0</v>
      </c>
      <c r="S189" s="533">
        <f t="shared" si="46"/>
        <v>0</v>
      </c>
      <c r="T189" s="800">
        <f t="shared" si="43"/>
        <v>0</v>
      </c>
      <c r="U189" s="1048">
        <f t="shared" si="41"/>
        <v>22152000</v>
      </c>
      <c r="V189" s="1048">
        <v>19072000</v>
      </c>
      <c r="W189" s="1048">
        <v>19072000</v>
      </c>
    </row>
    <row r="190" spans="1:23" ht="12.75">
      <c r="A190" s="336"/>
      <c r="B190" s="343"/>
      <c r="C190" s="338"/>
      <c r="D190" s="343"/>
      <c r="E190" s="354">
        <v>156</v>
      </c>
      <c r="F190" s="428">
        <v>463</v>
      </c>
      <c r="G190" s="1269" t="s">
        <v>1345</v>
      </c>
      <c r="H190" s="1270"/>
      <c r="I190" s="1271"/>
      <c r="J190" s="723">
        <v>688000</v>
      </c>
      <c r="K190" s="723">
        <v>158377.34999999995</v>
      </c>
      <c r="L190" s="723">
        <v>603000</v>
      </c>
      <c r="M190" s="723">
        <f>Rashodi!M226</f>
        <v>608000</v>
      </c>
      <c r="N190" s="723">
        <f>Rashodi!N226</f>
        <v>0</v>
      </c>
      <c r="O190" s="723">
        <f>Rashodi!O226</f>
        <v>0</v>
      </c>
      <c r="P190" s="723">
        <f>Rashodi!P226</f>
        <v>0</v>
      </c>
      <c r="Q190" s="723">
        <f>Rashodi!Q226</f>
        <v>0</v>
      </c>
      <c r="R190" s="723">
        <f>Rashodi!R226</f>
        <v>0</v>
      </c>
      <c r="S190" s="723">
        <f>Rashodi!S226</f>
        <v>0</v>
      </c>
      <c r="T190" s="723">
        <f>Rashodi!T226</f>
        <v>0</v>
      </c>
      <c r="U190" s="723">
        <f>Rashodi!U226</f>
        <v>608000</v>
      </c>
      <c r="V190" s="723">
        <v>608000</v>
      </c>
      <c r="W190" s="723">
        <v>608000</v>
      </c>
    </row>
    <row r="191" spans="1:23" ht="12.75">
      <c r="A191" s="495"/>
      <c r="B191" s="436"/>
      <c r="C191" s="496"/>
      <c r="D191" s="436"/>
      <c r="E191" s="354">
        <v>157</v>
      </c>
      <c r="F191" s="418">
        <v>463</v>
      </c>
      <c r="G191" s="1269" t="s">
        <v>1346</v>
      </c>
      <c r="H191" s="1270"/>
      <c r="I191" s="1271"/>
      <c r="J191" s="723">
        <v>23759000</v>
      </c>
      <c r="K191" s="723">
        <v>12511808.28</v>
      </c>
      <c r="L191" s="723">
        <v>23744000</v>
      </c>
      <c r="M191" s="723">
        <f>Rashodi!M227</f>
        <v>20365000</v>
      </c>
      <c r="N191" s="723">
        <f>Rashodi!N227</f>
        <v>0</v>
      </c>
      <c r="O191" s="723">
        <f>Rashodi!O227</f>
        <v>0</v>
      </c>
      <c r="P191" s="723">
        <f>Rashodi!P227</f>
        <v>0</v>
      </c>
      <c r="Q191" s="723">
        <f>Rashodi!Q227</f>
        <v>0</v>
      </c>
      <c r="R191" s="723">
        <f>Rashodi!R227</f>
        <v>0</v>
      </c>
      <c r="S191" s="723">
        <f>Rashodi!S227</f>
        <v>0</v>
      </c>
      <c r="T191" s="723">
        <f>Rashodi!T227</f>
        <v>0</v>
      </c>
      <c r="U191" s="723">
        <f>Rashodi!U227</f>
        <v>20365000</v>
      </c>
      <c r="V191" s="723">
        <v>17065000</v>
      </c>
      <c r="W191" s="723">
        <v>17065000</v>
      </c>
    </row>
    <row r="192" spans="1:23" ht="12.75">
      <c r="A192" s="495"/>
      <c r="B192" s="436"/>
      <c r="C192" s="496"/>
      <c r="D192" s="436"/>
      <c r="E192" s="354">
        <v>158</v>
      </c>
      <c r="F192" s="418">
        <v>463</v>
      </c>
      <c r="G192" s="386" t="s">
        <v>102</v>
      </c>
      <c r="H192" s="423"/>
      <c r="I192" s="424"/>
      <c r="J192" s="723">
        <v>120000</v>
      </c>
      <c r="K192" s="723">
        <v>43260</v>
      </c>
      <c r="L192" s="723">
        <v>120000</v>
      </c>
      <c r="M192" s="723">
        <f>Rashodi!M228</f>
        <v>200000</v>
      </c>
      <c r="N192" s="723">
        <f>Rashodi!N228</f>
        <v>0</v>
      </c>
      <c r="O192" s="723">
        <f>Rashodi!O228</f>
        <v>0</v>
      </c>
      <c r="P192" s="723">
        <f>Rashodi!P228</f>
        <v>0</v>
      </c>
      <c r="Q192" s="723">
        <f>Rashodi!Q228</f>
        <v>0</v>
      </c>
      <c r="R192" s="723">
        <f>Rashodi!R228</f>
        <v>0</v>
      </c>
      <c r="S192" s="723">
        <f>Rashodi!S228</f>
        <v>0</v>
      </c>
      <c r="T192" s="723">
        <f>Rashodi!T228</f>
        <v>0</v>
      </c>
      <c r="U192" s="723">
        <f>Rashodi!U228</f>
        <v>200000</v>
      </c>
      <c r="V192" s="723">
        <v>420000</v>
      </c>
      <c r="W192" s="723">
        <v>420000</v>
      </c>
    </row>
    <row r="193" spans="1:23" ht="12.75">
      <c r="A193" s="336"/>
      <c r="B193" s="343"/>
      <c r="C193" s="338"/>
      <c r="D193" s="343"/>
      <c r="E193" s="348" t="s">
        <v>1489</v>
      </c>
      <c r="F193" s="428">
        <v>463</v>
      </c>
      <c r="G193" s="1269" t="s">
        <v>1347</v>
      </c>
      <c r="H193" s="1270"/>
      <c r="I193" s="1271"/>
      <c r="J193" s="723">
        <v>70000</v>
      </c>
      <c r="K193" s="723">
        <v>2160</v>
      </c>
      <c r="L193" s="723">
        <v>70000</v>
      </c>
      <c r="M193" s="723">
        <f>Rashodi!M229</f>
        <v>40000</v>
      </c>
      <c r="N193" s="723">
        <f>Rashodi!N229</f>
        <v>0</v>
      </c>
      <c r="O193" s="723">
        <f>Rashodi!O229</f>
        <v>0</v>
      </c>
      <c r="P193" s="723">
        <f>Rashodi!P229</f>
        <v>0</v>
      </c>
      <c r="Q193" s="723">
        <f>Rashodi!Q229</f>
        <v>0</v>
      </c>
      <c r="R193" s="723">
        <f>Rashodi!R229</f>
        <v>0</v>
      </c>
      <c r="S193" s="723">
        <f>Rashodi!S229</f>
        <v>0</v>
      </c>
      <c r="T193" s="723">
        <f>Rashodi!T229</f>
        <v>0</v>
      </c>
      <c r="U193" s="723">
        <f>Rashodi!U229</f>
        <v>40000</v>
      </c>
      <c r="V193" s="723">
        <v>40000</v>
      </c>
      <c r="W193" s="723">
        <v>40000</v>
      </c>
    </row>
    <row r="194" spans="1:23" ht="12.75">
      <c r="A194" s="336"/>
      <c r="B194" s="343"/>
      <c r="C194" s="547"/>
      <c r="D194" s="467"/>
      <c r="E194" s="348" t="s">
        <v>273</v>
      </c>
      <c r="F194" s="516">
        <v>463</v>
      </c>
      <c r="G194" s="1269" t="s">
        <v>1348</v>
      </c>
      <c r="H194" s="1270"/>
      <c r="I194" s="1271"/>
      <c r="J194" s="871">
        <v>1040000</v>
      </c>
      <c r="K194" s="871">
        <v>81149.8</v>
      </c>
      <c r="L194" s="871">
        <v>660000</v>
      </c>
      <c r="M194" s="723">
        <f>Rashodi!M230</f>
        <v>894000</v>
      </c>
      <c r="N194" s="723">
        <f>Rashodi!N230</f>
        <v>0</v>
      </c>
      <c r="O194" s="723">
        <f>Rashodi!O230</f>
        <v>0</v>
      </c>
      <c r="P194" s="723">
        <f>Rashodi!P230</f>
        <v>0</v>
      </c>
      <c r="Q194" s="723">
        <f>Rashodi!Q230</f>
        <v>0</v>
      </c>
      <c r="R194" s="723">
        <f>Rashodi!R230</f>
        <v>0</v>
      </c>
      <c r="S194" s="723">
        <f>Rashodi!S230</f>
        <v>0</v>
      </c>
      <c r="T194" s="723">
        <f>Rashodi!T230</f>
        <v>0</v>
      </c>
      <c r="U194" s="723">
        <f>Rashodi!U230</f>
        <v>894000</v>
      </c>
      <c r="V194" s="723">
        <v>894000</v>
      </c>
      <c r="W194" s="723">
        <v>894000</v>
      </c>
    </row>
    <row r="195" spans="1:23" ht="12.75">
      <c r="A195" s="355"/>
      <c r="B195" s="509"/>
      <c r="C195" s="515"/>
      <c r="D195" s="469"/>
      <c r="E195" s="348" t="s">
        <v>1490</v>
      </c>
      <c r="F195" s="508">
        <v>463</v>
      </c>
      <c r="G195" s="1372" t="s">
        <v>1349</v>
      </c>
      <c r="H195" s="1373"/>
      <c r="I195" s="1373"/>
      <c r="J195" s="887">
        <v>200000</v>
      </c>
      <c r="K195" s="887">
        <v>0</v>
      </c>
      <c r="L195" s="887">
        <v>200000</v>
      </c>
      <c r="M195" s="723">
        <f>Rashodi!M231</f>
        <v>45000</v>
      </c>
      <c r="N195" s="723">
        <f>Rashodi!N231</f>
        <v>0</v>
      </c>
      <c r="O195" s="723">
        <f>Rashodi!O231</f>
        <v>0</v>
      </c>
      <c r="P195" s="723">
        <f>Rashodi!P231</f>
        <v>0</v>
      </c>
      <c r="Q195" s="723">
        <f>Rashodi!Q231</f>
        <v>0</v>
      </c>
      <c r="R195" s="723">
        <f>Rashodi!R231</f>
        <v>0</v>
      </c>
      <c r="S195" s="723">
        <f>Rashodi!S231</f>
        <v>0</v>
      </c>
      <c r="T195" s="723">
        <f>Rashodi!T231</f>
        <v>0</v>
      </c>
      <c r="U195" s="723">
        <f>Rashodi!U231</f>
        <v>45000</v>
      </c>
      <c r="V195" s="723">
        <v>45000</v>
      </c>
      <c r="W195" s="723">
        <v>45000</v>
      </c>
    </row>
    <row r="196" spans="1:23" ht="12.75">
      <c r="A196" s="270"/>
      <c r="B196" s="632"/>
      <c r="C196" s="528"/>
      <c r="D196" s="525" t="s">
        <v>1528</v>
      </c>
      <c r="E196" s="699"/>
      <c r="F196" s="526"/>
      <c r="G196" s="1260" t="s">
        <v>1310</v>
      </c>
      <c r="H196" s="1261"/>
      <c r="I196" s="1262"/>
      <c r="J196" s="851">
        <f aca="true" t="shared" si="47" ref="J196:S196">J197</f>
        <v>14550000</v>
      </c>
      <c r="K196" s="851">
        <f t="shared" si="47"/>
        <v>4557031.98</v>
      </c>
      <c r="L196" s="851">
        <f t="shared" si="47"/>
        <v>11850000</v>
      </c>
      <c r="M196" s="851">
        <f t="shared" si="47"/>
        <v>11950000</v>
      </c>
      <c r="N196" s="272">
        <f t="shared" si="47"/>
        <v>0</v>
      </c>
      <c r="O196" s="272">
        <f t="shared" si="47"/>
        <v>0</v>
      </c>
      <c r="P196" s="320">
        <f t="shared" si="47"/>
        <v>1800000</v>
      </c>
      <c r="Q196" s="601">
        <f t="shared" si="47"/>
        <v>0</v>
      </c>
      <c r="R196" s="601">
        <f t="shared" si="47"/>
        <v>0</v>
      </c>
      <c r="S196" s="601">
        <f t="shared" si="47"/>
        <v>0</v>
      </c>
      <c r="T196" s="799">
        <f t="shared" si="43"/>
        <v>1800000</v>
      </c>
      <c r="U196" s="819">
        <f>M196+N196+O196+P196+Q196+R196+S196</f>
        <v>13750000</v>
      </c>
      <c r="V196" s="819">
        <v>13150000</v>
      </c>
      <c r="W196" s="819">
        <v>13150000</v>
      </c>
    </row>
    <row r="197" spans="1:23" ht="12.75">
      <c r="A197" s="602"/>
      <c r="B197" s="989"/>
      <c r="C197" s="521" t="s">
        <v>22</v>
      </c>
      <c r="D197" s="521"/>
      <c r="E197" s="990"/>
      <c r="F197" s="991"/>
      <c r="G197" s="1296" t="s">
        <v>93</v>
      </c>
      <c r="H197" s="1297"/>
      <c r="I197" s="708"/>
      <c r="J197" s="522">
        <f>SUM(J198:J203)</f>
        <v>14550000</v>
      </c>
      <c r="K197" s="522">
        <f>SUM(K198:K203)</f>
        <v>4557031.98</v>
      </c>
      <c r="L197" s="522">
        <f>SUM(L198:L203)</f>
        <v>11850000</v>
      </c>
      <c r="M197" s="522">
        <f>SUM(M198:M203)</f>
        <v>11950000</v>
      </c>
      <c r="N197" s="65">
        <f aca="true" t="shared" si="48" ref="N197:S197">SUM(N198:N203)</f>
        <v>0</v>
      </c>
      <c r="O197" s="65">
        <f t="shared" si="48"/>
        <v>0</v>
      </c>
      <c r="P197" s="325">
        <f t="shared" si="48"/>
        <v>1800000</v>
      </c>
      <c r="Q197" s="636">
        <f t="shared" si="48"/>
        <v>0</v>
      </c>
      <c r="R197" s="636">
        <f t="shared" si="48"/>
        <v>0</v>
      </c>
      <c r="S197" s="636">
        <f t="shared" si="48"/>
        <v>0</v>
      </c>
      <c r="T197" s="801">
        <f t="shared" si="43"/>
        <v>1800000</v>
      </c>
      <c r="U197" s="1048">
        <f>M197+N197+O197+P197+Q197+R197+S197</f>
        <v>13750000</v>
      </c>
      <c r="V197" s="1048">
        <v>13150000</v>
      </c>
      <c r="W197" s="1048">
        <v>13150000</v>
      </c>
    </row>
    <row r="198" spans="1:23" ht="12.75">
      <c r="A198" s="336"/>
      <c r="B198" s="343"/>
      <c r="C198" s="349"/>
      <c r="D198" s="348"/>
      <c r="E198" s="354">
        <v>162</v>
      </c>
      <c r="F198" s="428">
        <v>472</v>
      </c>
      <c r="G198" s="334" t="s">
        <v>1383</v>
      </c>
      <c r="H198" s="426"/>
      <c r="I198" s="427"/>
      <c r="J198" s="871">
        <v>6000000</v>
      </c>
      <c r="K198" s="871">
        <v>2057151.9800000002</v>
      </c>
      <c r="L198" s="871">
        <v>4500000</v>
      </c>
      <c r="M198" s="871">
        <f>Rashodi!M234</f>
        <v>5000000</v>
      </c>
      <c r="N198" s="871">
        <f>Rashodi!N234</f>
        <v>0</v>
      </c>
      <c r="O198" s="871">
        <f>Rashodi!O234</f>
        <v>0</v>
      </c>
      <c r="P198" s="871">
        <f>Rashodi!P234</f>
        <v>1800000</v>
      </c>
      <c r="Q198" s="871">
        <f>Rashodi!Q234</f>
        <v>0</v>
      </c>
      <c r="R198" s="871">
        <f>Rashodi!R234</f>
        <v>0</v>
      </c>
      <c r="S198" s="871">
        <f>Rashodi!S234</f>
        <v>0</v>
      </c>
      <c r="T198" s="871">
        <f>Rashodi!T234</f>
        <v>1800000</v>
      </c>
      <c r="U198" s="871">
        <f>Rashodi!U234</f>
        <v>6800000</v>
      </c>
      <c r="V198" s="871">
        <v>6200000</v>
      </c>
      <c r="W198" s="871">
        <v>6200000</v>
      </c>
    </row>
    <row r="199" spans="1:23" ht="12.75">
      <c r="A199" s="336"/>
      <c r="B199" s="343"/>
      <c r="C199" s="349"/>
      <c r="D199" s="348"/>
      <c r="E199" s="354">
        <v>163</v>
      </c>
      <c r="F199" s="428">
        <v>472</v>
      </c>
      <c r="G199" s="1269" t="s">
        <v>1368</v>
      </c>
      <c r="H199" s="1270"/>
      <c r="I199" s="1270"/>
      <c r="J199" s="523">
        <v>800000</v>
      </c>
      <c r="K199" s="523">
        <v>119880</v>
      </c>
      <c r="L199" s="523">
        <v>800000</v>
      </c>
      <c r="M199" s="871">
        <f>Rashodi!M235</f>
        <v>400000</v>
      </c>
      <c r="N199" s="871">
        <f>Rashodi!N235</f>
        <v>0</v>
      </c>
      <c r="O199" s="871">
        <f>Rashodi!O235</f>
        <v>0</v>
      </c>
      <c r="P199" s="871">
        <f>Rashodi!P235</f>
        <v>0</v>
      </c>
      <c r="Q199" s="871">
        <f>Rashodi!Q235</f>
        <v>0</v>
      </c>
      <c r="R199" s="871">
        <f>Rashodi!R235</f>
        <v>0</v>
      </c>
      <c r="S199" s="871">
        <f>Rashodi!S235</f>
        <v>0</v>
      </c>
      <c r="T199" s="871">
        <f>Rashodi!T235</f>
        <v>0</v>
      </c>
      <c r="U199" s="871">
        <f>Rashodi!U235</f>
        <v>400000</v>
      </c>
      <c r="V199" s="871">
        <v>400000</v>
      </c>
      <c r="W199" s="871">
        <v>400000</v>
      </c>
    </row>
    <row r="200" spans="1:23" ht="12.75">
      <c r="A200" s="336"/>
      <c r="B200" s="343"/>
      <c r="C200" s="349"/>
      <c r="D200" s="348"/>
      <c r="E200" s="354">
        <v>164</v>
      </c>
      <c r="F200" s="428">
        <v>472</v>
      </c>
      <c r="G200" s="1269" t="s">
        <v>1369</v>
      </c>
      <c r="H200" s="1270"/>
      <c r="I200" s="1270"/>
      <c r="J200" s="523">
        <v>1600000</v>
      </c>
      <c r="K200" s="523">
        <v>380000</v>
      </c>
      <c r="L200" s="523">
        <v>1000000</v>
      </c>
      <c r="M200" s="871">
        <f>Rashodi!M236</f>
        <v>1000000</v>
      </c>
      <c r="N200" s="871">
        <f>Rashodi!N236</f>
        <v>0</v>
      </c>
      <c r="O200" s="871">
        <f>Rashodi!O236</f>
        <v>0</v>
      </c>
      <c r="P200" s="871">
        <f>Rashodi!P236</f>
        <v>0</v>
      </c>
      <c r="Q200" s="871">
        <f>Rashodi!Q236</f>
        <v>0</v>
      </c>
      <c r="R200" s="871">
        <f>Rashodi!R236</f>
        <v>0</v>
      </c>
      <c r="S200" s="871">
        <f>Rashodi!S236</f>
        <v>0</v>
      </c>
      <c r="T200" s="871">
        <f>Rashodi!T236</f>
        <v>0</v>
      </c>
      <c r="U200" s="871">
        <f>Rashodi!U236</f>
        <v>1000000</v>
      </c>
      <c r="V200" s="871">
        <v>1000000</v>
      </c>
      <c r="W200" s="871">
        <v>1000000</v>
      </c>
    </row>
    <row r="201" spans="1:23" ht="12.75">
      <c r="A201" s="336"/>
      <c r="B201" s="343"/>
      <c r="C201" s="349"/>
      <c r="D201" s="348"/>
      <c r="E201" s="348" t="s">
        <v>1491</v>
      </c>
      <c r="F201" s="428">
        <v>472</v>
      </c>
      <c r="G201" s="1269" t="s">
        <v>1436</v>
      </c>
      <c r="H201" s="1270"/>
      <c r="I201" s="1270"/>
      <c r="J201" s="523">
        <v>200000</v>
      </c>
      <c r="K201" s="523">
        <v>100000</v>
      </c>
      <c r="L201" s="523">
        <v>200000</v>
      </c>
      <c r="M201" s="871">
        <f>Rashodi!M237</f>
        <v>200000</v>
      </c>
      <c r="N201" s="871">
        <f>Rashodi!N237</f>
        <v>0</v>
      </c>
      <c r="O201" s="871">
        <f>Rashodi!O237</f>
        <v>0</v>
      </c>
      <c r="P201" s="871">
        <f>Rashodi!P237</f>
        <v>0</v>
      </c>
      <c r="Q201" s="871">
        <f>Rashodi!Q237</f>
        <v>0</v>
      </c>
      <c r="R201" s="871">
        <f>Rashodi!R237</f>
        <v>0</v>
      </c>
      <c r="S201" s="871">
        <f>Rashodi!S237</f>
        <v>0</v>
      </c>
      <c r="T201" s="871">
        <f>Rashodi!T237</f>
        <v>0</v>
      </c>
      <c r="U201" s="871">
        <f>Rashodi!U237</f>
        <v>200000</v>
      </c>
      <c r="V201" s="871">
        <v>200000</v>
      </c>
      <c r="W201" s="871">
        <v>200000</v>
      </c>
    </row>
    <row r="202" spans="1:23" ht="12.75">
      <c r="A202" s="336"/>
      <c r="B202" s="343"/>
      <c r="C202" s="349"/>
      <c r="D202" s="348"/>
      <c r="E202" s="348" t="s">
        <v>1492</v>
      </c>
      <c r="F202" s="428">
        <v>472</v>
      </c>
      <c r="G202" s="1269" t="s">
        <v>1370</v>
      </c>
      <c r="H202" s="1270"/>
      <c r="I202" s="1270"/>
      <c r="J202" s="523">
        <v>350000</v>
      </c>
      <c r="K202" s="523">
        <v>0</v>
      </c>
      <c r="L202" s="523">
        <v>350000</v>
      </c>
      <c r="M202" s="871">
        <f>Rashodi!M238</f>
        <v>350000</v>
      </c>
      <c r="N202" s="871">
        <f>Rashodi!N238</f>
        <v>0</v>
      </c>
      <c r="O202" s="871">
        <f>Rashodi!O238</f>
        <v>0</v>
      </c>
      <c r="P202" s="871">
        <f>Rashodi!P238</f>
        <v>0</v>
      </c>
      <c r="Q202" s="871">
        <f>Rashodi!Q238</f>
        <v>0</v>
      </c>
      <c r="R202" s="871">
        <f>Rashodi!R238</f>
        <v>0</v>
      </c>
      <c r="S202" s="871">
        <f>Rashodi!S238</f>
        <v>0</v>
      </c>
      <c r="T202" s="871">
        <f>Rashodi!T238</f>
        <v>0</v>
      </c>
      <c r="U202" s="871">
        <f>Rashodi!U238</f>
        <v>350000</v>
      </c>
      <c r="V202" s="871">
        <v>350000</v>
      </c>
      <c r="W202" s="871">
        <v>350000</v>
      </c>
    </row>
    <row r="203" spans="1:23" ht="12.75">
      <c r="A203" s="336"/>
      <c r="B203" s="343"/>
      <c r="C203" s="338"/>
      <c r="D203" s="343"/>
      <c r="E203" s="348" t="s">
        <v>1493</v>
      </c>
      <c r="F203" s="428">
        <v>472</v>
      </c>
      <c r="G203" s="1351" t="s">
        <v>1371</v>
      </c>
      <c r="H203" s="1332"/>
      <c r="I203" s="1352"/>
      <c r="J203" s="873">
        <v>5600000</v>
      </c>
      <c r="K203" s="873">
        <v>1900000</v>
      </c>
      <c r="L203" s="873">
        <v>5000000</v>
      </c>
      <c r="M203" s="871">
        <f>Rashodi!M239</f>
        <v>5000000</v>
      </c>
      <c r="N203" s="871">
        <f>Rashodi!N239</f>
        <v>0</v>
      </c>
      <c r="O203" s="871">
        <f>Rashodi!O239</f>
        <v>0</v>
      </c>
      <c r="P203" s="871">
        <f>Rashodi!P239</f>
        <v>0</v>
      </c>
      <c r="Q203" s="871">
        <f>Rashodi!Q239</f>
        <v>0</v>
      </c>
      <c r="R203" s="871">
        <f>Rashodi!R239</f>
        <v>0</v>
      </c>
      <c r="S203" s="871">
        <f>Rashodi!S239</f>
        <v>0</v>
      </c>
      <c r="T203" s="871">
        <f>Rashodi!T239</f>
        <v>0</v>
      </c>
      <c r="U203" s="871">
        <f>Rashodi!U239</f>
        <v>5000000</v>
      </c>
      <c r="V203" s="871">
        <v>5000000</v>
      </c>
      <c r="W203" s="871">
        <v>5000000</v>
      </c>
    </row>
    <row r="204" spans="1:23" ht="12.75">
      <c r="A204" s="270"/>
      <c r="B204" s="271"/>
      <c r="C204" s="412"/>
      <c r="D204" s="332" t="s">
        <v>1527</v>
      </c>
      <c r="E204" s="412"/>
      <c r="F204" s="413"/>
      <c r="G204" s="1260" t="s">
        <v>1204</v>
      </c>
      <c r="H204" s="1261"/>
      <c r="I204" s="1262"/>
      <c r="J204" s="851">
        <f aca="true" t="shared" si="49" ref="J204:S204">J205</f>
        <v>4020000</v>
      </c>
      <c r="K204" s="851">
        <f t="shared" si="49"/>
        <v>1373500</v>
      </c>
      <c r="L204" s="851">
        <f t="shared" si="49"/>
        <v>4720000</v>
      </c>
      <c r="M204" s="851">
        <f t="shared" si="49"/>
        <v>6270000</v>
      </c>
      <c r="N204" s="276">
        <f t="shared" si="49"/>
        <v>0</v>
      </c>
      <c r="O204" s="276">
        <f t="shared" si="49"/>
        <v>0</v>
      </c>
      <c r="P204" s="276">
        <f t="shared" si="49"/>
        <v>0</v>
      </c>
      <c r="Q204" s="276">
        <f t="shared" si="49"/>
        <v>0</v>
      </c>
      <c r="R204" s="276">
        <f t="shared" si="49"/>
        <v>0</v>
      </c>
      <c r="S204" s="321">
        <f t="shared" si="49"/>
        <v>0</v>
      </c>
      <c r="T204" s="321">
        <f t="shared" si="43"/>
        <v>0</v>
      </c>
      <c r="U204" s="819">
        <f>M204+N204+O204+P204+Q204+R204+S204</f>
        <v>6270000</v>
      </c>
      <c r="V204" s="819">
        <v>4720000</v>
      </c>
      <c r="W204" s="819">
        <v>4720000</v>
      </c>
    </row>
    <row r="205" spans="1:23" ht="12.75">
      <c r="A205" s="336"/>
      <c r="B205" s="343"/>
      <c r="C205" s="167" t="s">
        <v>21</v>
      </c>
      <c r="D205" s="167"/>
      <c r="E205" s="338"/>
      <c r="F205" s="339"/>
      <c r="G205" s="1296" t="s">
        <v>110</v>
      </c>
      <c r="H205" s="1297"/>
      <c r="I205" s="1298"/>
      <c r="J205" s="168">
        <f>SUM(J206:J207)</f>
        <v>4020000</v>
      </c>
      <c r="K205" s="168">
        <f>SUM(K206:K207)</f>
        <v>1373500</v>
      </c>
      <c r="L205" s="168">
        <f>SUM(L206:L207)</f>
        <v>4720000</v>
      </c>
      <c r="M205" s="168">
        <f>SUM(M206:M207)</f>
        <v>6270000</v>
      </c>
      <c r="N205" s="57">
        <f aca="true" t="shared" si="50" ref="N205:S205">SUM(N206:N207)</f>
        <v>0</v>
      </c>
      <c r="O205" s="57">
        <f t="shared" si="50"/>
        <v>0</v>
      </c>
      <c r="P205" s="57">
        <f t="shared" si="50"/>
        <v>0</v>
      </c>
      <c r="Q205" s="57">
        <f t="shared" si="50"/>
        <v>0</v>
      </c>
      <c r="R205" s="57">
        <f t="shared" si="50"/>
        <v>0</v>
      </c>
      <c r="S205" s="326">
        <f t="shared" si="50"/>
        <v>0</v>
      </c>
      <c r="T205" s="325">
        <f t="shared" si="43"/>
        <v>0</v>
      </c>
      <c r="U205" s="1048">
        <f>M205+N205+O205+P205+Q205+R205+S205</f>
        <v>6270000</v>
      </c>
      <c r="V205" s="1048">
        <v>4720000</v>
      </c>
      <c r="W205" s="1048">
        <v>4720000</v>
      </c>
    </row>
    <row r="206" spans="1:23" ht="12.75">
      <c r="A206" s="336"/>
      <c r="B206" s="343"/>
      <c r="C206" s="338"/>
      <c r="D206" s="343"/>
      <c r="E206" s="499">
        <v>168</v>
      </c>
      <c r="F206" s="428">
        <v>481</v>
      </c>
      <c r="G206" s="1257" t="s">
        <v>1366</v>
      </c>
      <c r="H206" s="1258"/>
      <c r="I206" s="1259"/>
      <c r="J206" s="723">
        <v>1570000</v>
      </c>
      <c r="K206" s="723">
        <v>520000</v>
      </c>
      <c r="L206" s="723">
        <v>1570000</v>
      </c>
      <c r="M206" s="723">
        <f>Rashodi!M242</f>
        <v>2320000</v>
      </c>
      <c r="N206" s="723">
        <f>Rashodi!N242</f>
        <v>0</v>
      </c>
      <c r="O206" s="723">
        <f>Rashodi!O242</f>
        <v>0</v>
      </c>
      <c r="P206" s="723">
        <f>Rashodi!P242</f>
        <v>0</v>
      </c>
      <c r="Q206" s="723">
        <f>Rashodi!Q242</f>
        <v>0</v>
      </c>
      <c r="R206" s="723">
        <f>Rashodi!R242</f>
        <v>0</v>
      </c>
      <c r="S206" s="723">
        <f>Rashodi!S242</f>
        <v>0</v>
      </c>
      <c r="T206" s="723">
        <f>Rashodi!T242</f>
        <v>0</v>
      </c>
      <c r="U206" s="723">
        <f>Rashodi!U242</f>
        <v>2320000</v>
      </c>
      <c r="V206" s="723">
        <v>1570000</v>
      </c>
      <c r="W206" s="723">
        <v>1570000</v>
      </c>
    </row>
    <row r="207" spans="1:23" ht="12.75">
      <c r="A207" s="336"/>
      <c r="B207" s="343"/>
      <c r="C207" s="338"/>
      <c r="D207" s="343"/>
      <c r="E207" s="354">
        <v>169</v>
      </c>
      <c r="F207" s="428">
        <v>472</v>
      </c>
      <c r="G207" s="1257" t="s">
        <v>1367</v>
      </c>
      <c r="H207" s="1258"/>
      <c r="I207" s="1259"/>
      <c r="J207" s="723">
        <v>2450000</v>
      </c>
      <c r="K207" s="723">
        <v>853500</v>
      </c>
      <c r="L207" s="723">
        <v>3150000</v>
      </c>
      <c r="M207" s="723">
        <f>Rashodi!M243</f>
        <v>3950000</v>
      </c>
      <c r="N207" s="723">
        <f>Rashodi!N243</f>
        <v>0</v>
      </c>
      <c r="O207" s="723">
        <f>Rashodi!O243</f>
        <v>0</v>
      </c>
      <c r="P207" s="723">
        <f>Rashodi!P243</f>
        <v>0</v>
      </c>
      <c r="Q207" s="723">
        <f>Rashodi!Q243</f>
        <v>0</v>
      </c>
      <c r="R207" s="723">
        <f>Rashodi!R243</f>
        <v>0</v>
      </c>
      <c r="S207" s="723">
        <f>Rashodi!S243</f>
        <v>0</v>
      </c>
      <c r="T207" s="723">
        <f>Rashodi!T243</f>
        <v>0</v>
      </c>
      <c r="U207" s="723">
        <f>Rashodi!U243</f>
        <v>3950000</v>
      </c>
      <c r="V207" s="723">
        <v>3150000</v>
      </c>
      <c r="W207" s="723">
        <v>3150000</v>
      </c>
    </row>
    <row r="208" spans="1:23" ht="12.75">
      <c r="A208" s="270"/>
      <c r="B208" s="271"/>
      <c r="C208" s="412"/>
      <c r="D208" s="332" t="s">
        <v>1526</v>
      </c>
      <c r="E208" s="412"/>
      <c r="F208" s="413"/>
      <c r="G208" s="1260" t="s">
        <v>1533</v>
      </c>
      <c r="H208" s="1261"/>
      <c r="I208" s="1262"/>
      <c r="J208" s="851">
        <f aca="true" t="shared" si="51" ref="J208:S208">J209</f>
        <v>2450000</v>
      </c>
      <c r="K208" s="851">
        <f t="shared" si="51"/>
        <v>853500</v>
      </c>
      <c r="L208" s="851">
        <f t="shared" si="51"/>
        <v>0</v>
      </c>
      <c r="M208" s="851">
        <f t="shared" si="51"/>
        <v>11000000</v>
      </c>
      <c r="N208" s="276">
        <f t="shared" si="51"/>
        <v>0</v>
      </c>
      <c r="O208" s="276">
        <f t="shared" si="51"/>
        <v>0</v>
      </c>
      <c r="P208" s="276">
        <f t="shared" si="51"/>
        <v>2256580</v>
      </c>
      <c r="Q208" s="276">
        <f t="shared" si="51"/>
        <v>0</v>
      </c>
      <c r="R208" s="276">
        <f t="shared" si="51"/>
        <v>0</v>
      </c>
      <c r="S208" s="321">
        <f t="shared" si="51"/>
        <v>0</v>
      </c>
      <c r="T208" s="321">
        <f>SUM(N208:S208)</f>
        <v>2256580</v>
      </c>
      <c r="U208" s="819">
        <f>M208+N208+O208+P208+Q208+R208+S208</f>
        <v>13256580</v>
      </c>
      <c r="V208" s="819">
        <v>7000000</v>
      </c>
      <c r="W208" s="819">
        <v>7000000</v>
      </c>
    </row>
    <row r="209" spans="1:23" ht="12.75">
      <c r="A209" s="336"/>
      <c r="B209" s="343"/>
      <c r="C209" s="167" t="s">
        <v>21</v>
      </c>
      <c r="D209" s="167"/>
      <c r="E209" s="338"/>
      <c r="F209" s="339"/>
      <c r="G209" s="1296" t="s">
        <v>110</v>
      </c>
      <c r="H209" s="1297"/>
      <c r="I209" s="1298"/>
      <c r="J209" s="168">
        <f aca="true" t="shared" si="52" ref="J209:S209">SUM(J210:J210)</f>
        <v>2450000</v>
      </c>
      <c r="K209" s="168">
        <f t="shared" si="52"/>
        <v>853500</v>
      </c>
      <c r="L209" s="168">
        <f t="shared" si="52"/>
        <v>0</v>
      </c>
      <c r="M209" s="168">
        <f t="shared" si="52"/>
        <v>11000000</v>
      </c>
      <c r="N209" s="57">
        <f t="shared" si="52"/>
        <v>0</v>
      </c>
      <c r="O209" s="57">
        <f t="shared" si="52"/>
        <v>0</v>
      </c>
      <c r="P209" s="57">
        <f t="shared" si="52"/>
        <v>2256580</v>
      </c>
      <c r="Q209" s="57">
        <f t="shared" si="52"/>
        <v>0</v>
      </c>
      <c r="R209" s="57">
        <f t="shared" si="52"/>
        <v>0</v>
      </c>
      <c r="S209" s="326">
        <f t="shared" si="52"/>
        <v>0</v>
      </c>
      <c r="T209" s="325">
        <f>SUM(N209:S209)</f>
        <v>2256580</v>
      </c>
      <c r="U209" s="1048">
        <f>M209+N209+O209+P209+Q209+R209+S209</f>
        <v>13256580</v>
      </c>
      <c r="V209" s="1048">
        <v>7000000</v>
      </c>
      <c r="W209" s="1048">
        <v>7000000</v>
      </c>
    </row>
    <row r="210" spans="1:23" ht="12.75">
      <c r="A210" s="336"/>
      <c r="B210" s="343"/>
      <c r="C210" s="338"/>
      <c r="D210" s="343"/>
      <c r="E210" s="354">
        <v>169</v>
      </c>
      <c r="F210" s="428">
        <v>472</v>
      </c>
      <c r="G210" s="1257" t="s">
        <v>1532</v>
      </c>
      <c r="H210" s="1258"/>
      <c r="I210" s="1259"/>
      <c r="J210" s="723">
        <v>2450000</v>
      </c>
      <c r="K210" s="723">
        <v>853500</v>
      </c>
      <c r="L210" s="723">
        <v>0</v>
      </c>
      <c r="M210" s="723">
        <f>Rashodi!M246</f>
        <v>11000000</v>
      </c>
      <c r="N210" s="723">
        <f>Rashodi!N246</f>
        <v>0</v>
      </c>
      <c r="O210" s="723">
        <f>Rashodi!O246</f>
        <v>0</v>
      </c>
      <c r="P210" s="723">
        <f>Rashodi!P246</f>
        <v>2256580</v>
      </c>
      <c r="Q210" s="723">
        <f>Rashodi!Q246</f>
        <v>0</v>
      </c>
      <c r="R210" s="723">
        <f>Rashodi!R246</f>
        <v>0</v>
      </c>
      <c r="S210" s="723">
        <f>Rashodi!S246</f>
        <v>0</v>
      </c>
      <c r="T210" s="723">
        <f>Rashodi!T246</f>
        <v>2256580</v>
      </c>
      <c r="U210" s="723">
        <f>Rashodi!U246</f>
        <v>13256580</v>
      </c>
      <c r="V210" s="723">
        <v>7000000</v>
      </c>
      <c r="W210" s="723">
        <v>7000000</v>
      </c>
    </row>
    <row r="211" spans="1:23" ht="12.75">
      <c r="A211" s="560"/>
      <c r="B211" s="561"/>
      <c r="C211" s="527"/>
      <c r="D211" s="596" t="s">
        <v>289</v>
      </c>
      <c r="E211" s="527"/>
      <c r="F211" s="413"/>
      <c r="G211" s="1293" t="s">
        <v>1205</v>
      </c>
      <c r="H211" s="1294"/>
      <c r="I211" s="1295"/>
      <c r="J211" s="868">
        <f aca="true" t="shared" si="53" ref="J211:S211">J212+J222</f>
        <v>15120000</v>
      </c>
      <c r="K211" s="868">
        <f t="shared" si="53"/>
        <v>4523331.340000001</v>
      </c>
      <c r="L211" s="868">
        <f t="shared" si="53"/>
        <v>14920000</v>
      </c>
      <c r="M211" s="868">
        <f t="shared" si="53"/>
        <v>16600000</v>
      </c>
      <c r="N211" s="272">
        <f t="shared" si="53"/>
        <v>0</v>
      </c>
      <c r="O211" s="272">
        <f t="shared" si="53"/>
        <v>0</v>
      </c>
      <c r="P211" s="272">
        <f t="shared" si="53"/>
        <v>0</v>
      </c>
      <c r="Q211" s="272">
        <f t="shared" si="53"/>
        <v>0</v>
      </c>
      <c r="R211" s="272">
        <f t="shared" si="53"/>
        <v>0</v>
      </c>
      <c r="S211" s="272">
        <f t="shared" si="53"/>
        <v>0</v>
      </c>
      <c r="T211" s="320">
        <f t="shared" si="43"/>
        <v>0</v>
      </c>
      <c r="U211" s="819">
        <f>M211+N211+O211+P211+Q211+R211+S211</f>
        <v>16600000</v>
      </c>
      <c r="V211" s="819">
        <v>15700000</v>
      </c>
      <c r="W211" s="819">
        <v>15700000</v>
      </c>
    </row>
    <row r="212" spans="1:23" ht="12.75">
      <c r="A212" s="563"/>
      <c r="B212" s="564"/>
      <c r="C212" s="528" t="s">
        <v>1167</v>
      </c>
      <c r="D212" s="525" t="s">
        <v>290</v>
      </c>
      <c r="E212" s="528"/>
      <c r="F212" s="526"/>
      <c r="G212" s="1260" t="s">
        <v>1191</v>
      </c>
      <c r="H212" s="1280"/>
      <c r="I212" s="1281"/>
      <c r="J212" s="872">
        <f aca="true" t="shared" si="54" ref="J212:S212">J213</f>
        <v>14920000</v>
      </c>
      <c r="K212" s="872">
        <f t="shared" si="54"/>
        <v>4425171.070000001</v>
      </c>
      <c r="L212" s="872">
        <f>L213</f>
        <v>14720000</v>
      </c>
      <c r="M212" s="872">
        <f>M213</f>
        <v>16300000</v>
      </c>
      <c r="N212" s="276">
        <f t="shared" si="54"/>
        <v>0</v>
      </c>
      <c r="O212" s="276">
        <f t="shared" si="54"/>
        <v>0</v>
      </c>
      <c r="P212" s="276">
        <f t="shared" si="54"/>
        <v>0</v>
      </c>
      <c r="Q212" s="276">
        <f t="shared" si="54"/>
        <v>0</v>
      </c>
      <c r="R212" s="276">
        <f t="shared" si="54"/>
        <v>0</v>
      </c>
      <c r="S212" s="321">
        <f t="shared" si="54"/>
        <v>0</v>
      </c>
      <c r="T212" s="321">
        <f t="shared" si="43"/>
        <v>0</v>
      </c>
      <c r="U212" s="819">
        <f>M212+N212+O212+P212+Q212+R212+S212</f>
        <v>16300000</v>
      </c>
      <c r="V212" s="819">
        <v>15400000</v>
      </c>
      <c r="W212" s="819">
        <v>15400000</v>
      </c>
    </row>
    <row r="213" spans="1:23" ht="12.75">
      <c r="A213" s="566"/>
      <c r="B213" s="567"/>
      <c r="C213" s="519" t="s">
        <v>529</v>
      </c>
      <c r="D213" s="501"/>
      <c r="E213" s="568"/>
      <c r="F213" s="532"/>
      <c r="G213" s="1296" t="s">
        <v>87</v>
      </c>
      <c r="H213" s="1297"/>
      <c r="I213" s="1298"/>
      <c r="J213" s="168">
        <f>SUM(J214:J220)</f>
        <v>14920000</v>
      </c>
      <c r="K213" s="168">
        <f>SUM(K214:K220)</f>
        <v>4425171.070000001</v>
      </c>
      <c r="L213" s="168">
        <f>SUM(L214:L221)</f>
        <v>14720000</v>
      </c>
      <c r="M213" s="168">
        <f>SUM(M214:M221)</f>
        <v>16300000</v>
      </c>
      <c r="N213" s="565">
        <f aca="true" t="shared" si="55" ref="N213:T213">SUM(N214:N220)</f>
        <v>0</v>
      </c>
      <c r="O213" s="565">
        <f t="shared" si="55"/>
        <v>0</v>
      </c>
      <c r="P213" s="565">
        <f t="shared" si="55"/>
        <v>0</v>
      </c>
      <c r="Q213" s="565">
        <f t="shared" si="55"/>
        <v>0</v>
      </c>
      <c r="R213" s="565">
        <f t="shared" si="55"/>
        <v>0</v>
      </c>
      <c r="S213" s="565">
        <f t="shared" si="55"/>
        <v>0</v>
      </c>
      <c r="T213" s="802">
        <f t="shared" si="55"/>
        <v>0</v>
      </c>
      <c r="U213" s="1048">
        <f>M213+N213+O213+P213+Q213+R213+S213</f>
        <v>16300000</v>
      </c>
      <c r="V213" s="1048">
        <v>15400000</v>
      </c>
      <c r="W213" s="1048">
        <v>15400000</v>
      </c>
    </row>
    <row r="214" spans="1:23" ht="12.75">
      <c r="A214" s="500"/>
      <c r="B214" s="562"/>
      <c r="C214" s="501"/>
      <c r="D214" s="501"/>
      <c r="E214" s="499">
        <v>170</v>
      </c>
      <c r="F214" s="417">
        <v>464</v>
      </c>
      <c r="G214" s="1263" t="s">
        <v>111</v>
      </c>
      <c r="H214" s="1264"/>
      <c r="I214" s="1265"/>
      <c r="J214" s="849">
        <v>2000000</v>
      </c>
      <c r="K214" s="849">
        <v>579122.79</v>
      </c>
      <c r="L214" s="849">
        <v>1500000</v>
      </c>
      <c r="M214" s="849">
        <f>Rashodi!M250</f>
        <v>1700000</v>
      </c>
      <c r="N214" s="849">
        <f>Rashodi!N250</f>
        <v>0</v>
      </c>
      <c r="O214" s="849">
        <f>Rashodi!O250</f>
        <v>0</v>
      </c>
      <c r="P214" s="849">
        <f>Rashodi!P250</f>
        <v>0</v>
      </c>
      <c r="Q214" s="849">
        <f>Rashodi!Q250</f>
        <v>0</v>
      </c>
      <c r="R214" s="849">
        <f>Rashodi!R250</f>
        <v>0</v>
      </c>
      <c r="S214" s="849">
        <f>Rashodi!S250</f>
        <v>0</v>
      </c>
      <c r="T214" s="849">
        <f>Rashodi!T250</f>
        <v>0</v>
      </c>
      <c r="U214" s="849">
        <f>Rashodi!U250</f>
        <v>1700000</v>
      </c>
      <c r="V214" s="849">
        <v>1700000</v>
      </c>
      <c r="W214" s="849">
        <v>1700000</v>
      </c>
    </row>
    <row r="215" spans="1:23" ht="12.75">
      <c r="A215" s="500"/>
      <c r="B215" s="562"/>
      <c r="C215" s="501"/>
      <c r="D215" s="501"/>
      <c r="E215" s="499">
        <v>171</v>
      </c>
      <c r="F215" s="417">
        <v>464</v>
      </c>
      <c r="G215" s="1360" t="s">
        <v>112</v>
      </c>
      <c r="H215" s="1361"/>
      <c r="I215" s="1362"/>
      <c r="J215" s="1107">
        <v>320000</v>
      </c>
      <c r="K215" s="1107">
        <v>98566.23999999999</v>
      </c>
      <c r="L215" s="1107">
        <v>250000</v>
      </c>
      <c r="M215" s="849">
        <f>Rashodi!M251</f>
        <v>300000</v>
      </c>
      <c r="N215" s="849">
        <f>Rashodi!N251</f>
        <v>0</v>
      </c>
      <c r="O215" s="849">
        <f>Rashodi!O251</f>
        <v>0</v>
      </c>
      <c r="P215" s="849">
        <f>Rashodi!P251</f>
        <v>0</v>
      </c>
      <c r="Q215" s="849">
        <f>Rashodi!Q251</f>
        <v>0</v>
      </c>
      <c r="R215" s="849">
        <f>Rashodi!R251</f>
        <v>0</v>
      </c>
      <c r="S215" s="444">
        <v>0</v>
      </c>
      <c r="T215" s="403">
        <f t="shared" si="43"/>
        <v>0</v>
      </c>
      <c r="U215" s="818">
        <f aca="true" t="shared" si="56" ref="U215:U223">M215+N215+O215+P215+Q215+R215+S215</f>
        <v>300000</v>
      </c>
      <c r="V215" s="818">
        <v>300000</v>
      </c>
      <c r="W215" s="818">
        <v>300000</v>
      </c>
    </row>
    <row r="216" spans="1:23" ht="12.75">
      <c r="A216" s="500"/>
      <c r="B216" s="562"/>
      <c r="C216" s="501"/>
      <c r="D216" s="501"/>
      <c r="E216" s="786">
        <v>172</v>
      </c>
      <c r="F216" s="417">
        <v>464</v>
      </c>
      <c r="G216" s="1358" t="s">
        <v>98</v>
      </c>
      <c r="H216" s="1359"/>
      <c r="I216" s="1359"/>
      <c r="J216" s="1073">
        <v>1000000</v>
      </c>
      <c r="K216" s="1073">
        <v>142515.91</v>
      </c>
      <c r="L216" s="1073">
        <v>750000</v>
      </c>
      <c r="M216" s="849">
        <f>Rashodi!M252</f>
        <v>1000000</v>
      </c>
      <c r="N216" s="849">
        <f>Rashodi!N252</f>
        <v>0</v>
      </c>
      <c r="O216" s="849">
        <f>Rashodi!O252</f>
        <v>0</v>
      </c>
      <c r="P216" s="849">
        <f>Rashodi!P252</f>
        <v>0</v>
      </c>
      <c r="Q216" s="849">
        <f>Rashodi!Q252</f>
        <v>0</v>
      </c>
      <c r="R216" s="849">
        <f>Rashodi!R252</f>
        <v>0</v>
      </c>
      <c r="S216" s="403">
        <v>0</v>
      </c>
      <c r="T216" s="445">
        <v>0</v>
      </c>
      <c r="U216" s="818">
        <f t="shared" si="56"/>
        <v>1000000</v>
      </c>
      <c r="V216" s="818">
        <v>1000000</v>
      </c>
      <c r="W216" s="818">
        <v>1000000</v>
      </c>
    </row>
    <row r="217" spans="1:23" ht="12.75">
      <c r="A217" s="500"/>
      <c r="B217" s="562"/>
      <c r="C217" s="501"/>
      <c r="D217" s="501"/>
      <c r="E217" s="786">
        <v>173</v>
      </c>
      <c r="F217" s="417">
        <v>464</v>
      </c>
      <c r="G217" s="353" t="s">
        <v>99</v>
      </c>
      <c r="H217" s="421"/>
      <c r="I217" s="421"/>
      <c r="J217" s="887">
        <v>1800000</v>
      </c>
      <c r="K217" s="887">
        <v>307653.36000000004</v>
      </c>
      <c r="L217" s="887">
        <v>1100000</v>
      </c>
      <c r="M217" s="849">
        <f>Rashodi!M253</f>
        <v>400000</v>
      </c>
      <c r="N217" s="849">
        <f>Rashodi!N253</f>
        <v>0</v>
      </c>
      <c r="O217" s="849">
        <f>Rashodi!O253</f>
        <v>0</v>
      </c>
      <c r="P217" s="849">
        <f>Rashodi!P253</f>
        <v>0</v>
      </c>
      <c r="Q217" s="849">
        <f>Rashodi!Q253</f>
        <v>0</v>
      </c>
      <c r="R217" s="849">
        <f>Rashodi!R253</f>
        <v>0</v>
      </c>
      <c r="S217" s="403">
        <v>0</v>
      </c>
      <c r="T217" s="445"/>
      <c r="U217" s="818">
        <f t="shared" si="56"/>
        <v>400000</v>
      </c>
      <c r="V217" s="818">
        <v>1000000</v>
      </c>
      <c r="W217" s="818">
        <v>1000000</v>
      </c>
    </row>
    <row r="218" spans="1:23" ht="12.75">
      <c r="A218" s="414"/>
      <c r="B218" s="415"/>
      <c r="C218" s="443"/>
      <c r="D218" s="443"/>
      <c r="E218" s="786">
        <v>174</v>
      </c>
      <c r="F218" s="339">
        <v>464</v>
      </c>
      <c r="G218" s="334" t="s">
        <v>101</v>
      </c>
      <c r="H218" s="426"/>
      <c r="I218" s="426"/>
      <c r="J218" s="523">
        <v>7500000</v>
      </c>
      <c r="K218" s="523">
        <v>3004878.110000001</v>
      </c>
      <c r="L218" s="523">
        <v>7500000</v>
      </c>
      <c r="M218" s="849">
        <f>Rashodi!M254</f>
        <v>10200000</v>
      </c>
      <c r="N218" s="849">
        <f>Rashodi!N254</f>
        <v>0</v>
      </c>
      <c r="O218" s="849">
        <f>Rashodi!O254</f>
        <v>0</v>
      </c>
      <c r="P218" s="849">
        <f>Rashodi!P254</f>
        <v>0</v>
      </c>
      <c r="Q218" s="849">
        <f>Rashodi!Q254</f>
        <v>0</v>
      </c>
      <c r="R218" s="849">
        <f>Rashodi!R254</f>
        <v>0</v>
      </c>
      <c r="S218" s="403">
        <v>0</v>
      </c>
      <c r="T218" s="445">
        <f t="shared" si="43"/>
        <v>0</v>
      </c>
      <c r="U218" s="818">
        <f t="shared" si="56"/>
        <v>10200000</v>
      </c>
      <c r="V218" s="818">
        <v>8200000</v>
      </c>
      <c r="W218" s="818">
        <v>8200000</v>
      </c>
    </row>
    <row r="219" spans="1:23" ht="12.75">
      <c r="A219" s="414"/>
      <c r="B219" s="415"/>
      <c r="C219" s="443"/>
      <c r="D219" s="443"/>
      <c r="E219" s="499">
        <v>175</v>
      </c>
      <c r="F219" s="339">
        <v>464</v>
      </c>
      <c r="G219" s="334" t="s">
        <v>103</v>
      </c>
      <c r="H219" s="426"/>
      <c r="I219" s="426"/>
      <c r="J219" s="523">
        <v>1300000</v>
      </c>
      <c r="K219" s="523">
        <v>198354.66</v>
      </c>
      <c r="L219" s="523">
        <v>1000000</v>
      </c>
      <c r="M219" s="849">
        <f>Rashodi!M255</f>
        <v>300000</v>
      </c>
      <c r="N219" s="849">
        <f>Rashodi!N255</f>
        <v>0</v>
      </c>
      <c r="O219" s="849">
        <f>Rashodi!O255</f>
        <v>0</v>
      </c>
      <c r="P219" s="849">
        <f>Rashodi!P255</f>
        <v>0</v>
      </c>
      <c r="Q219" s="849">
        <f>Rashodi!Q255</f>
        <v>0</v>
      </c>
      <c r="R219" s="849">
        <f>Rashodi!R255</f>
        <v>0</v>
      </c>
      <c r="S219" s="403">
        <v>0</v>
      </c>
      <c r="T219" s="445">
        <f t="shared" si="43"/>
        <v>0</v>
      </c>
      <c r="U219" s="818">
        <f t="shared" si="56"/>
        <v>300000</v>
      </c>
      <c r="V219" s="818">
        <v>800000</v>
      </c>
      <c r="W219" s="818">
        <v>800000</v>
      </c>
    </row>
    <row r="220" spans="1:23" ht="12.75">
      <c r="A220" s="1076"/>
      <c r="B220" s="1077"/>
      <c r="C220" s="1078"/>
      <c r="D220" s="1078"/>
      <c r="E220" s="1079">
        <v>176</v>
      </c>
      <c r="F220" s="518">
        <v>464</v>
      </c>
      <c r="G220" s="334" t="s">
        <v>1350</v>
      </c>
      <c r="H220" s="426"/>
      <c r="I220" s="426"/>
      <c r="J220" s="523">
        <v>1000000</v>
      </c>
      <c r="K220" s="523">
        <v>94080</v>
      </c>
      <c r="L220" s="523">
        <v>800000</v>
      </c>
      <c r="M220" s="849">
        <f>Rashodi!M256</f>
        <v>600000</v>
      </c>
      <c r="N220" s="849">
        <f>Rashodi!N256</f>
        <v>0</v>
      </c>
      <c r="O220" s="849">
        <f>Rashodi!O256</f>
        <v>0</v>
      </c>
      <c r="P220" s="849">
        <f>Rashodi!P256</f>
        <v>0</v>
      </c>
      <c r="Q220" s="849">
        <f>Rashodi!Q256</f>
        <v>0</v>
      </c>
      <c r="R220" s="849">
        <f>Rashodi!R256</f>
        <v>0</v>
      </c>
      <c r="S220" s="403">
        <v>0</v>
      </c>
      <c r="T220" s="445">
        <f t="shared" si="43"/>
        <v>0</v>
      </c>
      <c r="U220" s="818">
        <f t="shared" si="56"/>
        <v>600000</v>
      </c>
      <c r="V220" s="818">
        <v>600000</v>
      </c>
      <c r="W220" s="818">
        <v>600000</v>
      </c>
    </row>
    <row r="221" spans="1:23" ht="12.75">
      <c r="A221" s="464"/>
      <c r="B221" s="464"/>
      <c r="C221" s="1081"/>
      <c r="D221" s="1081"/>
      <c r="E221" s="786" t="s">
        <v>1498</v>
      </c>
      <c r="F221" s="515">
        <v>464</v>
      </c>
      <c r="G221" s="1074" t="s">
        <v>1499</v>
      </c>
      <c r="H221" s="1074"/>
      <c r="I221" s="1074"/>
      <c r="J221" s="523"/>
      <c r="K221" s="523"/>
      <c r="L221" s="523">
        <v>1820000</v>
      </c>
      <c r="M221" s="849">
        <f>Rashodi!M257</f>
        <v>1800000</v>
      </c>
      <c r="N221" s="849">
        <f>Rashodi!N257</f>
        <v>0</v>
      </c>
      <c r="O221" s="849">
        <f>Rashodi!O257</f>
        <v>0</v>
      </c>
      <c r="P221" s="849">
        <f>Rashodi!P257</f>
        <v>0</v>
      </c>
      <c r="Q221" s="849">
        <f>Rashodi!Q257</f>
        <v>0</v>
      </c>
      <c r="R221" s="849">
        <f>Rashodi!R257</f>
        <v>0</v>
      </c>
      <c r="S221" s="1075">
        <v>0</v>
      </c>
      <c r="T221" s="1075"/>
      <c r="U221" s="818">
        <f t="shared" si="56"/>
        <v>1800000</v>
      </c>
      <c r="V221" s="818">
        <v>1800000</v>
      </c>
      <c r="W221" s="818">
        <v>1800000</v>
      </c>
    </row>
    <row r="222" spans="1:23" ht="12.75">
      <c r="A222" s="1080"/>
      <c r="B222" s="784"/>
      <c r="C222" s="699" t="s">
        <v>1167</v>
      </c>
      <c r="D222" s="785" t="s">
        <v>1207</v>
      </c>
      <c r="E222" s="699"/>
      <c r="F222" s="526"/>
      <c r="G222" s="1341" t="s">
        <v>1208</v>
      </c>
      <c r="H222" s="1342"/>
      <c r="I222" s="1342"/>
      <c r="J222" s="984">
        <f aca="true" t="shared" si="57" ref="J222:S223">J223</f>
        <v>200000</v>
      </c>
      <c r="K222" s="984">
        <f t="shared" si="57"/>
        <v>98160.27</v>
      </c>
      <c r="L222" s="984">
        <f t="shared" si="57"/>
        <v>200000</v>
      </c>
      <c r="M222" s="984">
        <f t="shared" si="57"/>
        <v>300000</v>
      </c>
      <c r="N222" s="276">
        <f t="shared" si="57"/>
        <v>0</v>
      </c>
      <c r="O222" s="276">
        <f t="shared" si="57"/>
        <v>0</v>
      </c>
      <c r="P222" s="276">
        <f t="shared" si="57"/>
        <v>0</v>
      </c>
      <c r="Q222" s="276">
        <f t="shared" si="57"/>
        <v>0</v>
      </c>
      <c r="R222" s="276">
        <f t="shared" si="57"/>
        <v>0</v>
      </c>
      <c r="S222" s="321">
        <f t="shared" si="57"/>
        <v>0</v>
      </c>
      <c r="T222" s="321">
        <f t="shared" si="43"/>
        <v>0</v>
      </c>
      <c r="U222" s="819">
        <f t="shared" si="56"/>
        <v>300000</v>
      </c>
      <c r="V222" s="819">
        <v>300000</v>
      </c>
      <c r="W222" s="819">
        <v>300000</v>
      </c>
    </row>
    <row r="223" spans="1:23" ht="12.75">
      <c r="A223" s="414"/>
      <c r="B223" s="415"/>
      <c r="C223" s="56">
        <v>721</v>
      </c>
      <c r="D223" s="167"/>
      <c r="E223" s="338"/>
      <c r="F223" s="339"/>
      <c r="G223" s="73" t="s">
        <v>322</v>
      </c>
      <c r="H223" s="74"/>
      <c r="I223" s="433"/>
      <c r="J223" s="706">
        <f>J224</f>
        <v>200000</v>
      </c>
      <c r="K223" s="706">
        <f>K224</f>
        <v>98160.27</v>
      </c>
      <c r="L223" s="706">
        <f>L224</f>
        <v>200000</v>
      </c>
      <c r="M223" s="706">
        <f>M224</f>
        <v>300000</v>
      </c>
      <c r="N223" s="68">
        <f t="shared" si="57"/>
        <v>0</v>
      </c>
      <c r="O223" s="68">
        <f t="shared" si="57"/>
        <v>0</v>
      </c>
      <c r="P223" s="68">
        <f t="shared" si="57"/>
        <v>0</v>
      </c>
      <c r="Q223" s="68">
        <f t="shared" si="57"/>
        <v>0</v>
      </c>
      <c r="R223" s="68">
        <f t="shared" si="57"/>
        <v>0</v>
      </c>
      <c r="S223" s="68">
        <f t="shared" si="57"/>
        <v>0</v>
      </c>
      <c r="T223" s="324">
        <f t="shared" si="43"/>
        <v>0</v>
      </c>
      <c r="U223" s="1048">
        <f t="shared" si="56"/>
        <v>300000</v>
      </c>
      <c r="V223" s="1048">
        <v>300000</v>
      </c>
      <c r="W223" s="1048">
        <v>300000</v>
      </c>
    </row>
    <row r="224" spans="1:23" ht="12.75">
      <c r="A224" s="336"/>
      <c r="B224" s="343"/>
      <c r="C224" s="338"/>
      <c r="D224" s="343"/>
      <c r="E224" s="354">
        <v>177</v>
      </c>
      <c r="F224" s="428">
        <v>424</v>
      </c>
      <c r="G224" s="1263" t="s">
        <v>1351</v>
      </c>
      <c r="H224" s="1264"/>
      <c r="I224" s="1264"/>
      <c r="J224" s="887">
        <v>200000</v>
      </c>
      <c r="K224" s="887">
        <v>98160.27</v>
      </c>
      <c r="L224" s="887">
        <v>200000</v>
      </c>
      <c r="M224" s="887">
        <f>Rashodi!M260</f>
        <v>300000</v>
      </c>
      <c r="N224" s="887">
        <f>Rashodi!N260</f>
        <v>0</v>
      </c>
      <c r="O224" s="887">
        <f>Rashodi!O260</f>
        <v>0</v>
      </c>
      <c r="P224" s="887">
        <f>Rashodi!P260</f>
        <v>0</v>
      </c>
      <c r="Q224" s="887">
        <f>Rashodi!Q260</f>
        <v>0</v>
      </c>
      <c r="R224" s="887">
        <f>Rashodi!R260</f>
        <v>0</v>
      </c>
      <c r="S224" s="887">
        <f>Rashodi!S260</f>
        <v>0</v>
      </c>
      <c r="T224" s="887">
        <f>Rashodi!T260</f>
        <v>0</v>
      </c>
      <c r="U224" s="887">
        <f>Rashodi!U260</f>
        <v>300000</v>
      </c>
      <c r="V224" s="887">
        <v>300000</v>
      </c>
      <c r="W224" s="887">
        <v>300000</v>
      </c>
    </row>
    <row r="225" spans="1:23" ht="12.75">
      <c r="A225" s="270"/>
      <c r="B225" s="271"/>
      <c r="C225" s="412"/>
      <c r="D225" s="593" t="s">
        <v>298</v>
      </c>
      <c r="E225" s="412"/>
      <c r="F225" s="413"/>
      <c r="G225" s="1293" t="s">
        <v>1209</v>
      </c>
      <c r="H225" s="1294"/>
      <c r="I225" s="1295"/>
      <c r="J225" s="868">
        <f>J226+J239</f>
        <v>6800000</v>
      </c>
      <c r="K225" s="868">
        <f>K226+K239</f>
        <v>1431249.83</v>
      </c>
      <c r="L225" s="868">
        <f>L226+L239</f>
        <v>6800000</v>
      </c>
      <c r="M225" s="868">
        <f>M226+M239</f>
        <v>6800000</v>
      </c>
      <c r="N225" s="272">
        <f aca="true" t="shared" si="58" ref="N225:S225">N226+N239</f>
        <v>0</v>
      </c>
      <c r="O225" s="272">
        <f t="shared" si="58"/>
        <v>0</v>
      </c>
      <c r="P225" s="272">
        <f t="shared" si="58"/>
        <v>12000000</v>
      </c>
      <c r="Q225" s="272">
        <f t="shared" si="58"/>
        <v>40000000</v>
      </c>
      <c r="R225" s="272">
        <f t="shared" si="58"/>
        <v>0</v>
      </c>
      <c r="S225" s="272">
        <f t="shared" si="58"/>
        <v>0</v>
      </c>
      <c r="T225" s="320">
        <f t="shared" si="43"/>
        <v>52000000</v>
      </c>
      <c r="U225" s="819">
        <f>M225+N225+O225+P225+Q225+R225+S225</f>
        <v>58800000</v>
      </c>
      <c r="V225" s="819">
        <v>61600000</v>
      </c>
      <c r="W225" s="819">
        <v>61600000</v>
      </c>
    </row>
    <row r="226" spans="1:23" ht="12.75">
      <c r="A226" s="270"/>
      <c r="B226" s="271"/>
      <c r="C226" s="412"/>
      <c r="D226" s="332" t="s">
        <v>299</v>
      </c>
      <c r="E226" s="412"/>
      <c r="F226" s="413"/>
      <c r="G226" s="1260" t="s">
        <v>1210</v>
      </c>
      <c r="H226" s="1261"/>
      <c r="I226" s="1262"/>
      <c r="J226" s="851">
        <f>J227</f>
        <v>5300000</v>
      </c>
      <c r="K226" s="851">
        <f>K227</f>
        <v>1431249.83</v>
      </c>
      <c r="L226" s="851">
        <f>L227</f>
        <v>5300000</v>
      </c>
      <c r="M226" s="851">
        <f>M227</f>
        <v>5300000</v>
      </c>
      <c r="N226" s="276">
        <f aca="true" t="shared" si="59" ref="N226:S226">N227</f>
        <v>0</v>
      </c>
      <c r="O226" s="276">
        <f t="shared" si="59"/>
        <v>0</v>
      </c>
      <c r="P226" s="276">
        <f t="shared" si="59"/>
        <v>12000000</v>
      </c>
      <c r="Q226" s="276">
        <f t="shared" si="59"/>
        <v>40000000</v>
      </c>
      <c r="R226" s="276">
        <f t="shared" si="59"/>
        <v>0</v>
      </c>
      <c r="S226" s="276">
        <f t="shared" si="59"/>
        <v>0</v>
      </c>
      <c r="T226" s="321">
        <f t="shared" si="43"/>
        <v>52000000</v>
      </c>
      <c r="U226" s="819">
        <f>M226+N226+O226+P226+Q226+R226+S226</f>
        <v>57300000</v>
      </c>
      <c r="V226" s="819">
        <v>60100000</v>
      </c>
      <c r="W226" s="819">
        <v>60100000</v>
      </c>
    </row>
    <row r="227" spans="1:23" ht="12.75">
      <c r="A227" s="414"/>
      <c r="B227" s="415"/>
      <c r="C227" s="56">
        <v>420</v>
      </c>
      <c r="D227" s="167"/>
      <c r="E227" s="338"/>
      <c r="F227" s="339"/>
      <c r="G227" s="73" t="s">
        <v>207</v>
      </c>
      <c r="H227" s="74"/>
      <c r="I227" s="429"/>
      <c r="J227" s="862">
        <f>SUM(J228:J238)</f>
        <v>5300000</v>
      </c>
      <c r="K227" s="862">
        <f>SUM(K228:K238)</f>
        <v>1431249.83</v>
      </c>
      <c r="L227" s="522">
        <f>SUM(L228:L238)</f>
        <v>5300000</v>
      </c>
      <c r="M227" s="522">
        <f>SUM(M228:M238)</f>
        <v>5300000</v>
      </c>
      <c r="N227" s="522">
        <f aca="true" t="shared" si="60" ref="N227:S227">SUM(N228:N238)</f>
        <v>0</v>
      </c>
      <c r="O227" s="522">
        <f t="shared" si="60"/>
        <v>0</v>
      </c>
      <c r="P227" s="522">
        <f t="shared" si="60"/>
        <v>12000000</v>
      </c>
      <c r="Q227" s="522">
        <f t="shared" si="60"/>
        <v>40000000</v>
      </c>
      <c r="R227" s="522">
        <f t="shared" si="60"/>
        <v>0</v>
      </c>
      <c r="S227" s="522">
        <f t="shared" si="60"/>
        <v>0</v>
      </c>
      <c r="T227" s="803">
        <f t="shared" si="43"/>
        <v>52000000</v>
      </c>
      <c r="U227" s="1048">
        <f>M227+N227+O227+P227+Q227+R227+S227</f>
        <v>57300000</v>
      </c>
      <c r="V227" s="1048">
        <v>60100000</v>
      </c>
      <c r="W227" s="1048">
        <v>60100000</v>
      </c>
    </row>
    <row r="228" spans="1:23" ht="12.75">
      <c r="A228" s="495"/>
      <c r="B228" s="436"/>
      <c r="C228" s="496"/>
      <c r="D228" s="436"/>
      <c r="E228" s="496">
        <v>178</v>
      </c>
      <c r="F228" s="418">
        <v>421</v>
      </c>
      <c r="G228" s="1355" t="s">
        <v>215</v>
      </c>
      <c r="H228" s="1356"/>
      <c r="I228" s="1357"/>
      <c r="J228" s="860">
        <v>100000</v>
      </c>
      <c r="K228" s="860">
        <v>0</v>
      </c>
      <c r="L228" s="860">
        <v>100000</v>
      </c>
      <c r="M228" s="860">
        <f>Rashodi!M264</f>
        <v>100000</v>
      </c>
      <c r="N228" s="860">
        <f>Rashodi!N264</f>
        <v>0</v>
      </c>
      <c r="O228" s="860">
        <f>Rashodi!O264</f>
        <v>0</v>
      </c>
      <c r="P228" s="860">
        <f>Rashodi!P264</f>
        <v>0</v>
      </c>
      <c r="Q228" s="860">
        <f>Rashodi!Q264</f>
        <v>0</v>
      </c>
      <c r="R228" s="860">
        <f>Rashodi!R264</f>
        <v>0</v>
      </c>
      <c r="S228" s="860">
        <f>Rashodi!S264</f>
        <v>0</v>
      </c>
      <c r="T228" s="860">
        <f>Rashodi!T264</f>
        <v>0</v>
      </c>
      <c r="U228" s="860">
        <f>Rashodi!U264</f>
        <v>100000</v>
      </c>
      <c r="V228" s="860">
        <v>100000</v>
      </c>
      <c r="W228" s="860">
        <v>100000</v>
      </c>
    </row>
    <row r="229" spans="1:23" ht="12.75">
      <c r="A229" s="336"/>
      <c r="B229" s="343"/>
      <c r="C229" s="344"/>
      <c r="D229" s="337"/>
      <c r="E229" s="496">
        <v>179</v>
      </c>
      <c r="F229" s="339">
        <v>423</v>
      </c>
      <c r="G229" s="1269" t="s">
        <v>1352</v>
      </c>
      <c r="H229" s="1270"/>
      <c r="I229" s="1271"/>
      <c r="J229" s="723">
        <v>3000000</v>
      </c>
      <c r="K229" s="723">
        <v>1348185.6</v>
      </c>
      <c r="L229" s="723">
        <v>3000000</v>
      </c>
      <c r="M229" s="860">
        <f>Rashodi!M265</f>
        <v>3000000</v>
      </c>
      <c r="N229" s="860">
        <f>Rashodi!N265</f>
        <v>0</v>
      </c>
      <c r="O229" s="860">
        <f>Rashodi!O265</f>
        <v>0</v>
      </c>
      <c r="P229" s="860">
        <f>Rashodi!P265</f>
        <v>0</v>
      </c>
      <c r="Q229" s="860">
        <f>Rashodi!Q265</f>
        <v>0</v>
      </c>
      <c r="R229" s="860">
        <f>Rashodi!R265</f>
        <v>0</v>
      </c>
      <c r="S229" s="860">
        <f>Rashodi!S265</f>
        <v>0</v>
      </c>
      <c r="T229" s="860">
        <f>Rashodi!T265</f>
        <v>0</v>
      </c>
      <c r="U229" s="860">
        <f>Rashodi!U265</f>
        <v>3000000</v>
      </c>
      <c r="V229" s="860">
        <v>4800000</v>
      </c>
      <c r="W229" s="860">
        <v>4800000</v>
      </c>
    </row>
    <row r="230" spans="1:23" ht="12.75">
      <c r="A230" s="336"/>
      <c r="B230" s="343"/>
      <c r="C230" s="338"/>
      <c r="D230" s="343"/>
      <c r="E230" s="496">
        <v>180</v>
      </c>
      <c r="F230" s="428">
        <v>424</v>
      </c>
      <c r="G230" s="1257" t="s">
        <v>1357</v>
      </c>
      <c r="H230" s="1258"/>
      <c r="I230" s="1259"/>
      <c r="J230" s="723">
        <v>0</v>
      </c>
      <c r="K230" s="723">
        <v>0</v>
      </c>
      <c r="L230" s="723">
        <v>0</v>
      </c>
      <c r="M230" s="860">
        <f>Rashodi!M266</f>
        <v>0</v>
      </c>
      <c r="N230" s="860">
        <f>Rashodi!N266</f>
        <v>0</v>
      </c>
      <c r="O230" s="860">
        <f>Rashodi!O266</f>
        <v>0</v>
      </c>
      <c r="P230" s="860">
        <f>Rashodi!P266</f>
        <v>0</v>
      </c>
      <c r="Q230" s="860">
        <f>Rashodi!Q266</f>
        <v>1000000</v>
      </c>
      <c r="R230" s="860">
        <f>Rashodi!R266</f>
        <v>0</v>
      </c>
      <c r="S230" s="860">
        <f>Rashodi!S266</f>
        <v>0</v>
      </c>
      <c r="T230" s="860">
        <f>Rashodi!T266</f>
        <v>1000000</v>
      </c>
      <c r="U230" s="860">
        <f>Rashodi!U266</f>
        <v>1000000</v>
      </c>
      <c r="V230" s="860">
        <v>1000000</v>
      </c>
      <c r="W230" s="860">
        <v>1000000</v>
      </c>
    </row>
    <row r="231" spans="1:23" ht="12.75">
      <c r="A231" s="336"/>
      <c r="B231" s="343"/>
      <c r="C231" s="338"/>
      <c r="D231" s="343"/>
      <c r="E231" s="496">
        <v>181</v>
      </c>
      <c r="F231" s="428">
        <v>424</v>
      </c>
      <c r="G231" s="1257" t="s">
        <v>1358</v>
      </c>
      <c r="H231" s="1258"/>
      <c r="I231" s="1259"/>
      <c r="J231" s="723">
        <v>1000000</v>
      </c>
      <c r="K231" s="723">
        <v>0</v>
      </c>
      <c r="L231" s="723">
        <v>1000000</v>
      </c>
      <c r="M231" s="860">
        <f>Rashodi!M267</f>
        <v>1000000</v>
      </c>
      <c r="N231" s="860">
        <f>Rashodi!N267</f>
        <v>0</v>
      </c>
      <c r="O231" s="860">
        <f>Rashodi!O267</f>
        <v>0</v>
      </c>
      <c r="P231" s="860">
        <f>Rashodi!P267</f>
        <v>0</v>
      </c>
      <c r="Q231" s="860">
        <f>Rashodi!Q267</f>
        <v>2000000</v>
      </c>
      <c r="R231" s="860">
        <f>Rashodi!R267</f>
        <v>0</v>
      </c>
      <c r="S231" s="860">
        <f>Rashodi!S267</f>
        <v>0</v>
      </c>
      <c r="T231" s="860">
        <f>Rashodi!T267</f>
        <v>2000000</v>
      </c>
      <c r="U231" s="860">
        <f>Rashodi!U267</f>
        <v>3000000</v>
      </c>
      <c r="V231" s="860">
        <v>3000000</v>
      </c>
      <c r="W231" s="860">
        <v>3000000</v>
      </c>
    </row>
    <row r="232" spans="1:23" ht="12.75">
      <c r="A232" s="336"/>
      <c r="B232" s="343"/>
      <c r="C232" s="338"/>
      <c r="D232" s="343"/>
      <c r="E232" s="496">
        <v>182</v>
      </c>
      <c r="F232" s="428">
        <v>424</v>
      </c>
      <c r="G232" s="1257" t="s">
        <v>1359</v>
      </c>
      <c r="H232" s="1258"/>
      <c r="I232" s="1259"/>
      <c r="J232" s="723">
        <v>0</v>
      </c>
      <c r="K232" s="723">
        <v>0</v>
      </c>
      <c r="L232" s="723">
        <v>0</v>
      </c>
      <c r="M232" s="860">
        <f>Rashodi!M268</f>
        <v>0</v>
      </c>
      <c r="N232" s="860">
        <f>Rashodi!N268</f>
        <v>0</v>
      </c>
      <c r="O232" s="860">
        <f>Rashodi!O268</f>
        <v>0</v>
      </c>
      <c r="P232" s="860">
        <f>Rashodi!P268</f>
        <v>0</v>
      </c>
      <c r="Q232" s="860">
        <f>Rashodi!Q268</f>
        <v>5000000</v>
      </c>
      <c r="R232" s="860">
        <f>Rashodi!R268</f>
        <v>0</v>
      </c>
      <c r="S232" s="860">
        <f>Rashodi!S268</f>
        <v>0</v>
      </c>
      <c r="T232" s="860">
        <f>Rashodi!T268</f>
        <v>5000000</v>
      </c>
      <c r="U232" s="860">
        <f>Rashodi!U268</f>
        <v>5000000</v>
      </c>
      <c r="V232" s="860">
        <v>20000000</v>
      </c>
      <c r="W232" s="860">
        <v>20000000</v>
      </c>
    </row>
    <row r="233" spans="1:23" ht="12.75">
      <c r="A233" s="336"/>
      <c r="B233" s="343"/>
      <c r="C233" s="338"/>
      <c r="D233" s="343"/>
      <c r="E233" s="349">
        <v>183</v>
      </c>
      <c r="F233" s="428">
        <v>425</v>
      </c>
      <c r="G233" s="1269" t="s">
        <v>1435</v>
      </c>
      <c r="H233" s="1270"/>
      <c r="I233" s="1271"/>
      <c r="J233" s="723">
        <v>0</v>
      </c>
      <c r="K233" s="723">
        <v>0</v>
      </c>
      <c r="L233" s="871">
        <v>0</v>
      </c>
      <c r="M233" s="860">
        <f>Rashodi!M269</f>
        <v>0</v>
      </c>
      <c r="N233" s="860">
        <f>Rashodi!N269</f>
        <v>0</v>
      </c>
      <c r="O233" s="860">
        <f>Rashodi!O269</f>
        <v>0</v>
      </c>
      <c r="P233" s="860">
        <f>Rashodi!P269</f>
        <v>12000000</v>
      </c>
      <c r="Q233" s="860">
        <f>Rashodi!Q269</f>
        <v>12000000</v>
      </c>
      <c r="R233" s="860">
        <f>Rashodi!R269</f>
        <v>0</v>
      </c>
      <c r="S233" s="860">
        <f>Rashodi!S269</f>
        <v>0</v>
      </c>
      <c r="T233" s="860">
        <f>Rashodi!T269</f>
        <v>24000000</v>
      </c>
      <c r="U233" s="860">
        <f>Rashodi!U269</f>
        <v>24000000</v>
      </c>
      <c r="V233" s="860">
        <v>10000000</v>
      </c>
      <c r="W233" s="860">
        <v>10000000</v>
      </c>
    </row>
    <row r="234" spans="1:23" ht="12.75">
      <c r="A234" s="336"/>
      <c r="B234" s="343"/>
      <c r="C234" s="338"/>
      <c r="D234" s="343"/>
      <c r="E234" s="349">
        <v>184</v>
      </c>
      <c r="F234" s="428">
        <v>426</v>
      </c>
      <c r="G234" s="1257" t="s">
        <v>1353</v>
      </c>
      <c r="H234" s="1258"/>
      <c r="I234" s="1259"/>
      <c r="J234" s="723">
        <v>500000</v>
      </c>
      <c r="K234" s="345">
        <v>83064.23</v>
      </c>
      <c r="L234" s="523">
        <v>500000</v>
      </c>
      <c r="M234" s="860">
        <f>Rashodi!M270</f>
        <v>500000</v>
      </c>
      <c r="N234" s="860">
        <f>Rashodi!N270</f>
        <v>0</v>
      </c>
      <c r="O234" s="860">
        <f>Rashodi!O270</f>
        <v>0</v>
      </c>
      <c r="P234" s="860">
        <f>Rashodi!P270</f>
        <v>0</v>
      </c>
      <c r="Q234" s="860">
        <f>Rashodi!Q270</f>
        <v>0</v>
      </c>
      <c r="R234" s="860">
        <f>Rashodi!R270</f>
        <v>0</v>
      </c>
      <c r="S234" s="860">
        <f>Rashodi!S270</f>
        <v>0</v>
      </c>
      <c r="T234" s="860">
        <f>Rashodi!T270</f>
        <v>0</v>
      </c>
      <c r="U234" s="860">
        <f>Rashodi!U270</f>
        <v>500000</v>
      </c>
      <c r="V234" s="860">
        <v>500000</v>
      </c>
      <c r="W234" s="860">
        <v>500000</v>
      </c>
    </row>
    <row r="235" spans="1:23" ht="12.75">
      <c r="A235" s="336"/>
      <c r="B235" s="343"/>
      <c r="C235" s="338"/>
      <c r="D235" s="343"/>
      <c r="E235" s="349">
        <v>185</v>
      </c>
      <c r="F235" s="428">
        <v>426</v>
      </c>
      <c r="G235" s="1257" t="s">
        <v>1354</v>
      </c>
      <c r="H235" s="1258"/>
      <c r="I235" s="1259"/>
      <c r="J235" s="723">
        <v>100000</v>
      </c>
      <c r="K235" s="345">
        <v>0</v>
      </c>
      <c r="L235" s="523">
        <v>100000</v>
      </c>
      <c r="M235" s="860">
        <f>Rashodi!M271</f>
        <v>100000</v>
      </c>
      <c r="N235" s="860">
        <f>Rashodi!N271</f>
        <v>0</v>
      </c>
      <c r="O235" s="860">
        <f>Rashodi!O271</f>
        <v>0</v>
      </c>
      <c r="P235" s="860">
        <f>Rashodi!P271</f>
        <v>0</v>
      </c>
      <c r="Q235" s="860">
        <f>Rashodi!Q271</f>
        <v>0</v>
      </c>
      <c r="R235" s="860">
        <f>Rashodi!R271</f>
        <v>0</v>
      </c>
      <c r="S235" s="860">
        <f>Rashodi!S271</f>
        <v>0</v>
      </c>
      <c r="T235" s="860">
        <f>Rashodi!T271</f>
        <v>0</v>
      </c>
      <c r="U235" s="860">
        <f>Rashodi!U271</f>
        <v>100000</v>
      </c>
      <c r="V235" s="860">
        <v>100000</v>
      </c>
      <c r="W235" s="860">
        <v>100000</v>
      </c>
    </row>
    <row r="236" spans="1:23" ht="12.75">
      <c r="A236" s="336"/>
      <c r="B236" s="343"/>
      <c r="C236" s="338"/>
      <c r="D236" s="343"/>
      <c r="E236" s="349">
        <v>186</v>
      </c>
      <c r="F236" s="428">
        <v>451</v>
      </c>
      <c r="G236" s="1257" t="s">
        <v>1355</v>
      </c>
      <c r="H236" s="1258"/>
      <c r="I236" s="1259"/>
      <c r="J236" s="723">
        <v>0</v>
      </c>
      <c r="K236" s="345">
        <v>0</v>
      </c>
      <c r="L236" s="523">
        <v>0</v>
      </c>
      <c r="M236" s="860">
        <f>Rashodi!M272</f>
        <v>0</v>
      </c>
      <c r="N236" s="860">
        <f>Rashodi!N272</f>
        <v>0</v>
      </c>
      <c r="O236" s="860">
        <f>Rashodi!O272</f>
        <v>0</v>
      </c>
      <c r="P236" s="860">
        <f>Rashodi!P272</f>
        <v>0</v>
      </c>
      <c r="Q236" s="860">
        <f>Rashodi!Q272</f>
        <v>20000000</v>
      </c>
      <c r="R236" s="860">
        <f>Rashodi!R272</f>
        <v>0</v>
      </c>
      <c r="S236" s="860">
        <f>Rashodi!S272</f>
        <v>0</v>
      </c>
      <c r="T236" s="860">
        <f>Rashodi!T272</f>
        <v>20000000</v>
      </c>
      <c r="U236" s="860">
        <f>Rashodi!U272</f>
        <v>20000000</v>
      </c>
      <c r="V236" s="860">
        <v>20000000</v>
      </c>
      <c r="W236" s="860">
        <v>20000000</v>
      </c>
    </row>
    <row r="237" spans="1:23" ht="12.75">
      <c r="A237" s="495"/>
      <c r="B237" s="436"/>
      <c r="C237" s="496"/>
      <c r="D237" s="436"/>
      <c r="E237" s="496">
        <v>187</v>
      </c>
      <c r="F237" s="418">
        <v>482</v>
      </c>
      <c r="G237" s="1355" t="s">
        <v>214</v>
      </c>
      <c r="H237" s="1356"/>
      <c r="I237" s="1357"/>
      <c r="J237" s="860">
        <v>100000</v>
      </c>
      <c r="K237" s="1010">
        <v>0</v>
      </c>
      <c r="L237" s="979">
        <v>100000</v>
      </c>
      <c r="M237" s="860">
        <f>Rashodi!M273</f>
        <v>100000</v>
      </c>
      <c r="N237" s="860">
        <f>Rashodi!N273</f>
        <v>0</v>
      </c>
      <c r="O237" s="860">
        <f>Rashodi!O273</f>
        <v>0</v>
      </c>
      <c r="P237" s="860">
        <f>Rashodi!P273</f>
        <v>0</v>
      </c>
      <c r="Q237" s="860">
        <f>Rashodi!Q273</f>
        <v>0</v>
      </c>
      <c r="R237" s="860">
        <f>Rashodi!R273</f>
        <v>0</v>
      </c>
      <c r="S237" s="860">
        <f>Rashodi!S273</f>
        <v>0</v>
      </c>
      <c r="T237" s="860">
        <f>Rashodi!T273</f>
        <v>0</v>
      </c>
      <c r="U237" s="860">
        <f>Rashodi!U273</f>
        <v>100000</v>
      </c>
      <c r="V237" s="860">
        <v>100000</v>
      </c>
      <c r="W237" s="860">
        <v>100000</v>
      </c>
    </row>
    <row r="238" spans="1:23" ht="12.75">
      <c r="A238" s="336"/>
      <c r="B238" s="343"/>
      <c r="C238" s="338"/>
      <c r="D238" s="343"/>
      <c r="E238" s="496">
        <v>188</v>
      </c>
      <c r="F238" s="418">
        <v>512</v>
      </c>
      <c r="G238" s="1351" t="s">
        <v>1461</v>
      </c>
      <c r="H238" s="1332"/>
      <c r="I238" s="1352"/>
      <c r="J238" s="871">
        <v>500000</v>
      </c>
      <c r="K238" s="997">
        <v>0</v>
      </c>
      <c r="L238" s="523">
        <v>500000</v>
      </c>
      <c r="M238" s="860">
        <f>Rashodi!M274</f>
        <v>500000</v>
      </c>
      <c r="N238" s="860">
        <f>Rashodi!N274</f>
        <v>0</v>
      </c>
      <c r="O238" s="860">
        <f>Rashodi!O274</f>
        <v>0</v>
      </c>
      <c r="P238" s="860">
        <f>Rashodi!P274</f>
        <v>0</v>
      </c>
      <c r="Q238" s="860">
        <f>Rashodi!Q274</f>
        <v>0</v>
      </c>
      <c r="R238" s="860">
        <f>Rashodi!R274</f>
        <v>0</v>
      </c>
      <c r="S238" s="860">
        <f>Rashodi!S274</f>
        <v>0</v>
      </c>
      <c r="T238" s="860">
        <f>Rashodi!T274</f>
        <v>0</v>
      </c>
      <c r="U238" s="860">
        <f>Rashodi!U274</f>
        <v>500000</v>
      </c>
      <c r="V238" s="860">
        <v>500000</v>
      </c>
      <c r="W238" s="860">
        <v>500000</v>
      </c>
    </row>
    <row r="239" spans="1:23" ht="12.75">
      <c r="A239" s="270"/>
      <c r="B239" s="271"/>
      <c r="C239" s="412"/>
      <c r="D239" s="332" t="s">
        <v>300</v>
      </c>
      <c r="E239" s="412"/>
      <c r="F239" s="413"/>
      <c r="G239" s="1260" t="s">
        <v>1211</v>
      </c>
      <c r="H239" s="1261"/>
      <c r="I239" s="1262"/>
      <c r="J239" s="851">
        <f aca="true" t="shared" si="61" ref="J239:S240">J240</f>
        <v>1500000</v>
      </c>
      <c r="K239" s="976">
        <f t="shared" si="61"/>
        <v>0</v>
      </c>
      <c r="L239" s="984">
        <f t="shared" si="61"/>
        <v>1500000</v>
      </c>
      <c r="M239" s="984">
        <f t="shared" si="61"/>
        <v>1500000</v>
      </c>
      <c r="N239" s="276">
        <f t="shared" si="61"/>
        <v>0</v>
      </c>
      <c r="O239" s="276">
        <f t="shared" si="61"/>
        <v>0</v>
      </c>
      <c r="P239" s="276">
        <f t="shared" si="61"/>
        <v>0</v>
      </c>
      <c r="Q239" s="276">
        <f t="shared" si="61"/>
        <v>0</v>
      </c>
      <c r="R239" s="276">
        <f t="shared" si="61"/>
        <v>0</v>
      </c>
      <c r="S239" s="321">
        <f t="shared" si="61"/>
        <v>0</v>
      </c>
      <c r="T239" s="321">
        <f t="shared" si="43"/>
        <v>0</v>
      </c>
      <c r="U239" s="819">
        <f>M239+N239+O239+P239+Q239+R239+S239</f>
        <v>1500000</v>
      </c>
      <c r="V239" s="819">
        <v>1500000</v>
      </c>
      <c r="W239" s="819">
        <v>1500000</v>
      </c>
    </row>
    <row r="240" spans="1:23" ht="12.75">
      <c r="A240" s="336"/>
      <c r="B240" s="59"/>
      <c r="C240" s="56">
        <v>620</v>
      </c>
      <c r="D240" s="167"/>
      <c r="E240" s="338"/>
      <c r="F240" s="339"/>
      <c r="G240" s="1296" t="s">
        <v>114</v>
      </c>
      <c r="H240" s="1297"/>
      <c r="I240" s="429"/>
      <c r="J240" s="506">
        <f t="shared" si="61"/>
        <v>1500000</v>
      </c>
      <c r="K240" s="705">
        <f t="shared" si="61"/>
        <v>0</v>
      </c>
      <c r="L240" s="706">
        <f t="shared" si="61"/>
        <v>1500000</v>
      </c>
      <c r="M240" s="706">
        <f t="shared" si="61"/>
        <v>1500000</v>
      </c>
      <c r="N240" s="365">
        <f t="shared" si="61"/>
        <v>0</v>
      </c>
      <c r="O240" s="365">
        <f t="shared" si="61"/>
        <v>0</v>
      </c>
      <c r="P240" s="365">
        <f t="shared" si="61"/>
        <v>0</v>
      </c>
      <c r="Q240" s="606">
        <f t="shared" si="61"/>
        <v>0</v>
      </c>
      <c r="R240" s="606">
        <f t="shared" si="61"/>
        <v>0</v>
      </c>
      <c r="S240" s="606">
        <f t="shared" si="61"/>
        <v>0</v>
      </c>
      <c r="T240" s="709">
        <f>SUM(N240:S240)</f>
        <v>0</v>
      </c>
      <c r="U240" s="1048">
        <f>M240+N240+O240+P240+Q240+R240+S240</f>
        <v>1500000</v>
      </c>
      <c r="V240" s="1048">
        <v>1500000</v>
      </c>
      <c r="W240" s="1048">
        <v>1500000</v>
      </c>
    </row>
    <row r="241" spans="1:23" ht="12.75">
      <c r="A241" s="336"/>
      <c r="B241" s="59"/>
      <c r="C241" s="344"/>
      <c r="D241" s="337"/>
      <c r="E241" s="338">
        <v>189</v>
      </c>
      <c r="F241" s="339">
        <v>454</v>
      </c>
      <c r="G241" s="1269" t="s">
        <v>1356</v>
      </c>
      <c r="H241" s="1270"/>
      <c r="I241" s="1270"/>
      <c r="J241" s="359">
        <v>1500000</v>
      </c>
      <c r="K241" s="359">
        <v>0</v>
      </c>
      <c r="L241" s="523">
        <v>1500000</v>
      </c>
      <c r="M241" s="523">
        <f>Rashodi!M277</f>
        <v>1500000</v>
      </c>
      <c r="N241" s="523">
        <f>Rashodi!N277</f>
        <v>0</v>
      </c>
      <c r="O241" s="523">
        <f>Rashodi!O277</f>
        <v>0</v>
      </c>
      <c r="P241" s="523">
        <f>Rashodi!P277</f>
        <v>0</v>
      </c>
      <c r="Q241" s="523">
        <f>Rashodi!Q277</f>
        <v>0</v>
      </c>
      <c r="R241" s="523">
        <f>Rashodi!R277</f>
        <v>0</v>
      </c>
      <c r="S241" s="523">
        <f>Rashodi!S277</f>
        <v>0</v>
      </c>
      <c r="T241" s="523">
        <f>Rashodi!T277</f>
        <v>0</v>
      </c>
      <c r="U241" s="523">
        <f>Rashodi!U277</f>
        <v>1500000</v>
      </c>
      <c r="V241" s="523">
        <v>1500000</v>
      </c>
      <c r="W241" s="523">
        <v>1500000</v>
      </c>
    </row>
    <row r="242" spans="1:23" ht="12.75">
      <c r="A242" s="270"/>
      <c r="B242" s="271"/>
      <c r="C242" s="412"/>
      <c r="D242" s="593" t="s">
        <v>302</v>
      </c>
      <c r="E242" s="412"/>
      <c r="F242" s="413"/>
      <c r="G242" s="1293" t="s">
        <v>301</v>
      </c>
      <c r="H242" s="1294"/>
      <c r="I242" s="1295"/>
      <c r="J242" s="868">
        <f>J243+J247+J253</f>
        <v>15110000</v>
      </c>
      <c r="K242" s="996">
        <f aca="true" t="shared" si="62" ref="K242:S242">K243+K247+K253</f>
        <v>10144381.26</v>
      </c>
      <c r="L242" s="994">
        <f>L243+L247+L253</f>
        <v>14550000</v>
      </c>
      <c r="M242" s="994">
        <f t="shared" si="62"/>
        <v>16906700</v>
      </c>
      <c r="N242" s="272">
        <f t="shared" si="62"/>
        <v>0</v>
      </c>
      <c r="O242" s="272">
        <f t="shared" si="62"/>
        <v>0</v>
      </c>
      <c r="P242" s="272">
        <f t="shared" si="62"/>
        <v>0</v>
      </c>
      <c r="Q242" s="272">
        <f t="shared" si="62"/>
        <v>0</v>
      </c>
      <c r="R242" s="272">
        <f t="shared" si="62"/>
        <v>0</v>
      </c>
      <c r="S242" s="272">
        <f t="shared" si="62"/>
        <v>0</v>
      </c>
      <c r="T242" s="320">
        <f>SUM(N242:S242)</f>
        <v>0</v>
      </c>
      <c r="U242" s="819">
        <f>M242+N242+O242+P242+Q242+R242+S242</f>
        <v>16906700</v>
      </c>
      <c r="V242" s="819">
        <v>18906600</v>
      </c>
      <c r="W242" s="819">
        <v>18906600</v>
      </c>
    </row>
    <row r="243" spans="1:23" ht="12.75">
      <c r="A243" s="270"/>
      <c r="B243" s="271"/>
      <c r="C243" s="412"/>
      <c r="D243" s="332" t="s">
        <v>1212</v>
      </c>
      <c r="E243" s="412"/>
      <c r="F243" s="413"/>
      <c r="G243" s="1260" t="s">
        <v>312</v>
      </c>
      <c r="H243" s="1261"/>
      <c r="I243" s="1262"/>
      <c r="J243" s="851">
        <f aca="true" t="shared" si="63" ref="J243:S243">J244</f>
        <v>9710000</v>
      </c>
      <c r="K243" s="976">
        <f t="shared" si="63"/>
        <v>9641101.26</v>
      </c>
      <c r="L243" s="984">
        <f t="shared" si="63"/>
        <v>9150000</v>
      </c>
      <c r="M243" s="984">
        <f t="shared" si="63"/>
        <v>10306600</v>
      </c>
      <c r="N243" s="276">
        <f t="shared" si="63"/>
        <v>0</v>
      </c>
      <c r="O243" s="276">
        <f t="shared" si="63"/>
        <v>0</v>
      </c>
      <c r="P243" s="276">
        <f t="shared" si="63"/>
        <v>0</v>
      </c>
      <c r="Q243" s="276">
        <f t="shared" si="63"/>
        <v>0</v>
      </c>
      <c r="R243" s="276">
        <f t="shared" si="63"/>
        <v>0</v>
      </c>
      <c r="S243" s="276">
        <f t="shared" si="63"/>
        <v>0</v>
      </c>
      <c r="T243" s="321">
        <f>SUM(N243:S243)</f>
        <v>0</v>
      </c>
      <c r="U243" s="819">
        <f>M243+N243+O243+P243+Q243+R243+S243</f>
        <v>10306600</v>
      </c>
      <c r="V243" s="819">
        <v>10306600</v>
      </c>
      <c r="W243" s="819">
        <v>10306600</v>
      </c>
    </row>
    <row r="244" spans="1:23" ht="12.75">
      <c r="A244" s="602"/>
      <c r="B244" s="603"/>
      <c r="C244" s="56">
        <v>510</v>
      </c>
      <c r="D244" s="167"/>
      <c r="E244" s="604"/>
      <c r="F244" s="605"/>
      <c r="G244" s="1296" t="s">
        <v>1214</v>
      </c>
      <c r="H244" s="1297"/>
      <c r="I244" s="1298"/>
      <c r="J244" s="727">
        <f aca="true" t="shared" si="64" ref="J244:S244">SUM(J245:J246)</f>
        <v>9710000</v>
      </c>
      <c r="K244" s="1011">
        <f t="shared" si="64"/>
        <v>9641101.26</v>
      </c>
      <c r="L244" s="812">
        <f>SUM(L245:L246)</f>
        <v>9150000</v>
      </c>
      <c r="M244" s="812">
        <f t="shared" si="64"/>
        <v>10306600</v>
      </c>
      <c r="N244" s="365">
        <f t="shared" si="64"/>
        <v>0</v>
      </c>
      <c r="O244" s="365">
        <f t="shared" si="64"/>
        <v>0</v>
      </c>
      <c r="P244" s="365">
        <f t="shared" si="64"/>
        <v>0</v>
      </c>
      <c r="Q244" s="365">
        <f t="shared" si="64"/>
        <v>0</v>
      </c>
      <c r="R244" s="365">
        <f t="shared" si="64"/>
        <v>0</v>
      </c>
      <c r="S244" s="365">
        <f t="shared" si="64"/>
        <v>0</v>
      </c>
      <c r="T244" s="804">
        <f>SUM(N244:S244)</f>
        <v>0</v>
      </c>
      <c r="U244" s="1048">
        <f>M244+N244+O244+P244+Q244+R244+S244</f>
        <v>10306600</v>
      </c>
      <c r="V244" s="1048">
        <v>10306600</v>
      </c>
      <c r="W244" s="1048">
        <v>10306600</v>
      </c>
    </row>
    <row r="245" spans="1:23" ht="12.75">
      <c r="A245" s="355"/>
      <c r="B245" s="319"/>
      <c r="C245" s="356"/>
      <c r="D245" s="357"/>
      <c r="E245" s="349">
        <v>190</v>
      </c>
      <c r="F245" s="350">
        <v>424</v>
      </c>
      <c r="G245" s="1269" t="s">
        <v>1534</v>
      </c>
      <c r="H245" s="1270"/>
      <c r="I245" s="1271"/>
      <c r="J245" s="358">
        <v>1250000</v>
      </c>
      <c r="K245" s="358">
        <v>564487.2</v>
      </c>
      <c r="L245" s="358">
        <v>1250000</v>
      </c>
      <c r="M245" s="358">
        <f>Rashodi!M281</f>
        <v>250000</v>
      </c>
      <c r="N245" s="358">
        <f>Rashodi!N281</f>
        <v>0</v>
      </c>
      <c r="O245" s="358">
        <f>Rashodi!O281</f>
        <v>0</v>
      </c>
      <c r="P245" s="358">
        <f>Rashodi!P281</f>
        <v>0</v>
      </c>
      <c r="Q245" s="358">
        <f>Rashodi!Q281</f>
        <v>0</v>
      </c>
      <c r="R245" s="358">
        <f>Rashodi!R281</f>
        <v>0</v>
      </c>
      <c r="S245" s="358">
        <f>Rashodi!S281</f>
        <v>0</v>
      </c>
      <c r="T245" s="358">
        <f>Rashodi!T281</f>
        <v>0</v>
      </c>
      <c r="U245" s="358">
        <f>Rashodi!U281</f>
        <v>250000</v>
      </c>
      <c r="V245" s="358">
        <v>250000</v>
      </c>
      <c r="W245" s="358">
        <v>250000</v>
      </c>
    </row>
    <row r="246" spans="1:23" ht="12.75">
      <c r="A246" s="355"/>
      <c r="B246" s="319"/>
      <c r="C246" s="356"/>
      <c r="D246" s="357"/>
      <c r="E246" s="349">
        <v>191</v>
      </c>
      <c r="F246" s="350">
        <v>451</v>
      </c>
      <c r="G246" s="1269" t="s">
        <v>1456</v>
      </c>
      <c r="H246" s="1270"/>
      <c r="I246" s="1271"/>
      <c r="J246" s="358">
        <v>8460000</v>
      </c>
      <c r="K246" s="358">
        <v>9076614.06</v>
      </c>
      <c r="L246" s="358">
        <v>7900000</v>
      </c>
      <c r="M246" s="358">
        <f>Rashodi!M282</f>
        <v>10056600</v>
      </c>
      <c r="N246" s="358">
        <f>Rashodi!N282</f>
        <v>0</v>
      </c>
      <c r="O246" s="358">
        <f>Rashodi!O282</f>
        <v>0</v>
      </c>
      <c r="P246" s="358">
        <f>Rashodi!P282</f>
        <v>0</v>
      </c>
      <c r="Q246" s="358">
        <f>Rashodi!Q282</f>
        <v>0</v>
      </c>
      <c r="R246" s="358">
        <f>Rashodi!R282</f>
        <v>0</v>
      </c>
      <c r="S246" s="358">
        <f>Rashodi!S282</f>
        <v>0</v>
      </c>
      <c r="T246" s="358">
        <f>Rashodi!T282</f>
        <v>0</v>
      </c>
      <c r="U246" s="358">
        <f>Rashodi!U282</f>
        <v>10056600</v>
      </c>
      <c r="V246" s="358">
        <v>10056600</v>
      </c>
      <c r="W246" s="358">
        <v>10056600</v>
      </c>
    </row>
    <row r="247" spans="1:23" ht="12.75">
      <c r="A247" s="270"/>
      <c r="B247" s="271"/>
      <c r="C247" s="412"/>
      <c r="D247" s="332" t="s">
        <v>303</v>
      </c>
      <c r="E247" s="412"/>
      <c r="F247" s="413"/>
      <c r="G247" s="1260" t="s">
        <v>1213</v>
      </c>
      <c r="H247" s="1261"/>
      <c r="I247" s="1262"/>
      <c r="J247" s="851">
        <f aca="true" t="shared" si="65" ref="J247:S247">J248</f>
        <v>4900000</v>
      </c>
      <c r="K247" s="851">
        <f t="shared" si="65"/>
        <v>503280</v>
      </c>
      <c r="L247" s="851">
        <f t="shared" si="65"/>
        <v>4900000</v>
      </c>
      <c r="M247" s="851">
        <f t="shared" si="65"/>
        <v>6100000</v>
      </c>
      <c r="N247" s="276">
        <f t="shared" si="65"/>
        <v>0</v>
      </c>
      <c r="O247" s="276">
        <f t="shared" si="65"/>
        <v>0</v>
      </c>
      <c r="P247" s="276">
        <f t="shared" si="65"/>
        <v>0</v>
      </c>
      <c r="Q247" s="276">
        <f t="shared" si="65"/>
        <v>0</v>
      </c>
      <c r="R247" s="700">
        <f t="shared" si="65"/>
        <v>0</v>
      </c>
      <c r="S247" s="700">
        <f t="shared" si="65"/>
        <v>0</v>
      </c>
      <c r="T247" s="805">
        <f>SUM(N247:S247)</f>
        <v>0</v>
      </c>
      <c r="U247" s="819">
        <f>M247+N247+O247+P247+Q247+R247+S247</f>
        <v>6100000</v>
      </c>
      <c r="V247" s="819">
        <v>6100000</v>
      </c>
      <c r="W247" s="819">
        <v>6100000</v>
      </c>
    </row>
    <row r="248" spans="1:23" ht="12.75">
      <c r="A248" s="602"/>
      <c r="B248" s="603"/>
      <c r="C248" s="56">
        <v>560</v>
      </c>
      <c r="D248" s="167"/>
      <c r="E248" s="604"/>
      <c r="F248" s="605"/>
      <c r="G248" s="1296" t="s">
        <v>1215</v>
      </c>
      <c r="H248" s="1297"/>
      <c r="I248" s="1298"/>
      <c r="J248" s="727">
        <f>SUM(J249:J252)</f>
        <v>4900000</v>
      </c>
      <c r="K248" s="727">
        <f>SUM(K249:K252)</f>
        <v>503280</v>
      </c>
      <c r="L248" s="727">
        <f>SUM(L249:L252)</f>
        <v>4900000</v>
      </c>
      <c r="M248" s="727">
        <f>SUM(M249:M252)</f>
        <v>6100000</v>
      </c>
      <c r="N248" s="365">
        <f aca="true" t="shared" si="66" ref="N248:S248">SUM(N249:N252)</f>
        <v>0</v>
      </c>
      <c r="O248" s="365">
        <f t="shared" si="66"/>
        <v>0</v>
      </c>
      <c r="P248" s="365">
        <f t="shared" si="66"/>
        <v>0</v>
      </c>
      <c r="Q248" s="709">
        <f t="shared" si="66"/>
        <v>0</v>
      </c>
      <c r="R248" s="713">
        <f t="shared" si="66"/>
        <v>0</v>
      </c>
      <c r="S248" s="713">
        <f t="shared" si="66"/>
        <v>0</v>
      </c>
      <c r="T248" s="806">
        <f>SUM(N248:S248)</f>
        <v>0</v>
      </c>
      <c r="U248" s="1048">
        <f>M248+N248+O248+P248+Q248+R248+S248</f>
        <v>6100000</v>
      </c>
      <c r="V248" s="1048">
        <v>6100000</v>
      </c>
      <c r="W248" s="1048">
        <v>6100000</v>
      </c>
    </row>
    <row r="249" spans="1:23" ht="12.75">
      <c r="A249" s="336"/>
      <c r="B249" s="59"/>
      <c r="C249" s="56"/>
      <c r="D249" s="167"/>
      <c r="E249" s="349">
        <v>192</v>
      </c>
      <c r="F249" s="339">
        <v>424</v>
      </c>
      <c r="G249" s="1257" t="s">
        <v>1391</v>
      </c>
      <c r="H249" s="1258"/>
      <c r="I249" s="1259"/>
      <c r="J249" s="871">
        <v>1300000</v>
      </c>
      <c r="K249" s="871">
        <v>0</v>
      </c>
      <c r="L249" s="871">
        <v>1300000</v>
      </c>
      <c r="M249" s="871">
        <f>Rashodi!M285</f>
        <v>2500000</v>
      </c>
      <c r="N249" s="871">
        <f>Rashodi!N285</f>
        <v>0</v>
      </c>
      <c r="O249" s="871">
        <f>Rashodi!O285</f>
        <v>0</v>
      </c>
      <c r="P249" s="871">
        <f>Rashodi!P285</f>
        <v>0</v>
      </c>
      <c r="Q249" s="871">
        <f>Rashodi!Q285</f>
        <v>0</v>
      </c>
      <c r="R249" s="871">
        <f>Rashodi!R285</f>
        <v>0</v>
      </c>
      <c r="S249" s="871">
        <f>Rashodi!S285</f>
        <v>0</v>
      </c>
      <c r="T249" s="871">
        <f>Rashodi!T285</f>
        <v>0</v>
      </c>
      <c r="U249" s="871">
        <f>Rashodi!U285</f>
        <v>2500000</v>
      </c>
      <c r="V249" s="871">
        <v>2500000</v>
      </c>
      <c r="W249" s="871">
        <v>2500000</v>
      </c>
    </row>
    <row r="250" spans="1:23" ht="12.75">
      <c r="A250" s="355"/>
      <c r="B250" s="319"/>
      <c r="C250" s="60"/>
      <c r="D250" s="519"/>
      <c r="E250" s="349">
        <v>193</v>
      </c>
      <c r="F250" s="350">
        <v>424</v>
      </c>
      <c r="G250" s="353" t="s">
        <v>1360</v>
      </c>
      <c r="H250" s="697"/>
      <c r="I250" s="697"/>
      <c r="J250" s="523">
        <v>3000000</v>
      </c>
      <c r="K250" s="523">
        <v>503280</v>
      </c>
      <c r="L250" s="523">
        <v>3000000</v>
      </c>
      <c r="M250" s="871">
        <f>Rashodi!M286</f>
        <v>3000000</v>
      </c>
      <c r="N250" s="871">
        <f>Rashodi!N286</f>
        <v>0</v>
      </c>
      <c r="O250" s="871">
        <f>Rashodi!O286</f>
        <v>0</v>
      </c>
      <c r="P250" s="871">
        <f>Rashodi!P286</f>
        <v>0</v>
      </c>
      <c r="Q250" s="871">
        <f>Rashodi!Q286</f>
        <v>0</v>
      </c>
      <c r="R250" s="871">
        <f>Rashodi!R286</f>
        <v>0</v>
      </c>
      <c r="S250" s="871">
        <f>Rashodi!S286</f>
        <v>0</v>
      </c>
      <c r="T250" s="871">
        <f>Rashodi!T286</f>
        <v>0</v>
      </c>
      <c r="U250" s="871">
        <f>Rashodi!U286</f>
        <v>3000000</v>
      </c>
      <c r="V250" s="871">
        <v>3000000</v>
      </c>
      <c r="W250" s="871">
        <v>3000000</v>
      </c>
    </row>
    <row r="251" spans="1:23" ht="12.75">
      <c r="A251" s="355"/>
      <c r="B251" s="319"/>
      <c r="C251" s="60"/>
      <c r="D251" s="519"/>
      <c r="E251" s="349">
        <v>194</v>
      </c>
      <c r="F251" s="350">
        <v>481</v>
      </c>
      <c r="G251" s="1351" t="s">
        <v>162</v>
      </c>
      <c r="H251" s="1332"/>
      <c r="I251" s="1332"/>
      <c r="J251" s="523">
        <v>100000</v>
      </c>
      <c r="K251" s="523">
        <v>0</v>
      </c>
      <c r="L251" s="523">
        <v>100000</v>
      </c>
      <c r="M251" s="871">
        <f>Rashodi!M287</f>
        <v>100000</v>
      </c>
      <c r="N251" s="871">
        <f>Rashodi!N287</f>
        <v>0</v>
      </c>
      <c r="O251" s="871">
        <f>Rashodi!O287</f>
        <v>0</v>
      </c>
      <c r="P251" s="871">
        <f>Rashodi!P287</f>
        <v>0</v>
      </c>
      <c r="Q251" s="871">
        <f>Rashodi!Q287</f>
        <v>0</v>
      </c>
      <c r="R251" s="871">
        <f>Rashodi!R287</f>
        <v>0</v>
      </c>
      <c r="S251" s="871">
        <f>Rashodi!S287</f>
        <v>0</v>
      </c>
      <c r="T251" s="871">
        <f>Rashodi!T287</f>
        <v>0</v>
      </c>
      <c r="U251" s="871">
        <f>Rashodi!U287</f>
        <v>100000</v>
      </c>
      <c r="V251" s="871">
        <v>100000</v>
      </c>
      <c r="W251" s="871">
        <v>100000</v>
      </c>
    </row>
    <row r="252" spans="1:23" ht="12.75">
      <c r="A252" s="355"/>
      <c r="B252" s="319"/>
      <c r="C252" s="60"/>
      <c r="D252" s="519"/>
      <c r="E252" s="349">
        <v>195</v>
      </c>
      <c r="F252" s="350">
        <v>424</v>
      </c>
      <c r="G252" s="1354" t="s">
        <v>1384</v>
      </c>
      <c r="H252" s="1277"/>
      <c r="I252" s="1277"/>
      <c r="J252" s="523">
        <v>500000</v>
      </c>
      <c r="K252" s="523">
        <v>0</v>
      </c>
      <c r="L252" s="523">
        <v>500000</v>
      </c>
      <c r="M252" s="871">
        <f>Rashodi!M288</f>
        <v>500000</v>
      </c>
      <c r="N252" s="871">
        <f>Rashodi!N288</f>
        <v>0</v>
      </c>
      <c r="O252" s="871">
        <f>Rashodi!O288</f>
        <v>0</v>
      </c>
      <c r="P252" s="871">
        <f>Rashodi!P288</f>
        <v>0</v>
      </c>
      <c r="Q252" s="871">
        <f>Rashodi!Q288</f>
        <v>0</v>
      </c>
      <c r="R252" s="871">
        <f>Rashodi!R288</f>
        <v>0</v>
      </c>
      <c r="S252" s="871">
        <f>Rashodi!S288</f>
        <v>0</v>
      </c>
      <c r="T252" s="871">
        <f>Rashodi!T288</f>
        <v>0</v>
      </c>
      <c r="U252" s="871">
        <f>Rashodi!U288</f>
        <v>500000</v>
      </c>
      <c r="V252" s="871">
        <v>500000</v>
      </c>
      <c r="W252" s="871">
        <v>500000</v>
      </c>
    </row>
    <row r="253" spans="1:23" ht="12.75">
      <c r="A253" s="270"/>
      <c r="B253" s="271"/>
      <c r="C253" s="412"/>
      <c r="D253" s="332" t="s">
        <v>833</v>
      </c>
      <c r="E253" s="412"/>
      <c r="F253" s="413"/>
      <c r="G253" s="1260" t="s">
        <v>1316</v>
      </c>
      <c r="H253" s="1280"/>
      <c r="I253" s="1281"/>
      <c r="J253" s="872">
        <f>J254</f>
        <v>500000</v>
      </c>
      <c r="K253" s="872">
        <f>K254</f>
        <v>0</v>
      </c>
      <c r="L253" s="872">
        <f>L254</f>
        <v>500000</v>
      </c>
      <c r="M253" s="872">
        <f>M254</f>
        <v>500100</v>
      </c>
      <c r="N253" s="276">
        <f aca="true" t="shared" si="67" ref="N253:S253">N254</f>
        <v>0</v>
      </c>
      <c r="O253" s="276">
        <f t="shared" si="67"/>
        <v>0</v>
      </c>
      <c r="P253" s="276">
        <f t="shared" si="67"/>
        <v>0</v>
      </c>
      <c r="Q253" s="276">
        <f t="shared" si="67"/>
        <v>0</v>
      </c>
      <c r="R253" s="276">
        <f t="shared" si="67"/>
        <v>0</v>
      </c>
      <c r="S253" s="276">
        <f t="shared" si="67"/>
        <v>0</v>
      </c>
      <c r="T253" s="321">
        <f>SUM(N253:S253)</f>
        <v>0</v>
      </c>
      <c r="U253" s="819">
        <f>M253+N253+O253+P253+Q253+R253+S253</f>
        <v>500100</v>
      </c>
      <c r="V253" s="819">
        <v>2500000</v>
      </c>
      <c r="W253" s="819">
        <v>2500000</v>
      </c>
    </row>
    <row r="254" spans="1:23" ht="12.75">
      <c r="A254" s="602"/>
      <c r="B254" s="603"/>
      <c r="C254" s="56">
        <v>520</v>
      </c>
      <c r="D254" s="167"/>
      <c r="E254" s="604"/>
      <c r="F254" s="605"/>
      <c r="G254" s="1296" t="s">
        <v>1316</v>
      </c>
      <c r="H254" s="1297"/>
      <c r="I254" s="1298"/>
      <c r="J254" s="727">
        <f>SUM(J255:J255)</f>
        <v>500000</v>
      </c>
      <c r="K254" s="727">
        <f>SUM(K255:K255)</f>
        <v>0</v>
      </c>
      <c r="L254" s="727">
        <f>SUM(L255:L255)</f>
        <v>500000</v>
      </c>
      <c r="M254" s="727">
        <f>SUM(M255:M256)</f>
        <v>500100</v>
      </c>
      <c r="N254" s="727">
        <f aca="true" t="shared" si="68" ref="N254:U254">SUM(N255:N256)</f>
        <v>0</v>
      </c>
      <c r="O254" s="727">
        <f t="shared" si="68"/>
        <v>0</v>
      </c>
      <c r="P254" s="727">
        <f t="shared" si="68"/>
        <v>0</v>
      </c>
      <c r="Q254" s="727">
        <f t="shared" si="68"/>
        <v>0</v>
      </c>
      <c r="R254" s="727">
        <f t="shared" si="68"/>
        <v>0</v>
      </c>
      <c r="S254" s="727">
        <f t="shared" si="68"/>
        <v>0</v>
      </c>
      <c r="T254" s="727">
        <f t="shared" si="68"/>
        <v>0</v>
      </c>
      <c r="U254" s="727">
        <f t="shared" si="68"/>
        <v>500100</v>
      </c>
      <c r="V254" s="727">
        <v>2500000</v>
      </c>
      <c r="W254" s="727">
        <v>2500000</v>
      </c>
    </row>
    <row r="255" spans="1:23" ht="12.75">
      <c r="A255" s="355"/>
      <c r="B255" s="319"/>
      <c r="C255" s="356"/>
      <c r="D255" s="357"/>
      <c r="E255" s="349">
        <v>196</v>
      </c>
      <c r="F255" s="350">
        <v>425</v>
      </c>
      <c r="G255" s="1269" t="s">
        <v>1361</v>
      </c>
      <c r="H255" s="1270"/>
      <c r="I255" s="1271"/>
      <c r="J255" s="358">
        <v>500000</v>
      </c>
      <c r="K255" s="358">
        <v>0</v>
      </c>
      <c r="L255" s="358">
        <v>500000</v>
      </c>
      <c r="M255" s="358">
        <f>Rashodi!M291</f>
        <v>500000</v>
      </c>
      <c r="N255" s="358">
        <f>Rashodi!N291</f>
        <v>0</v>
      </c>
      <c r="O255" s="358">
        <f>Rashodi!O291</f>
        <v>0</v>
      </c>
      <c r="P255" s="358">
        <f>Rashodi!P291</f>
        <v>0</v>
      </c>
      <c r="Q255" s="358">
        <f>Rashodi!Q291</f>
        <v>0</v>
      </c>
      <c r="R255" s="358">
        <f>Rashodi!R291</f>
        <v>0</v>
      </c>
      <c r="S255" s="358">
        <f>Rashodi!S291</f>
        <v>0</v>
      </c>
      <c r="T255" s="358">
        <f>Rashodi!T291</f>
        <v>0</v>
      </c>
      <c r="U255" s="358">
        <f>Rashodi!U291</f>
        <v>500000</v>
      </c>
      <c r="V255" s="358">
        <v>500000</v>
      </c>
      <c r="W255" s="358">
        <v>500000</v>
      </c>
    </row>
    <row r="256" spans="1:23" ht="12.75">
      <c r="A256" s="355"/>
      <c r="B256" s="319"/>
      <c r="C256" s="356"/>
      <c r="D256" s="357"/>
      <c r="E256" s="349"/>
      <c r="F256" s="350">
        <v>512</v>
      </c>
      <c r="G256" s="1351" t="s">
        <v>1539</v>
      </c>
      <c r="H256" s="1332"/>
      <c r="I256" s="1352"/>
      <c r="J256" s="873"/>
      <c r="K256" s="873"/>
      <c r="L256" s="358"/>
      <c r="M256" s="358">
        <f>Rashodi!M292</f>
        <v>100</v>
      </c>
      <c r="N256" s="358">
        <f>Rashodi!N292</f>
        <v>0</v>
      </c>
      <c r="O256" s="358">
        <f>Rashodi!O292</f>
        <v>0</v>
      </c>
      <c r="P256" s="358">
        <f>Rashodi!P292</f>
        <v>0</v>
      </c>
      <c r="Q256" s="358">
        <f>Rashodi!Q292</f>
        <v>0</v>
      </c>
      <c r="R256" s="358">
        <f>Rashodi!R292</f>
        <v>0</v>
      </c>
      <c r="S256" s="358">
        <f>Rashodi!S292</f>
        <v>0</v>
      </c>
      <c r="T256" s="358">
        <f>Rashodi!T292</f>
        <v>0</v>
      </c>
      <c r="U256" s="358">
        <f>Rashodi!U292</f>
        <v>100</v>
      </c>
      <c r="V256" s="358">
        <v>2000000</v>
      </c>
      <c r="W256" s="358">
        <v>2000000</v>
      </c>
    </row>
    <row r="257" spans="1:23" ht="12.75">
      <c r="A257" s="270"/>
      <c r="B257" s="271"/>
      <c r="C257" s="412"/>
      <c r="D257" s="593" t="s">
        <v>1223</v>
      </c>
      <c r="E257" s="412"/>
      <c r="F257" s="413"/>
      <c r="G257" s="1327" t="s">
        <v>307</v>
      </c>
      <c r="H257" s="1328"/>
      <c r="I257" s="1350"/>
      <c r="J257" s="868">
        <f>J258+J262+J268+J273+J278</f>
        <v>42300000</v>
      </c>
      <c r="K257" s="868">
        <f aca="true" t="shared" si="69" ref="K257:S257">K258+K262+K268+K273+K278</f>
        <v>12187638.62</v>
      </c>
      <c r="L257" s="868">
        <f>L258+L262+L268+L273+L278</f>
        <v>39950000</v>
      </c>
      <c r="M257" s="868">
        <f t="shared" si="69"/>
        <v>42200000</v>
      </c>
      <c r="N257" s="272">
        <f t="shared" si="69"/>
        <v>0</v>
      </c>
      <c r="O257" s="272">
        <f t="shared" si="69"/>
        <v>0</v>
      </c>
      <c r="P257" s="272">
        <f t="shared" si="69"/>
        <v>0</v>
      </c>
      <c r="Q257" s="272">
        <f t="shared" si="69"/>
        <v>0</v>
      </c>
      <c r="R257" s="272">
        <f t="shared" si="69"/>
        <v>0</v>
      </c>
      <c r="S257" s="272">
        <f t="shared" si="69"/>
        <v>0</v>
      </c>
      <c r="T257" s="320">
        <f>SUM(N257:S257)</f>
        <v>0</v>
      </c>
      <c r="U257" s="819">
        <f>M257+N257+O257+P257+Q257+R257+S257</f>
        <v>42200000</v>
      </c>
      <c r="V257" s="819">
        <v>42400000</v>
      </c>
      <c r="W257" s="819">
        <v>42400000</v>
      </c>
    </row>
    <row r="258" spans="1:23" ht="12.75">
      <c r="A258" s="270"/>
      <c r="B258" s="271"/>
      <c r="C258" s="412"/>
      <c r="D258" s="332" t="s">
        <v>1218</v>
      </c>
      <c r="E258" s="412"/>
      <c r="F258" s="413"/>
      <c r="G258" s="1260" t="s">
        <v>1297</v>
      </c>
      <c r="H258" s="1261"/>
      <c r="I258" s="1262"/>
      <c r="J258" s="851">
        <f aca="true" t="shared" si="70" ref="J258:S258">J259</f>
        <v>8850000</v>
      </c>
      <c r="K258" s="851">
        <f t="shared" si="70"/>
        <v>5151804.58</v>
      </c>
      <c r="L258" s="851">
        <f t="shared" si="70"/>
        <v>9150000</v>
      </c>
      <c r="M258" s="851">
        <f t="shared" si="70"/>
        <v>10800000</v>
      </c>
      <c r="N258" s="276">
        <f t="shared" si="70"/>
        <v>0</v>
      </c>
      <c r="O258" s="276">
        <f t="shared" si="70"/>
        <v>0</v>
      </c>
      <c r="P258" s="276">
        <f t="shared" si="70"/>
        <v>0</v>
      </c>
      <c r="Q258" s="276">
        <f t="shared" si="70"/>
        <v>0</v>
      </c>
      <c r="R258" s="276">
        <f t="shared" si="70"/>
        <v>0</v>
      </c>
      <c r="S258" s="276">
        <f t="shared" si="70"/>
        <v>0</v>
      </c>
      <c r="T258" s="321">
        <f>SUM(N258:S258)</f>
        <v>0</v>
      </c>
      <c r="U258" s="819">
        <f>M258+N258+O258+P258+Q258+R258+S258</f>
        <v>10800000</v>
      </c>
      <c r="V258" s="819">
        <v>10800000</v>
      </c>
      <c r="W258" s="819">
        <v>10800000</v>
      </c>
    </row>
    <row r="259" spans="1:23" ht="12.75">
      <c r="A259" s="314"/>
      <c r="B259" s="315"/>
      <c r="C259" s="318">
        <v>640</v>
      </c>
      <c r="D259" s="348"/>
      <c r="E259" s="349"/>
      <c r="F259" s="350"/>
      <c r="G259" s="1272" t="s">
        <v>169</v>
      </c>
      <c r="H259" s="1273"/>
      <c r="I259" s="1349"/>
      <c r="J259" s="874">
        <f>SUM(J260:J261)</f>
        <v>8850000</v>
      </c>
      <c r="K259" s="874">
        <f>SUM(K260:K261)</f>
        <v>5151804.58</v>
      </c>
      <c r="L259" s="998">
        <f>SUM(L260:L261)</f>
        <v>9150000</v>
      </c>
      <c r="M259" s="998">
        <f>SUM(M260:M261)</f>
        <v>10800000</v>
      </c>
      <c r="N259" s="316">
        <f aca="true" t="shared" si="71" ref="N259:S259">SUM(N260:N261)</f>
        <v>0</v>
      </c>
      <c r="O259" s="316">
        <f t="shared" si="71"/>
        <v>0</v>
      </c>
      <c r="P259" s="316">
        <f t="shared" si="71"/>
        <v>0</v>
      </c>
      <c r="Q259" s="316">
        <f t="shared" si="71"/>
        <v>0</v>
      </c>
      <c r="R259" s="316">
        <f t="shared" si="71"/>
        <v>0</v>
      </c>
      <c r="S259" s="316">
        <f t="shared" si="71"/>
        <v>0</v>
      </c>
      <c r="T259" s="327">
        <f>SUM(N259:S259)</f>
        <v>0</v>
      </c>
      <c r="U259" s="1048">
        <f>M259+N259+O259+P259+Q259+R259+S259</f>
        <v>10800000</v>
      </c>
      <c r="V259" s="1048">
        <v>10800000</v>
      </c>
      <c r="W259" s="1048">
        <v>10800000</v>
      </c>
    </row>
    <row r="260" spans="1:23" ht="12.75">
      <c r="A260" s="336"/>
      <c r="B260" s="343"/>
      <c r="C260" s="338"/>
      <c r="D260" s="343"/>
      <c r="E260" s="354">
        <v>197</v>
      </c>
      <c r="F260" s="428">
        <v>421</v>
      </c>
      <c r="G260" s="1308" t="s">
        <v>33</v>
      </c>
      <c r="H260" s="1309"/>
      <c r="I260" s="1353"/>
      <c r="J260" s="871">
        <v>8000000</v>
      </c>
      <c r="K260" s="997">
        <v>4560444.42</v>
      </c>
      <c r="L260" s="523">
        <v>8000000</v>
      </c>
      <c r="M260" s="523">
        <f>Rashodi!M296</f>
        <v>9500000</v>
      </c>
      <c r="N260" s="523">
        <f>Rashodi!N296</f>
        <v>0</v>
      </c>
      <c r="O260" s="523">
        <f>Rashodi!O296</f>
        <v>0</v>
      </c>
      <c r="P260" s="523">
        <f>Rashodi!P296</f>
        <v>0</v>
      </c>
      <c r="Q260" s="523">
        <f>Rashodi!Q296</f>
        <v>0</v>
      </c>
      <c r="R260" s="523">
        <f>Rashodi!R296</f>
        <v>0</v>
      </c>
      <c r="S260" s="523">
        <f>Rashodi!S296</f>
        <v>0</v>
      </c>
      <c r="T260" s="523">
        <f>Rashodi!T296</f>
        <v>0</v>
      </c>
      <c r="U260" s="523">
        <f>Rashodi!U296</f>
        <v>9500000</v>
      </c>
      <c r="V260" s="523">
        <v>9500000</v>
      </c>
      <c r="W260" s="523">
        <v>9500000</v>
      </c>
    </row>
    <row r="261" spans="1:23" ht="12.75">
      <c r="A261" s="355"/>
      <c r="B261" s="348"/>
      <c r="C261" s="349"/>
      <c r="D261" s="348"/>
      <c r="E261" s="447">
        <v>198</v>
      </c>
      <c r="F261" s="448">
        <v>425</v>
      </c>
      <c r="G261" s="675" t="s">
        <v>90</v>
      </c>
      <c r="H261" s="675"/>
      <c r="I261" s="675"/>
      <c r="J261" s="859">
        <v>850000</v>
      </c>
      <c r="K261" s="859">
        <v>591360.1599999999</v>
      </c>
      <c r="L261" s="523">
        <v>1150000</v>
      </c>
      <c r="M261" s="523">
        <f>Rashodi!M297</f>
        <v>1300000</v>
      </c>
      <c r="N261" s="523">
        <f>Rashodi!N297</f>
        <v>0</v>
      </c>
      <c r="O261" s="523">
        <f>Rashodi!O297</f>
        <v>0</v>
      </c>
      <c r="P261" s="523">
        <f>Rashodi!P297</f>
        <v>0</v>
      </c>
      <c r="Q261" s="523">
        <f>Rashodi!Q297</f>
        <v>0</v>
      </c>
      <c r="R261" s="523">
        <f>Rashodi!R297</f>
        <v>0</v>
      </c>
      <c r="S261" s="523">
        <f>Rashodi!S297</f>
        <v>0</v>
      </c>
      <c r="T261" s="523">
        <f>Rashodi!T297</f>
        <v>0</v>
      </c>
      <c r="U261" s="523">
        <f>Rashodi!U297</f>
        <v>1300000</v>
      </c>
      <c r="V261" s="523">
        <v>1300000</v>
      </c>
      <c r="W261" s="523">
        <v>1300000</v>
      </c>
    </row>
    <row r="262" spans="1:23" ht="12.75">
      <c r="A262" s="270"/>
      <c r="B262" s="271"/>
      <c r="C262" s="412"/>
      <c r="D262" s="332" t="s">
        <v>1219</v>
      </c>
      <c r="E262" s="412"/>
      <c r="F262" s="413"/>
      <c r="G262" s="1260" t="s">
        <v>1216</v>
      </c>
      <c r="H262" s="1261"/>
      <c r="I262" s="1262"/>
      <c r="J262" s="851">
        <f>J263</f>
        <v>17000000</v>
      </c>
      <c r="K262" s="976">
        <f>K263</f>
        <v>4946781.039999999</v>
      </c>
      <c r="L262" s="984">
        <f>L263</f>
        <v>17000000</v>
      </c>
      <c r="M262" s="984">
        <f>M263</f>
        <v>20000000</v>
      </c>
      <c r="N262" s="276">
        <f aca="true" t="shared" si="72" ref="N262:S262">N263</f>
        <v>0</v>
      </c>
      <c r="O262" s="276">
        <f t="shared" si="72"/>
        <v>0</v>
      </c>
      <c r="P262" s="276">
        <f t="shared" si="72"/>
        <v>0</v>
      </c>
      <c r="Q262" s="276">
        <f t="shared" si="72"/>
        <v>0</v>
      </c>
      <c r="R262" s="276">
        <f t="shared" si="72"/>
        <v>0</v>
      </c>
      <c r="S262" s="276">
        <f t="shared" si="72"/>
        <v>0</v>
      </c>
      <c r="T262" s="321">
        <f>SUM(N262:S262)</f>
        <v>0</v>
      </c>
      <c r="U262" s="819">
        <f>M262+N262+O262+P262+Q262+R262+S262</f>
        <v>20000000</v>
      </c>
      <c r="V262" s="819">
        <v>18800000</v>
      </c>
      <c r="W262" s="819">
        <v>18800000</v>
      </c>
    </row>
    <row r="263" spans="1:23" ht="12.75">
      <c r="A263" s="336"/>
      <c r="B263" s="343"/>
      <c r="C263" s="56">
        <v>540</v>
      </c>
      <c r="D263" s="167"/>
      <c r="E263" s="338"/>
      <c r="F263" s="339"/>
      <c r="G263" s="73" t="s">
        <v>1233</v>
      </c>
      <c r="H263" s="74"/>
      <c r="I263" s="429"/>
      <c r="J263" s="862">
        <f>SUM(J264:J266)</f>
        <v>17000000</v>
      </c>
      <c r="K263" s="886">
        <f>SUM(K264:K266)</f>
        <v>4946781.039999999</v>
      </c>
      <c r="L263" s="713">
        <f>SUM(L264:L266)</f>
        <v>17000000</v>
      </c>
      <c r="M263" s="713">
        <f>SUM(M264:M267)</f>
        <v>20000000</v>
      </c>
      <c r="N263" s="713">
        <f aca="true" t="shared" si="73" ref="N263:U263">SUM(N264:N267)</f>
        <v>0</v>
      </c>
      <c r="O263" s="713">
        <f t="shared" si="73"/>
        <v>0</v>
      </c>
      <c r="P263" s="713">
        <f t="shared" si="73"/>
        <v>0</v>
      </c>
      <c r="Q263" s="713">
        <f t="shared" si="73"/>
        <v>0</v>
      </c>
      <c r="R263" s="713">
        <f t="shared" si="73"/>
        <v>0</v>
      </c>
      <c r="S263" s="713">
        <f t="shared" si="73"/>
        <v>0</v>
      </c>
      <c r="T263" s="713">
        <f t="shared" si="73"/>
        <v>0</v>
      </c>
      <c r="U263" s="713">
        <f t="shared" si="73"/>
        <v>20000000</v>
      </c>
      <c r="V263" s="713">
        <v>18800000</v>
      </c>
      <c r="W263" s="713">
        <v>18800000</v>
      </c>
    </row>
    <row r="264" spans="1:23" ht="12.75">
      <c r="A264" s="336"/>
      <c r="B264" s="343"/>
      <c r="C264" s="338"/>
      <c r="D264" s="343"/>
      <c r="E264" s="354">
        <v>199</v>
      </c>
      <c r="F264" s="428">
        <v>424</v>
      </c>
      <c r="G264" s="1269" t="s">
        <v>1385</v>
      </c>
      <c r="H264" s="1270"/>
      <c r="I264" s="1271"/>
      <c r="J264" s="723">
        <v>10000000</v>
      </c>
      <c r="K264" s="345">
        <v>4111081.8399999994</v>
      </c>
      <c r="L264" s="523">
        <v>10000000</v>
      </c>
      <c r="M264" s="523">
        <f>Rashodi!M300</f>
        <v>10000000</v>
      </c>
      <c r="N264" s="523">
        <f>Rashodi!N300</f>
        <v>0</v>
      </c>
      <c r="O264" s="523">
        <f>Rashodi!O300</f>
        <v>0</v>
      </c>
      <c r="P264" s="523">
        <f>Rashodi!P300</f>
        <v>0</v>
      </c>
      <c r="Q264" s="523">
        <f>Rashodi!Q300</f>
        <v>0</v>
      </c>
      <c r="R264" s="523">
        <f>Rashodi!R300</f>
        <v>0</v>
      </c>
      <c r="S264" s="523">
        <f>Rashodi!S300</f>
        <v>0</v>
      </c>
      <c r="T264" s="523">
        <f>Rashodi!T300</f>
        <v>0</v>
      </c>
      <c r="U264" s="523">
        <f>Rashodi!U300</f>
        <v>10000000</v>
      </c>
      <c r="V264" s="523">
        <v>10000000</v>
      </c>
      <c r="W264" s="523">
        <v>10000000</v>
      </c>
    </row>
    <row r="265" spans="1:23" ht="12.75">
      <c r="A265" s="336"/>
      <c r="B265" s="343"/>
      <c r="C265" s="338"/>
      <c r="D265" s="343"/>
      <c r="E265" s="354">
        <v>200</v>
      </c>
      <c r="F265" s="428">
        <v>424</v>
      </c>
      <c r="G265" s="1269" t="s">
        <v>1386</v>
      </c>
      <c r="H265" s="1270"/>
      <c r="I265" s="1271"/>
      <c r="J265" s="723">
        <v>500000</v>
      </c>
      <c r="K265" s="345">
        <v>27360</v>
      </c>
      <c r="L265" s="523">
        <v>500000</v>
      </c>
      <c r="M265" s="523">
        <f>Rashodi!M301</f>
        <v>500000</v>
      </c>
      <c r="N265" s="523">
        <f>Rashodi!N301</f>
        <v>0</v>
      </c>
      <c r="O265" s="523">
        <f>Rashodi!O301</f>
        <v>0</v>
      </c>
      <c r="P265" s="523">
        <f>Rashodi!P301</f>
        <v>0</v>
      </c>
      <c r="Q265" s="523">
        <f>Rashodi!Q301</f>
        <v>0</v>
      </c>
      <c r="R265" s="523">
        <f>Rashodi!R301</f>
        <v>0</v>
      </c>
      <c r="S265" s="523">
        <f>Rashodi!S301</f>
        <v>0</v>
      </c>
      <c r="T265" s="523">
        <f>Rashodi!T301</f>
        <v>0</v>
      </c>
      <c r="U265" s="523">
        <f>Rashodi!U301</f>
        <v>500000</v>
      </c>
      <c r="V265" s="523">
        <v>500000</v>
      </c>
      <c r="W265" s="523">
        <v>500000</v>
      </c>
    </row>
    <row r="266" spans="1:23" ht="12.75">
      <c r="A266" s="336"/>
      <c r="B266" s="59"/>
      <c r="C266" s="56"/>
      <c r="D266" s="167"/>
      <c r="E266" s="354">
        <v>201</v>
      </c>
      <c r="F266" s="339">
        <v>425</v>
      </c>
      <c r="G266" s="1269" t="s">
        <v>1463</v>
      </c>
      <c r="H266" s="1270"/>
      <c r="I266" s="1271"/>
      <c r="J266" s="723">
        <v>6500000</v>
      </c>
      <c r="K266" s="345">
        <v>808339.2</v>
      </c>
      <c r="L266" s="523">
        <v>6500000</v>
      </c>
      <c r="M266" s="523">
        <f>Rashodi!M302</f>
        <v>6500000</v>
      </c>
      <c r="N266" s="523">
        <f>Rashodi!N302</f>
        <v>0</v>
      </c>
      <c r="O266" s="523">
        <f>Rashodi!O302</f>
        <v>0</v>
      </c>
      <c r="P266" s="523">
        <f>Rashodi!P302</f>
        <v>0</v>
      </c>
      <c r="Q266" s="523">
        <f>Rashodi!Q302</f>
        <v>0</v>
      </c>
      <c r="R266" s="523">
        <f>Rashodi!R302</f>
        <v>0</v>
      </c>
      <c r="S266" s="523">
        <f>Rashodi!S302</f>
        <v>0</v>
      </c>
      <c r="T266" s="523">
        <f>Rashodi!T302</f>
        <v>0</v>
      </c>
      <c r="U266" s="523">
        <f>Rashodi!U302</f>
        <v>6500000</v>
      </c>
      <c r="V266" s="523">
        <v>6500000</v>
      </c>
      <c r="W266" s="523">
        <v>6500000</v>
      </c>
    </row>
    <row r="267" spans="1:23" ht="12.75">
      <c r="A267" s="355"/>
      <c r="B267" s="319"/>
      <c r="C267" s="60"/>
      <c r="D267" s="519"/>
      <c r="E267" s="447"/>
      <c r="F267" s="350">
        <v>512</v>
      </c>
      <c r="G267" s="1122" t="s">
        <v>1545</v>
      </c>
      <c r="H267" s="1074"/>
      <c r="I267" s="1123"/>
      <c r="J267" s="358"/>
      <c r="K267" s="359"/>
      <c r="L267" s="523"/>
      <c r="M267" s="523">
        <f>Rashodi!M303</f>
        <v>3000000</v>
      </c>
      <c r="N267" s="523">
        <f>Rashodi!N303</f>
        <v>0</v>
      </c>
      <c r="O267" s="523">
        <f>Rashodi!O303</f>
        <v>0</v>
      </c>
      <c r="P267" s="523">
        <f>Rashodi!P303</f>
        <v>0</v>
      </c>
      <c r="Q267" s="523">
        <f>Rashodi!Q303</f>
        <v>0</v>
      </c>
      <c r="R267" s="523">
        <f>Rashodi!R303</f>
        <v>0</v>
      </c>
      <c r="S267" s="523">
        <f>Rashodi!S303</f>
        <v>0</v>
      </c>
      <c r="T267" s="523">
        <f>Rashodi!T303</f>
        <v>0</v>
      </c>
      <c r="U267" s="523">
        <f>Rashodi!U303</f>
        <v>3000000</v>
      </c>
      <c r="V267" s="523">
        <v>1800000</v>
      </c>
      <c r="W267" s="523">
        <v>1800000</v>
      </c>
    </row>
    <row r="268" spans="1:23" ht="12.75" customHeight="1">
      <c r="A268" s="270"/>
      <c r="B268" s="271"/>
      <c r="C268" s="412"/>
      <c r="D268" s="332" t="s">
        <v>1221</v>
      </c>
      <c r="E268" s="412"/>
      <c r="F268" s="413"/>
      <c r="G268" s="1119" t="s">
        <v>1299</v>
      </c>
      <c r="H268" s="1120"/>
      <c r="I268" s="1121"/>
      <c r="J268" s="851">
        <f>J269</f>
        <v>5500000</v>
      </c>
      <c r="K268" s="976">
        <f>K269</f>
        <v>819253</v>
      </c>
      <c r="L268" s="984">
        <f>L269</f>
        <v>5500000</v>
      </c>
      <c r="M268" s="984">
        <f>M269</f>
        <v>4200000</v>
      </c>
      <c r="N268" s="276">
        <f aca="true" t="shared" si="74" ref="N268:S268">N269</f>
        <v>0</v>
      </c>
      <c r="O268" s="276">
        <f t="shared" si="74"/>
        <v>0</v>
      </c>
      <c r="P268" s="276">
        <f t="shared" si="74"/>
        <v>0</v>
      </c>
      <c r="Q268" s="276">
        <f t="shared" si="74"/>
        <v>0</v>
      </c>
      <c r="R268" s="276">
        <f t="shared" si="74"/>
        <v>0</v>
      </c>
      <c r="S268" s="321">
        <f t="shared" si="74"/>
        <v>0</v>
      </c>
      <c r="T268" s="321">
        <f>SUM(N268:S268)</f>
        <v>0</v>
      </c>
      <c r="U268" s="819">
        <f>M268+N268+O268+P268+Q268+R268+S268</f>
        <v>4200000</v>
      </c>
      <c r="V268" s="819">
        <v>5500000</v>
      </c>
      <c r="W268" s="819">
        <v>5500000</v>
      </c>
    </row>
    <row r="269" spans="1:23" ht="12.75">
      <c r="A269" s="336"/>
      <c r="B269" s="59"/>
      <c r="C269" s="56">
        <v>630</v>
      </c>
      <c r="D269" s="167"/>
      <c r="E269" s="338"/>
      <c r="F269" s="339"/>
      <c r="G269" s="1296" t="s">
        <v>313</v>
      </c>
      <c r="H269" s="1297"/>
      <c r="I269" s="1085"/>
      <c r="J269" s="606">
        <f>SUM(J270:J272)</f>
        <v>5500000</v>
      </c>
      <c r="K269" s="804">
        <f>SUM(K270:K272)</f>
        <v>819253</v>
      </c>
      <c r="L269" s="713">
        <f>SUM(L270:L272)</f>
        <v>5500000</v>
      </c>
      <c r="M269" s="713">
        <f>SUM(M270:M272)</f>
        <v>4200000</v>
      </c>
      <c r="N269" s="365">
        <f aca="true" t="shared" si="75" ref="N269:T269">SUM(N271:N272)</f>
        <v>0</v>
      </c>
      <c r="O269" s="365">
        <f t="shared" si="75"/>
        <v>0</v>
      </c>
      <c r="P269" s="365">
        <f t="shared" si="75"/>
        <v>0</v>
      </c>
      <c r="Q269" s="365">
        <f t="shared" si="75"/>
        <v>0</v>
      </c>
      <c r="R269" s="365">
        <f t="shared" si="75"/>
        <v>0</v>
      </c>
      <c r="S269" s="365">
        <f t="shared" si="75"/>
        <v>0</v>
      </c>
      <c r="T269" s="365">
        <f t="shared" si="75"/>
        <v>0</v>
      </c>
      <c r="U269" s="1048">
        <f>M269+N269+O269+P269+Q269+R269+S269</f>
        <v>4200000</v>
      </c>
      <c r="V269" s="1048">
        <v>5500000</v>
      </c>
      <c r="W269" s="1048">
        <v>5500000</v>
      </c>
    </row>
    <row r="270" spans="1:23" ht="12.75">
      <c r="A270" s="355"/>
      <c r="B270" s="319"/>
      <c r="C270" s="60"/>
      <c r="D270" s="519"/>
      <c r="E270" s="350">
        <v>202</v>
      </c>
      <c r="F270" s="350">
        <v>424</v>
      </c>
      <c r="G270" s="334" t="s">
        <v>1454</v>
      </c>
      <c r="H270" s="426"/>
      <c r="I270" s="714"/>
      <c r="J270" s="706">
        <v>2600000</v>
      </c>
      <c r="K270" s="706">
        <v>703885</v>
      </c>
      <c r="L270" s="706">
        <v>2600000</v>
      </c>
      <c r="M270" s="706">
        <f>Rashodi!M306</f>
        <v>2600000</v>
      </c>
      <c r="N270" s="706">
        <f>Rashodi!N306</f>
        <v>0</v>
      </c>
      <c r="O270" s="706">
        <f>Rashodi!O306</f>
        <v>0</v>
      </c>
      <c r="P270" s="706">
        <f>Rashodi!P306</f>
        <v>0</v>
      </c>
      <c r="Q270" s="706">
        <f>Rashodi!Q306</f>
        <v>0</v>
      </c>
      <c r="R270" s="706">
        <f>Rashodi!R306</f>
        <v>0</v>
      </c>
      <c r="S270" s="706">
        <f>Rashodi!S306</f>
        <v>0</v>
      </c>
      <c r="T270" s="706">
        <f>Rashodi!T306</f>
        <v>0</v>
      </c>
      <c r="U270" s="818">
        <f>M270+N270+O270+P270+Q270+R270+S270</f>
        <v>2600000</v>
      </c>
      <c r="V270" s="818">
        <v>2600000</v>
      </c>
      <c r="W270" s="818">
        <v>2600000</v>
      </c>
    </row>
    <row r="271" spans="1:23" ht="12.75">
      <c r="A271" s="355"/>
      <c r="B271" s="319"/>
      <c r="C271" s="60"/>
      <c r="D271" s="519"/>
      <c r="E271" s="766">
        <v>203</v>
      </c>
      <c r="F271" s="350">
        <v>425</v>
      </c>
      <c r="G271" s="334" t="s">
        <v>1488</v>
      </c>
      <c r="H271" s="74"/>
      <c r="I271" s="1086"/>
      <c r="J271" s="706">
        <v>1500000</v>
      </c>
      <c r="K271" s="706">
        <v>115368</v>
      </c>
      <c r="L271" s="706">
        <v>1500000</v>
      </c>
      <c r="M271" s="706">
        <f>Rashodi!M307</f>
        <v>1500000</v>
      </c>
      <c r="N271" s="706">
        <f>Rashodi!N307</f>
        <v>0</v>
      </c>
      <c r="O271" s="706">
        <f>Rashodi!O307</f>
        <v>0</v>
      </c>
      <c r="P271" s="706">
        <f>Rashodi!P307</f>
        <v>0</v>
      </c>
      <c r="Q271" s="706">
        <f>Rashodi!Q307</f>
        <v>0</v>
      </c>
      <c r="R271" s="706">
        <f>Rashodi!R307</f>
        <v>0</v>
      </c>
      <c r="S271" s="706">
        <f>Rashodi!S307</f>
        <v>0</v>
      </c>
      <c r="T271" s="706">
        <f>Rashodi!T307</f>
        <v>0</v>
      </c>
      <c r="U271" s="706">
        <f>Rashodi!U307</f>
        <v>1500000</v>
      </c>
      <c r="V271" s="706">
        <v>1500000</v>
      </c>
      <c r="W271" s="706">
        <v>1500000</v>
      </c>
    </row>
    <row r="272" spans="1:23" ht="12.75">
      <c r="A272" s="745"/>
      <c r="B272" s="764"/>
      <c r="C272" s="765"/>
      <c r="D272" s="746"/>
      <c r="E272" s="766">
        <v>204</v>
      </c>
      <c r="F272" s="766">
        <v>511</v>
      </c>
      <c r="G272" s="1344" t="s">
        <v>1453</v>
      </c>
      <c r="H272" s="1345"/>
      <c r="I272" s="1346"/>
      <c r="J272" s="875">
        <v>1400000</v>
      </c>
      <c r="K272" s="875">
        <v>0</v>
      </c>
      <c r="L272" s="875">
        <v>1400000</v>
      </c>
      <c r="M272" s="706">
        <f>Rashodi!M308</f>
        <v>100000</v>
      </c>
      <c r="N272" s="706">
        <f>Rashodi!N308</f>
        <v>0</v>
      </c>
      <c r="O272" s="706">
        <f>Rashodi!O308</f>
        <v>0</v>
      </c>
      <c r="P272" s="706">
        <f>Rashodi!P308</f>
        <v>0</v>
      </c>
      <c r="Q272" s="706">
        <f>Rashodi!Q308</f>
        <v>0</v>
      </c>
      <c r="R272" s="706">
        <f>Rashodi!R308</f>
        <v>0</v>
      </c>
      <c r="S272" s="706">
        <f>Rashodi!S308</f>
        <v>0</v>
      </c>
      <c r="T272" s="706">
        <f>Rashodi!T308</f>
        <v>0</v>
      </c>
      <c r="U272" s="706">
        <f>Rashodi!U308</f>
        <v>100000</v>
      </c>
      <c r="V272" s="706">
        <v>1400000</v>
      </c>
      <c r="W272" s="706">
        <v>1400000</v>
      </c>
    </row>
    <row r="273" spans="1:23" ht="12.75">
      <c r="A273" s="270"/>
      <c r="B273" s="271"/>
      <c r="C273" s="412"/>
      <c r="D273" s="332" t="s">
        <v>1222</v>
      </c>
      <c r="E273" s="412"/>
      <c r="F273" s="413"/>
      <c r="G273" s="1260" t="s">
        <v>1217</v>
      </c>
      <c r="H273" s="1261"/>
      <c r="I273" s="1262"/>
      <c r="J273" s="851">
        <f aca="true" t="shared" si="76" ref="J273:S273">J274</f>
        <v>2950000</v>
      </c>
      <c r="K273" s="851">
        <f t="shared" si="76"/>
        <v>1269800</v>
      </c>
      <c r="L273" s="851">
        <f t="shared" si="76"/>
        <v>3300000</v>
      </c>
      <c r="M273" s="851">
        <f t="shared" si="76"/>
        <v>5000000</v>
      </c>
      <c r="N273" s="276">
        <f t="shared" si="76"/>
        <v>0</v>
      </c>
      <c r="O273" s="276">
        <f t="shared" si="76"/>
        <v>0</v>
      </c>
      <c r="P273" s="276">
        <f t="shared" si="76"/>
        <v>0</v>
      </c>
      <c r="Q273" s="276">
        <f t="shared" si="76"/>
        <v>0</v>
      </c>
      <c r="R273" s="276">
        <f t="shared" si="76"/>
        <v>0</v>
      </c>
      <c r="S273" s="321">
        <f t="shared" si="76"/>
        <v>0</v>
      </c>
      <c r="T273" s="321">
        <f>SUM(N273:S273)</f>
        <v>0</v>
      </c>
      <c r="U273" s="819">
        <f>M273+N273+O273+P273+Q273+R273+S273</f>
        <v>5000000</v>
      </c>
      <c r="V273" s="819">
        <v>4300000</v>
      </c>
      <c r="W273" s="819">
        <v>4300000</v>
      </c>
    </row>
    <row r="274" spans="1:23" ht="12.75">
      <c r="A274" s="529"/>
      <c r="B274" s="530"/>
      <c r="C274" s="167" t="s">
        <v>400</v>
      </c>
      <c r="D274" s="167"/>
      <c r="E274" s="531"/>
      <c r="F274" s="532"/>
      <c r="G274" s="73" t="s">
        <v>1233</v>
      </c>
      <c r="H274" s="74"/>
      <c r="I274" s="708"/>
      <c r="J274" s="522">
        <f>SUM(J275:J277)</f>
        <v>2950000</v>
      </c>
      <c r="K274" s="522">
        <f>SUM(K275:K277)</f>
        <v>1269800</v>
      </c>
      <c r="L274" s="522">
        <f>SUM(L275:L277)</f>
        <v>3300000</v>
      </c>
      <c r="M274" s="522">
        <f>SUM(M275:M277)</f>
        <v>5000000</v>
      </c>
      <c r="N274" s="65">
        <f aca="true" t="shared" si="77" ref="N274:S274">SUM(N275:N277)</f>
        <v>0</v>
      </c>
      <c r="O274" s="65">
        <f t="shared" si="77"/>
        <v>0</v>
      </c>
      <c r="P274" s="65">
        <f t="shared" si="77"/>
        <v>0</v>
      </c>
      <c r="Q274" s="65">
        <f t="shared" si="77"/>
        <v>0</v>
      </c>
      <c r="R274" s="65">
        <f t="shared" si="77"/>
        <v>0</v>
      </c>
      <c r="S274" s="65">
        <f t="shared" si="77"/>
        <v>0</v>
      </c>
      <c r="T274" s="325">
        <f>SUM(N274:S274)</f>
        <v>0</v>
      </c>
      <c r="U274" s="1048">
        <f>M274+N274+O274+P274+Q274+R274+S274</f>
        <v>5000000</v>
      </c>
      <c r="V274" s="1048">
        <v>4300000</v>
      </c>
      <c r="W274" s="1048">
        <v>4300000</v>
      </c>
    </row>
    <row r="275" spans="1:23" ht="12.75">
      <c r="A275" s="414"/>
      <c r="B275" s="415"/>
      <c r="C275" s="443"/>
      <c r="D275" s="337"/>
      <c r="E275" s="416">
        <v>205</v>
      </c>
      <c r="F275" s="417">
        <v>423</v>
      </c>
      <c r="G275" s="1269" t="s">
        <v>1362</v>
      </c>
      <c r="H275" s="1270"/>
      <c r="I275" s="1271"/>
      <c r="J275" s="723">
        <v>2400000</v>
      </c>
      <c r="K275" s="723">
        <v>867524</v>
      </c>
      <c r="L275" s="723">
        <v>2400000</v>
      </c>
      <c r="M275" s="723">
        <f>Rashodi!M311</f>
        <v>3000000</v>
      </c>
      <c r="N275" s="723">
        <f>Rashodi!N311</f>
        <v>0</v>
      </c>
      <c r="O275" s="723">
        <f>Rashodi!O311</f>
        <v>0</v>
      </c>
      <c r="P275" s="723">
        <f>Rashodi!P311</f>
        <v>0</v>
      </c>
      <c r="Q275" s="723">
        <f>Rashodi!Q311</f>
        <v>0</v>
      </c>
      <c r="R275" s="723">
        <f>Rashodi!R311</f>
        <v>0</v>
      </c>
      <c r="S275" s="723">
        <f>Rashodi!S311</f>
        <v>0</v>
      </c>
      <c r="T275" s="723">
        <f>Rashodi!T311</f>
        <v>0</v>
      </c>
      <c r="U275" s="723">
        <f>Rashodi!U311</f>
        <v>3000000</v>
      </c>
      <c r="V275" s="723">
        <v>3000000</v>
      </c>
      <c r="W275" s="723">
        <v>3000000</v>
      </c>
    </row>
    <row r="276" spans="1:23" ht="12.75">
      <c r="A276" s="336"/>
      <c r="B276" s="59"/>
      <c r="C276" s="56"/>
      <c r="D276" s="167"/>
      <c r="E276" s="416">
        <v>206</v>
      </c>
      <c r="F276" s="339">
        <v>424</v>
      </c>
      <c r="G276" s="1263" t="s">
        <v>1480</v>
      </c>
      <c r="H276" s="1264"/>
      <c r="I276" s="1265"/>
      <c r="J276" s="849">
        <v>450000</v>
      </c>
      <c r="K276" s="849">
        <v>402276</v>
      </c>
      <c r="L276" s="849">
        <v>800000</v>
      </c>
      <c r="M276" s="723">
        <f>Rashodi!M312</f>
        <v>800000</v>
      </c>
      <c r="N276" s="723">
        <f>Rashodi!N312</f>
        <v>0</v>
      </c>
      <c r="O276" s="723">
        <f>Rashodi!O312</f>
        <v>0</v>
      </c>
      <c r="P276" s="723">
        <f>Rashodi!P312</f>
        <v>0</v>
      </c>
      <c r="Q276" s="723">
        <f>Rashodi!Q312</f>
        <v>0</v>
      </c>
      <c r="R276" s="723">
        <f>Rashodi!R312</f>
        <v>0</v>
      </c>
      <c r="S276" s="723">
        <f>Rashodi!S312</f>
        <v>0</v>
      </c>
      <c r="T276" s="723">
        <f>Rashodi!T312</f>
        <v>0</v>
      </c>
      <c r="U276" s="723">
        <f>Rashodi!U312</f>
        <v>800000</v>
      </c>
      <c r="V276" s="723">
        <v>800000</v>
      </c>
      <c r="W276" s="723">
        <v>800000</v>
      </c>
    </row>
    <row r="277" spans="1:23" ht="12.75">
      <c r="A277" s="355"/>
      <c r="B277" s="319"/>
      <c r="C277" s="60"/>
      <c r="D277" s="519"/>
      <c r="E277" s="499">
        <v>207</v>
      </c>
      <c r="F277" s="350">
        <v>424</v>
      </c>
      <c r="G277" s="1338" t="s">
        <v>1462</v>
      </c>
      <c r="H277" s="1339"/>
      <c r="I277" s="1340"/>
      <c r="J277" s="869">
        <v>100000</v>
      </c>
      <c r="K277" s="869">
        <v>0</v>
      </c>
      <c r="L277" s="869">
        <v>100000</v>
      </c>
      <c r="M277" s="723">
        <f>Rashodi!M313</f>
        <v>1200000</v>
      </c>
      <c r="N277" s="723">
        <f>Rashodi!N313</f>
        <v>0</v>
      </c>
      <c r="O277" s="723">
        <f>Rashodi!O313</f>
        <v>0</v>
      </c>
      <c r="P277" s="723">
        <f>Rashodi!P313</f>
        <v>0</v>
      </c>
      <c r="Q277" s="723">
        <f>Rashodi!Q313</f>
        <v>0</v>
      </c>
      <c r="R277" s="723">
        <f>Rashodi!R313</f>
        <v>0</v>
      </c>
      <c r="S277" s="723">
        <f>Rashodi!S313</f>
        <v>0</v>
      </c>
      <c r="T277" s="723">
        <f>Rashodi!T313</f>
        <v>0</v>
      </c>
      <c r="U277" s="723">
        <f>Rashodi!U313</f>
        <v>1200000</v>
      </c>
      <c r="V277" s="723">
        <v>500000</v>
      </c>
      <c r="W277" s="723">
        <v>500000</v>
      </c>
    </row>
    <row r="278" spans="1:23" ht="12.75">
      <c r="A278" s="270"/>
      <c r="B278" s="271"/>
      <c r="C278" s="412"/>
      <c r="D278" s="332" t="s">
        <v>1220</v>
      </c>
      <c r="E278" s="412"/>
      <c r="F278" s="413"/>
      <c r="G278" s="1260" t="s">
        <v>1464</v>
      </c>
      <c r="H278" s="1261"/>
      <c r="I278" s="1262"/>
      <c r="J278" s="851">
        <f>SUM(J280)</f>
        <v>8000000</v>
      </c>
      <c r="K278" s="851">
        <f aca="true" t="shared" si="78" ref="K278:T278">SUM(K280)</f>
        <v>0</v>
      </c>
      <c r="L278" s="851">
        <f>SUM(L280)</f>
        <v>5000000</v>
      </c>
      <c r="M278" s="851">
        <f t="shared" si="78"/>
        <v>2200000</v>
      </c>
      <c r="N278" s="851">
        <f t="shared" si="78"/>
        <v>0</v>
      </c>
      <c r="O278" s="851">
        <f t="shared" si="78"/>
        <v>0</v>
      </c>
      <c r="P278" s="851">
        <f t="shared" si="78"/>
        <v>0</v>
      </c>
      <c r="Q278" s="851">
        <f t="shared" si="78"/>
        <v>0</v>
      </c>
      <c r="R278" s="851">
        <f t="shared" si="78"/>
        <v>0</v>
      </c>
      <c r="S278" s="851">
        <f t="shared" si="78"/>
        <v>0</v>
      </c>
      <c r="T278" s="851">
        <f t="shared" si="78"/>
        <v>0</v>
      </c>
      <c r="U278" s="819">
        <f>M278+N278+O278+P278+Q278+R278+S278</f>
        <v>2200000</v>
      </c>
      <c r="V278" s="819">
        <v>3000000</v>
      </c>
      <c r="W278" s="819">
        <v>3000000</v>
      </c>
    </row>
    <row r="279" spans="1:23" ht="12.75">
      <c r="A279" s="602"/>
      <c r="B279" s="603"/>
      <c r="C279" s="56">
        <v>620</v>
      </c>
      <c r="D279" s="58"/>
      <c r="E279" s="531"/>
      <c r="F279" s="532"/>
      <c r="G279" s="73" t="s">
        <v>114</v>
      </c>
      <c r="H279" s="74"/>
      <c r="I279" s="708"/>
      <c r="J279" s="522">
        <f>J280</f>
        <v>8000000</v>
      </c>
      <c r="K279" s="522">
        <f aca="true" t="shared" si="79" ref="K279:T279">K280</f>
        <v>0</v>
      </c>
      <c r="L279" s="522">
        <f t="shared" si="79"/>
        <v>5000000</v>
      </c>
      <c r="M279" s="522">
        <f t="shared" si="79"/>
        <v>2200000</v>
      </c>
      <c r="N279" s="522">
        <f t="shared" si="79"/>
        <v>0</v>
      </c>
      <c r="O279" s="522">
        <f t="shared" si="79"/>
        <v>0</v>
      </c>
      <c r="P279" s="522">
        <f t="shared" si="79"/>
        <v>0</v>
      </c>
      <c r="Q279" s="522">
        <f t="shared" si="79"/>
        <v>0</v>
      </c>
      <c r="R279" s="522">
        <f t="shared" si="79"/>
        <v>0</v>
      </c>
      <c r="S279" s="522">
        <f t="shared" si="79"/>
        <v>0</v>
      </c>
      <c r="T279" s="522">
        <f t="shared" si="79"/>
        <v>0</v>
      </c>
      <c r="U279" s="1048">
        <f>M279+N279+O279+P279+Q279+R279+S279</f>
        <v>2200000</v>
      </c>
      <c r="V279" s="1048">
        <v>3000000</v>
      </c>
      <c r="W279" s="1048">
        <v>3000000</v>
      </c>
    </row>
    <row r="280" spans="1:23" ht="12.75">
      <c r="A280" s="355"/>
      <c r="B280" s="319"/>
      <c r="C280" s="356"/>
      <c r="D280" s="443"/>
      <c r="E280" s="416">
        <v>208</v>
      </c>
      <c r="F280" s="417">
        <v>451</v>
      </c>
      <c r="G280" s="334" t="s">
        <v>1477</v>
      </c>
      <c r="H280" s="426"/>
      <c r="I280" s="429"/>
      <c r="J280" s="506">
        <v>8000000</v>
      </c>
      <c r="K280" s="506">
        <v>0</v>
      </c>
      <c r="L280" s="506">
        <v>5000000</v>
      </c>
      <c r="M280" s="506">
        <f>Rashodi!M316</f>
        <v>2200000</v>
      </c>
      <c r="N280" s="506">
        <f>Rashodi!N316</f>
        <v>0</v>
      </c>
      <c r="O280" s="506">
        <f>Rashodi!O316</f>
        <v>0</v>
      </c>
      <c r="P280" s="506">
        <f>Rashodi!P316</f>
        <v>0</v>
      </c>
      <c r="Q280" s="506">
        <f>Rashodi!Q316</f>
        <v>0</v>
      </c>
      <c r="R280" s="506">
        <f>Rashodi!R316</f>
        <v>0</v>
      </c>
      <c r="S280" s="506">
        <f>Rashodi!S316</f>
        <v>0</v>
      </c>
      <c r="T280" s="506">
        <f>Rashodi!T316</f>
        <v>0</v>
      </c>
      <c r="U280" s="506">
        <f>Rashodi!U316</f>
        <v>2200000</v>
      </c>
      <c r="V280" s="506">
        <v>3000000</v>
      </c>
      <c r="W280" s="506">
        <v>3000000</v>
      </c>
    </row>
    <row r="281" spans="1:23" ht="12.75">
      <c r="A281" s="270"/>
      <c r="B281" s="271"/>
      <c r="C281" s="412"/>
      <c r="D281" s="615" t="s">
        <v>291</v>
      </c>
      <c r="E281" s="616"/>
      <c r="F281" s="616"/>
      <c r="G281" s="1347" t="s">
        <v>1315</v>
      </c>
      <c r="H281" s="1348"/>
      <c r="I281" s="1348"/>
      <c r="J281" s="876">
        <f>J282+J285</f>
        <v>5500000</v>
      </c>
      <c r="K281" s="876">
        <f>K282+K285</f>
        <v>2264240</v>
      </c>
      <c r="L281" s="876">
        <f>L282+L285</f>
        <v>11400000</v>
      </c>
      <c r="M281" s="876">
        <f>M282+M285</f>
        <v>19400000</v>
      </c>
      <c r="N281" s="276">
        <f aca="true" t="shared" si="80" ref="N281:S281">N282+N285</f>
        <v>0</v>
      </c>
      <c r="O281" s="276">
        <f t="shared" si="80"/>
        <v>0</v>
      </c>
      <c r="P281" s="276">
        <f t="shared" si="80"/>
        <v>0</v>
      </c>
      <c r="Q281" s="276">
        <f t="shared" si="80"/>
        <v>11600000</v>
      </c>
      <c r="R281" s="276">
        <f t="shared" si="80"/>
        <v>0</v>
      </c>
      <c r="S281" s="276">
        <f t="shared" si="80"/>
        <v>0</v>
      </c>
      <c r="T281" s="321">
        <f>SUM(N281:S281)</f>
        <v>11600000</v>
      </c>
      <c r="U281" s="819">
        <f>M281+N281+O281+P281+Q281+R281+S281</f>
        <v>31000000</v>
      </c>
      <c r="V281" s="819">
        <v>32500000</v>
      </c>
      <c r="W281" s="819">
        <v>32500000</v>
      </c>
    </row>
    <row r="282" spans="1:23" ht="12.75">
      <c r="A282" s="270"/>
      <c r="B282" s="271"/>
      <c r="C282" s="412"/>
      <c r="D282" s="332" t="s">
        <v>304</v>
      </c>
      <c r="E282" s="412"/>
      <c r="F282" s="413"/>
      <c r="G282" s="1341" t="s">
        <v>1225</v>
      </c>
      <c r="H282" s="1342"/>
      <c r="I282" s="1343"/>
      <c r="J282" s="851">
        <f aca="true" t="shared" si="81" ref="J282:S282">J283</f>
        <v>5000000</v>
      </c>
      <c r="K282" s="851">
        <f t="shared" si="81"/>
        <v>2264240</v>
      </c>
      <c r="L282" s="851">
        <f t="shared" si="81"/>
        <v>6000000</v>
      </c>
      <c r="M282" s="851">
        <f t="shared" si="81"/>
        <v>2000000</v>
      </c>
      <c r="N282" s="276">
        <f t="shared" si="81"/>
        <v>0</v>
      </c>
      <c r="O282" s="276">
        <f t="shared" si="81"/>
        <v>0</v>
      </c>
      <c r="P282" s="276">
        <f t="shared" si="81"/>
        <v>0</v>
      </c>
      <c r="Q282" s="700">
        <f t="shared" si="81"/>
        <v>3000000</v>
      </c>
      <c r="R282" s="276">
        <f t="shared" si="81"/>
        <v>0</v>
      </c>
      <c r="S282" s="321">
        <f t="shared" si="81"/>
        <v>0</v>
      </c>
      <c r="T282" s="321">
        <f>SUM(N282:S282)</f>
        <v>3000000</v>
      </c>
      <c r="U282" s="819">
        <f>M282+N282+O282+P282+Q282+R282+S282</f>
        <v>5000000</v>
      </c>
      <c r="V282" s="819">
        <v>9000000</v>
      </c>
      <c r="W282" s="819">
        <v>9000000</v>
      </c>
    </row>
    <row r="283" spans="1:23" ht="12.75">
      <c r="A283" s="602"/>
      <c r="B283" s="603"/>
      <c r="C283" s="56">
        <v>620</v>
      </c>
      <c r="D283" s="167"/>
      <c r="E283" s="604"/>
      <c r="F283" s="605"/>
      <c r="G283" s="1296" t="s">
        <v>114</v>
      </c>
      <c r="H283" s="1297"/>
      <c r="I283" s="708"/>
      <c r="J283" s="522">
        <f aca="true" t="shared" si="82" ref="J283:S283">SUM(J284:J284)</f>
        <v>5000000</v>
      </c>
      <c r="K283" s="522">
        <f t="shared" si="82"/>
        <v>2264240</v>
      </c>
      <c r="L283" s="522">
        <f t="shared" si="82"/>
        <v>6000000</v>
      </c>
      <c r="M283" s="522">
        <f t="shared" si="82"/>
        <v>2000000</v>
      </c>
      <c r="N283" s="65">
        <f t="shared" si="82"/>
        <v>0</v>
      </c>
      <c r="O283" s="65">
        <f t="shared" si="82"/>
        <v>0</v>
      </c>
      <c r="P283" s="325">
        <f t="shared" si="82"/>
        <v>0</v>
      </c>
      <c r="Q283" s="636">
        <f t="shared" si="82"/>
        <v>3000000</v>
      </c>
      <c r="R283" s="65">
        <f t="shared" si="82"/>
        <v>0</v>
      </c>
      <c r="S283" s="65">
        <f t="shared" si="82"/>
        <v>0</v>
      </c>
      <c r="T283" s="577">
        <f>SUM(N283:S283)</f>
        <v>3000000</v>
      </c>
      <c r="U283" s="1048">
        <f>M283+N283+O283+P283+Q283+R283+S283</f>
        <v>5000000</v>
      </c>
      <c r="V283" s="1048">
        <v>9000000</v>
      </c>
      <c r="W283" s="1048">
        <v>9000000</v>
      </c>
    </row>
    <row r="284" spans="1:23" ht="12.75">
      <c r="A284" s="753"/>
      <c r="B284" s="754"/>
      <c r="C284" s="755"/>
      <c r="D284" s="756"/>
      <c r="E284" s="755">
        <v>209</v>
      </c>
      <c r="F284" s="757">
        <v>511</v>
      </c>
      <c r="G284" s="1329" t="s">
        <v>1437</v>
      </c>
      <c r="H284" s="1330"/>
      <c r="I284" s="1336"/>
      <c r="J284" s="877">
        <v>5000000</v>
      </c>
      <c r="K284" s="877">
        <v>2264240</v>
      </c>
      <c r="L284" s="877">
        <v>6000000</v>
      </c>
      <c r="M284" s="877">
        <f>Rashodi!M320</f>
        <v>2000000</v>
      </c>
      <c r="N284" s="877">
        <f>Rashodi!N320</f>
        <v>0</v>
      </c>
      <c r="O284" s="877">
        <f>Rashodi!O320</f>
        <v>0</v>
      </c>
      <c r="P284" s="877">
        <f>Rashodi!P320</f>
        <v>0</v>
      </c>
      <c r="Q284" s="877">
        <f>Rashodi!Q320</f>
        <v>3000000</v>
      </c>
      <c r="R284" s="877">
        <f>Rashodi!R320</f>
        <v>0</v>
      </c>
      <c r="S284" s="877">
        <f>Rashodi!S320</f>
        <v>0</v>
      </c>
      <c r="T284" s="877">
        <f>Rashodi!T320</f>
        <v>3000000</v>
      </c>
      <c r="U284" s="877">
        <f>Rashodi!U320</f>
        <v>5000000</v>
      </c>
      <c r="V284" s="877">
        <v>9000000</v>
      </c>
      <c r="W284" s="877">
        <v>9000000</v>
      </c>
    </row>
    <row r="285" spans="1:23" ht="12.75">
      <c r="A285" s="270"/>
      <c r="B285" s="271"/>
      <c r="C285" s="412"/>
      <c r="D285" s="332" t="s">
        <v>1227</v>
      </c>
      <c r="E285" s="412"/>
      <c r="F285" s="413"/>
      <c r="G285" s="1260" t="s">
        <v>1228</v>
      </c>
      <c r="H285" s="1261"/>
      <c r="I285" s="1262"/>
      <c r="J285" s="851">
        <f aca="true" t="shared" si="83" ref="J285:S285">J286</f>
        <v>500000</v>
      </c>
      <c r="K285" s="851">
        <f t="shared" si="83"/>
        <v>0</v>
      </c>
      <c r="L285" s="851">
        <f t="shared" si="83"/>
        <v>5400000</v>
      </c>
      <c r="M285" s="851">
        <f t="shared" si="83"/>
        <v>17400000</v>
      </c>
      <c r="N285" s="276">
        <f t="shared" si="83"/>
        <v>0</v>
      </c>
      <c r="O285" s="276">
        <f t="shared" si="83"/>
        <v>0</v>
      </c>
      <c r="P285" s="276">
        <f t="shared" si="83"/>
        <v>0</v>
      </c>
      <c r="Q285" s="276">
        <f t="shared" si="83"/>
        <v>8600000</v>
      </c>
      <c r="R285" s="276">
        <f t="shared" si="83"/>
        <v>0</v>
      </c>
      <c r="S285" s="321">
        <f t="shared" si="83"/>
        <v>0</v>
      </c>
      <c r="T285" s="321">
        <f>SUM(N285:S285)</f>
        <v>8600000</v>
      </c>
      <c r="U285" s="819">
        <f>M285+N285+O285+P285+Q285+R285+S285</f>
        <v>26000000</v>
      </c>
      <c r="V285" s="819">
        <v>23500000</v>
      </c>
      <c r="W285" s="819">
        <v>23500000</v>
      </c>
    </row>
    <row r="286" spans="1:23" ht="12.75">
      <c r="A286" s="602"/>
      <c r="B286" s="603"/>
      <c r="C286" s="56">
        <v>620</v>
      </c>
      <c r="D286" s="167"/>
      <c r="E286" s="604"/>
      <c r="F286" s="605"/>
      <c r="G286" s="736" t="s">
        <v>114</v>
      </c>
      <c r="H286" s="737"/>
      <c r="I286" s="988"/>
      <c r="J286" s="743">
        <f aca="true" t="shared" si="84" ref="J286:T286">SUM(J287:J288)</f>
        <v>500000</v>
      </c>
      <c r="K286" s="743">
        <f t="shared" si="84"/>
        <v>0</v>
      </c>
      <c r="L286" s="743">
        <f>SUM(L287:L291)</f>
        <v>5400000</v>
      </c>
      <c r="M286" s="743">
        <f>SUM(M287:M291)</f>
        <v>17400000</v>
      </c>
      <c r="N286" s="556">
        <f t="shared" si="84"/>
        <v>0</v>
      </c>
      <c r="O286" s="556">
        <f t="shared" si="84"/>
        <v>0</v>
      </c>
      <c r="P286" s="556">
        <f t="shared" si="84"/>
        <v>0</v>
      </c>
      <c r="Q286" s="556">
        <f t="shared" si="84"/>
        <v>8600000</v>
      </c>
      <c r="R286" s="556">
        <f t="shared" si="84"/>
        <v>0</v>
      </c>
      <c r="S286" s="556">
        <f t="shared" si="84"/>
        <v>0</v>
      </c>
      <c r="T286" s="556">
        <f t="shared" si="84"/>
        <v>8600000</v>
      </c>
      <c r="U286" s="1048">
        <f>M286+N286+O286+P286+Q286+R286+S286</f>
        <v>26000000</v>
      </c>
      <c r="V286" s="1048">
        <v>23500000</v>
      </c>
      <c r="W286" s="1048">
        <v>23500000</v>
      </c>
    </row>
    <row r="287" spans="1:23" ht="12.75">
      <c r="A287" s="336"/>
      <c r="B287" s="59"/>
      <c r="C287" s="56"/>
      <c r="D287" s="167"/>
      <c r="E287" s="350">
        <v>210</v>
      </c>
      <c r="F287" s="518">
        <v>424</v>
      </c>
      <c r="G287" s="1335" t="s">
        <v>1478</v>
      </c>
      <c r="H287" s="1335"/>
      <c r="I287" s="1335"/>
      <c r="J287" s="523">
        <v>500000</v>
      </c>
      <c r="K287" s="523">
        <v>0</v>
      </c>
      <c r="L287" s="523">
        <v>2400000</v>
      </c>
      <c r="M287" s="523">
        <f>Rashodi!M323</f>
        <v>400000</v>
      </c>
      <c r="N287" s="523">
        <f>Rashodi!N323</f>
        <v>0</v>
      </c>
      <c r="O287" s="523">
        <f>Rashodi!O323</f>
        <v>0</v>
      </c>
      <c r="P287" s="523">
        <f>Rashodi!P323</f>
        <v>0</v>
      </c>
      <c r="Q287" s="523">
        <f>Rashodi!Q323</f>
        <v>0</v>
      </c>
      <c r="R287" s="523">
        <f>Rashodi!R323</f>
        <v>0</v>
      </c>
      <c r="S287" s="523">
        <f>Rashodi!S323</f>
        <v>0</v>
      </c>
      <c r="T287" s="523">
        <f>Rashodi!T323</f>
        <v>0</v>
      </c>
      <c r="U287" s="523">
        <f>Rashodi!U323</f>
        <v>400000</v>
      </c>
      <c r="V287" s="523">
        <v>400000</v>
      </c>
      <c r="W287" s="523">
        <v>400000</v>
      </c>
    </row>
    <row r="288" spans="1:23" ht="12.75">
      <c r="A288" s="355"/>
      <c r="B288" s="319"/>
      <c r="C288" s="60"/>
      <c r="D288" s="519"/>
      <c r="E288" s="350">
        <v>211</v>
      </c>
      <c r="F288" s="515">
        <v>424</v>
      </c>
      <c r="G288" s="675" t="s">
        <v>1392</v>
      </c>
      <c r="H288" s="675"/>
      <c r="I288" s="675"/>
      <c r="J288" s="878">
        <v>0</v>
      </c>
      <c r="K288" s="878">
        <v>0</v>
      </c>
      <c r="L288" s="878">
        <v>0</v>
      </c>
      <c r="M288" s="523">
        <f>Rashodi!M324</f>
        <v>0</v>
      </c>
      <c r="N288" s="523">
        <f>Rashodi!N324</f>
        <v>0</v>
      </c>
      <c r="O288" s="523">
        <f>Rashodi!O324</f>
        <v>0</v>
      </c>
      <c r="P288" s="523">
        <f>Rashodi!P324</f>
        <v>0</v>
      </c>
      <c r="Q288" s="523">
        <f>Rashodi!Q324</f>
        <v>8600000</v>
      </c>
      <c r="R288" s="523">
        <f>Rashodi!R324</f>
        <v>0</v>
      </c>
      <c r="S288" s="523">
        <f>Rashodi!S324</f>
        <v>0</v>
      </c>
      <c r="T288" s="523">
        <f>Rashodi!T324</f>
        <v>8600000</v>
      </c>
      <c r="U288" s="523">
        <f>Rashodi!U324</f>
        <v>8600000</v>
      </c>
      <c r="V288" s="523">
        <v>8600000</v>
      </c>
      <c r="W288" s="523">
        <v>8600000</v>
      </c>
    </row>
    <row r="289" spans="1:23" ht="12.75">
      <c r="A289" s="355"/>
      <c r="B289" s="319"/>
      <c r="C289" s="60"/>
      <c r="D289" s="519"/>
      <c r="E289" s="350"/>
      <c r="F289" s="515">
        <v>511</v>
      </c>
      <c r="G289" s="1276" t="s">
        <v>1547</v>
      </c>
      <c r="H289" s="1277"/>
      <c r="I289" s="1278"/>
      <c r="J289" s="878"/>
      <c r="K289" s="878"/>
      <c r="L289" s="878"/>
      <c r="M289" s="523">
        <f>Rashodi!M325</f>
        <v>8000000</v>
      </c>
      <c r="N289" s="523">
        <f>Rashodi!N325</f>
        <v>0</v>
      </c>
      <c r="O289" s="523">
        <f>Rashodi!O325</f>
        <v>0</v>
      </c>
      <c r="P289" s="523">
        <f>Rashodi!P325</f>
        <v>0</v>
      </c>
      <c r="Q289" s="523">
        <f>Rashodi!Q325</f>
        <v>0</v>
      </c>
      <c r="R289" s="523">
        <f>Rashodi!R325</f>
        <v>0</v>
      </c>
      <c r="S289" s="523">
        <f>Rashodi!S325</f>
        <v>0</v>
      </c>
      <c r="T289" s="523">
        <f>Rashodi!T325</f>
        <v>0</v>
      </c>
      <c r="U289" s="523">
        <f>Rashodi!U325</f>
        <v>8000000</v>
      </c>
      <c r="V289" s="523">
        <v>10000000</v>
      </c>
      <c r="W289" s="523">
        <v>10000000</v>
      </c>
    </row>
    <row r="290" spans="1:23" ht="12.75">
      <c r="A290" s="355"/>
      <c r="B290" s="319"/>
      <c r="C290" s="60"/>
      <c r="D290" s="519"/>
      <c r="E290" s="350"/>
      <c r="F290" s="515">
        <v>511</v>
      </c>
      <c r="G290" s="1276" t="s">
        <v>1548</v>
      </c>
      <c r="H290" s="1277"/>
      <c r="I290" s="1278"/>
      <c r="J290" s="878"/>
      <c r="K290" s="878"/>
      <c r="L290" s="878"/>
      <c r="M290" s="523">
        <f>Rashodi!M326</f>
        <v>1500000</v>
      </c>
      <c r="N290" s="523">
        <f>Rashodi!N326</f>
        <v>0</v>
      </c>
      <c r="O290" s="523">
        <f>Rashodi!O326</f>
        <v>0</v>
      </c>
      <c r="P290" s="523">
        <f>Rashodi!P326</f>
        <v>0</v>
      </c>
      <c r="Q290" s="523">
        <f>Rashodi!Q326</f>
        <v>0</v>
      </c>
      <c r="R290" s="523">
        <f>Rashodi!R326</f>
        <v>0</v>
      </c>
      <c r="S290" s="523">
        <f>Rashodi!S326</f>
        <v>0</v>
      </c>
      <c r="T290" s="523">
        <f>Rashodi!T326</f>
        <v>0</v>
      </c>
      <c r="U290" s="523">
        <f>Rashodi!U326</f>
        <v>1500000</v>
      </c>
      <c r="V290" s="523">
        <v>1500000</v>
      </c>
      <c r="W290" s="523">
        <v>1500000</v>
      </c>
    </row>
    <row r="291" spans="1:23" ht="12.75">
      <c r="A291" s="355"/>
      <c r="B291" s="319"/>
      <c r="C291" s="60"/>
      <c r="D291" s="519"/>
      <c r="E291" s="350" t="s">
        <v>1500</v>
      </c>
      <c r="F291" s="515">
        <v>511</v>
      </c>
      <c r="G291" s="675" t="s">
        <v>1501</v>
      </c>
      <c r="H291" s="675"/>
      <c r="I291" s="675"/>
      <c r="J291" s="878"/>
      <c r="K291" s="878"/>
      <c r="L291" s="878">
        <v>3000000</v>
      </c>
      <c r="M291" s="523">
        <f>Rashodi!M327</f>
        <v>7500000</v>
      </c>
      <c r="N291" s="1101">
        <v>0</v>
      </c>
      <c r="O291" s="610">
        <v>0</v>
      </c>
      <c r="P291" s="610">
        <v>0</v>
      </c>
      <c r="Q291" s="404">
        <v>0</v>
      </c>
      <c r="R291" s="610">
        <v>0</v>
      </c>
      <c r="S291" s="404">
        <v>0</v>
      </c>
      <c r="T291" s="404"/>
      <c r="U291" s="818">
        <f>M291+N291+O291+P291+Q291+R291+S291</f>
        <v>7500000</v>
      </c>
      <c r="V291" s="818">
        <v>3000000</v>
      </c>
      <c r="W291" s="818">
        <v>3000000</v>
      </c>
    </row>
    <row r="292" spans="1:23" ht="12.75">
      <c r="A292" s="270"/>
      <c r="B292" s="271"/>
      <c r="C292" s="412"/>
      <c r="D292" s="593" t="s">
        <v>1229</v>
      </c>
      <c r="E292" s="412"/>
      <c r="F292" s="413"/>
      <c r="G292" s="1374" t="s">
        <v>1390</v>
      </c>
      <c r="H292" s="1294"/>
      <c r="I292" s="1295"/>
      <c r="J292" s="994">
        <f aca="true" t="shared" si="85" ref="J292:S293">J293</f>
        <v>2884860</v>
      </c>
      <c r="K292" s="994">
        <f t="shared" si="85"/>
        <v>308849</v>
      </c>
      <c r="L292" s="994">
        <f t="shared" si="85"/>
        <v>1000000</v>
      </c>
      <c r="M292" s="994">
        <f t="shared" si="85"/>
        <v>500000</v>
      </c>
      <c r="N292" s="276">
        <f t="shared" si="85"/>
        <v>0</v>
      </c>
      <c r="O292" s="276">
        <f t="shared" si="85"/>
        <v>0</v>
      </c>
      <c r="P292" s="276">
        <f t="shared" si="85"/>
        <v>0</v>
      </c>
      <c r="Q292" s="276">
        <f t="shared" si="85"/>
        <v>0</v>
      </c>
      <c r="R292" s="276">
        <f t="shared" si="85"/>
        <v>0</v>
      </c>
      <c r="S292" s="276">
        <f t="shared" si="85"/>
        <v>0</v>
      </c>
      <c r="T292" s="321">
        <f>SUM(N292:S292)</f>
        <v>0</v>
      </c>
      <c r="U292" s="819">
        <f>M292+N292+O292+P292+Q292+R292+S292</f>
        <v>500000</v>
      </c>
      <c r="V292" s="819">
        <v>3000000</v>
      </c>
      <c r="W292" s="819">
        <v>3000000</v>
      </c>
    </row>
    <row r="293" spans="1:23" ht="12.75">
      <c r="A293" s="270"/>
      <c r="B293" s="271"/>
      <c r="C293" s="412"/>
      <c r="D293" s="332" t="s">
        <v>1230</v>
      </c>
      <c r="E293" s="412"/>
      <c r="F293" s="413"/>
      <c r="G293" s="1260" t="s">
        <v>1300</v>
      </c>
      <c r="H293" s="1261"/>
      <c r="I293" s="1262"/>
      <c r="J293" s="851">
        <f t="shared" si="85"/>
        <v>2884860</v>
      </c>
      <c r="K293" s="976">
        <f t="shared" si="85"/>
        <v>308849</v>
      </c>
      <c r="L293" s="984">
        <f t="shared" si="85"/>
        <v>1000000</v>
      </c>
      <c r="M293" s="984">
        <f t="shared" si="85"/>
        <v>500000</v>
      </c>
      <c r="N293" s="276">
        <f t="shared" si="85"/>
        <v>0</v>
      </c>
      <c r="O293" s="276">
        <f t="shared" si="85"/>
        <v>0</v>
      </c>
      <c r="P293" s="276">
        <f t="shared" si="85"/>
        <v>0</v>
      </c>
      <c r="Q293" s="276">
        <f t="shared" si="85"/>
        <v>0</v>
      </c>
      <c r="R293" s="276">
        <f t="shared" si="85"/>
        <v>0</v>
      </c>
      <c r="S293" s="276">
        <f t="shared" si="85"/>
        <v>0</v>
      </c>
      <c r="T293" s="321">
        <f>SUM(N293:S293)</f>
        <v>0</v>
      </c>
      <c r="U293" s="819">
        <f>M293+N293+O293+P293+Q293+R293+S293</f>
        <v>500000</v>
      </c>
      <c r="V293" s="819">
        <v>3000000</v>
      </c>
      <c r="W293" s="819">
        <v>3000000</v>
      </c>
    </row>
    <row r="294" spans="1:23" ht="12.75">
      <c r="A294" s="602"/>
      <c r="B294" s="603"/>
      <c r="C294" s="56">
        <v>620</v>
      </c>
      <c r="D294" s="167"/>
      <c r="E294" s="604"/>
      <c r="F294" s="605"/>
      <c r="G294" s="1296" t="s">
        <v>114</v>
      </c>
      <c r="H294" s="1297"/>
      <c r="I294" s="708"/>
      <c r="J294" s="522">
        <f aca="true" t="shared" si="86" ref="J294:S294">SUM(J295:J295)</f>
        <v>2884860</v>
      </c>
      <c r="K294" s="522">
        <f t="shared" si="86"/>
        <v>308849</v>
      </c>
      <c r="L294" s="365">
        <f t="shared" si="86"/>
        <v>1000000</v>
      </c>
      <c r="M294" s="365">
        <f t="shared" si="86"/>
        <v>500000</v>
      </c>
      <c r="N294" s="365">
        <f t="shared" si="86"/>
        <v>0</v>
      </c>
      <c r="O294" s="365">
        <f t="shared" si="86"/>
        <v>0</v>
      </c>
      <c r="P294" s="365">
        <f t="shared" si="86"/>
        <v>0</v>
      </c>
      <c r="Q294" s="365">
        <f t="shared" si="86"/>
        <v>0</v>
      </c>
      <c r="R294" s="365">
        <f t="shared" si="86"/>
        <v>0</v>
      </c>
      <c r="S294" s="365">
        <f t="shared" si="86"/>
        <v>0</v>
      </c>
      <c r="T294" s="577">
        <f>SUM(N294:S294)</f>
        <v>0</v>
      </c>
      <c r="U294" s="1048">
        <f>M294+N294+O294+P294+Q294+R294+S294</f>
        <v>500000</v>
      </c>
      <c r="V294" s="1048">
        <v>3000000</v>
      </c>
      <c r="W294" s="1048">
        <v>3000000</v>
      </c>
    </row>
    <row r="295" spans="1:23" ht="12.75">
      <c r="A295" s="336"/>
      <c r="B295" s="59"/>
      <c r="C295" s="56"/>
      <c r="D295" s="167"/>
      <c r="E295" s="338">
        <v>212</v>
      </c>
      <c r="F295" s="339">
        <v>511</v>
      </c>
      <c r="G295" s="1269" t="s">
        <v>1438</v>
      </c>
      <c r="H295" s="1270"/>
      <c r="I295" s="1271"/>
      <c r="J295" s="345">
        <v>2884860</v>
      </c>
      <c r="K295" s="345">
        <v>308849</v>
      </c>
      <c r="L295" s="997">
        <v>1000000</v>
      </c>
      <c r="M295" s="997">
        <f>Rashodi!M331</f>
        <v>500000</v>
      </c>
      <c r="N295" s="997">
        <f>Rashodi!N331</f>
        <v>0</v>
      </c>
      <c r="O295" s="997">
        <f>Rashodi!O331</f>
        <v>0</v>
      </c>
      <c r="P295" s="997">
        <f>Rashodi!P331</f>
        <v>0</v>
      </c>
      <c r="Q295" s="997">
        <f>Rashodi!Q331</f>
        <v>0</v>
      </c>
      <c r="R295" s="997">
        <f>Rashodi!R331</f>
        <v>0</v>
      </c>
      <c r="S295" s="997">
        <f>Rashodi!S331</f>
        <v>0</v>
      </c>
      <c r="T295" s="997">
        <f>Rashodi!T331</f>
        <v>0</v>
      </c>
      <c r="U295" s="997">
        <f>Rashodi!U331</f>
        <v>500000</v>
      </c>
      <c r="V295" s="997">
        <v>3000000</v>
      </c>
      <c r="W295" s="997">
        <v>3000000</v>
      </c>
    </row>
    <row r="296" spans="1:23" ht="12.75">
      <c r="A296" s="270"/>
      <c r="B296" s="271"/>
      <c r="C296" s="412"/>
      <c r="D296" s="593" t="s">
        <v>805</v>
      </c>
      <c r="E296" s="412"/>
      <c r="F296" s="413"/>
      <c r="G296" s="1374" t="s">
        <v>163</v>
      </c>
      <c r="H296" s="1294"/>
      <c r="I296" s="1295"/>
      <c r="J296" s="994" t="e">
        <f>J297+#REF!+J301+J306</f>
        <v>#REF!</v>
      </c>
      <c r="K296" s="994" t="e">
        <f>K297+K301+K306+#REF!</f>
        <v>#REF!</v>
      </c>
      <c r="L296" s="994">
        <f>+L297+L301+L306</f>
        <v>6472000</v>
      </c>
      <c r="M296" s="994">
        <f>+M297+M301+M306</f>
        <v>8872000</v>
      </c>
      <c r="N296" s="994">
        <f aca="true" t="shared" si="87" ref="N296:U296">+N297+N301+N306</f>
        <v>0</v>
      </c>
      <c r="O296" s="994">
        <f t="shared" si="87"/>
        <v>0</v>
      </c>
      <c r="P296" s="994">
        <f t="shared" si="87"/>
        <v>0</v>
      </c>
      <c r="Q296" s="994">
        <f t="shared" si="87"/>
        <v>0</v>
      </c>
      <c r="R296" s="994">
        <f t="shared" si="87"/>
        <v>0</v>
      </c>
      <c r="S296" s="994">
        <f t="shared" si="87"/>
        <v>0</v>
      </c>
      <c r="T296" s="994">
        <f t="shared" si="87"/>
        <v>0</v>
      </c>
      <c r="U296" s="994">
        <f t="shared" si="87"/>
        <v>8872000</v>
      </c>
      <c r="V296" s="994">
        <v>11672000</v>
      </c>
      <c r="W296" s="994">
        <v>11672000</v>
      </c>
    </row>
    <row r="297" spans="1:23" ht="12.75">
      <c r="A297" s="643"/>
      <c r="B297" s="644"/>
      <c r="C297" s="645"/>
      <c r="D297" s="646" t="s">
        <v>1243</v>
      </c>
      <c r="E297" s="645"/>
      <c r="F297" s="647"/>
      <c r="G297" s="1408" t="s">
        <v>217</v>
      </c>
      <c r="H297" s="1409"/>
      <c r="I297" s="1410"/>
      <c r="J297" s="879">
        <f aca="true" t="shared" si="88" ref="J297:S297">J298</f>
        <v>972000</v>
      </c>
      <c r="K297" s="879">
        <f t="shared" si="88"/>
        <v>20000</v>
      </c>
      <c r="L297" s="879">
        <f t="shared" si="88"/>
        <v>972000</v>
      </c>
      <c r="M297" s="879">
        <f t="shared" si="88"/>
        <v>872000</v>
      </c>
      <c r="N297" s="276">
        <f t="shared" si="88"/>
        <v>0</v>
      </c>
      <c r="O297" s="276">
        <f t="shared" si="88"/>
        <v>0</v>
      </c>
      <c r="P297" s="276">
        <f t="shared" si="88"/>
        <v>0</v>
      </c>
      <c r="Q297" s="276">
        <f t="shared" si="88"/>
        <v>0</v>
      </c>
      <c r="R297" s="276">
        <f t="shared" si="88"/>
        <v>0</v>
      </c>
      <c r="S297" s="321">
        <f t="shared" si="88"/>
        <v>0</v>
      </c>
      <c r="T297" s="321">
        <f>SUM(N297:S297)</f>
        <v>0</v>
      </c>
      <c r="U297" s="819">
        <f>M297+N297+O297+P297+Q297+R297+S297</f>
        <v>872000</v>
      </c>
      <c r="V297" s="819">
        <v>5172000</v>
      </c>
      <c r="W297" s="819">
        <v>5172000</v>
      </c>
    </row>
    <row r="298" spans="1:23" ht="12.75">
      <c r="A298" s="336"/>
      <c r="B298" s="343"/>
      <c r="C298" s="56">
        <v>610</v>
      </c>
      <c r="D298" s="167"/>
      <c r="E298" s="338"/>
      <c r="F298" s="339"/>
      <c r="G298" s="1296" t="s">
        <v>113</v>
      </c>
      <c r="H298" s="1297"/>
      <c r="I298" s="1298"/>
      <c r="J298" s="168">
        <f aca="true" t="shared" si="89" ref="J298:S298">SUM(J299:J300)</f>
        <v>972000</v>
      </c>
      <c r="K298" s="168">
        <f t="shared" si="89"/>
        <v>20000</v>
      </c>
      <c r="L298" s="168">
        <f>SUM(L299:L300)</f>
        <v>972000</v>
      </c>
      <c r="M298" s="168">
        <f t="shared" si="89"/>
        <v>872000</v>
      </c>
      <c r="N298" s="168">
        <f t="shared" si="89"/>
        <v>0</v>
      </c>
      <c r="O298" s="168">
        <f t="shared" si="89"/>
        <v>0</v>
      </c>
      <c r="P298" s="168">
        <f t="shared" si="89"/>
        <v>0</v>
      </c>
      <c r="Q298" s="168">
        <f t="shared" si="89"/>
        <v>0</v>
      </c>
      <c r="R298" s="168">
        <f t="shared" si="89"/>
        <v>0</v>
      </c>
      <c r="S298" s="168">
        <f t="shared" si="89"/>
        <v>0</v>
      </c>
      <c r="T298" s="322">
        <f>SUM(N298:S298)</f>
        <v>0</v>
      </c>
      <c r="U298" s="1048">
        <f>M298+N298+O298+P298+Q298+R298+S298</f>
        <v>872000</v>
      </c>
      <c r="V298" s="1048">
        <v>5172000</v>
      </c>
      <c r="W298" s="1048">
        <v>5172000</v>
      </c>
    </row>
    <row r="299" spans="1:23" ht="12.75">
      <c r="A299" s="355"/>
      <c r="B299" s="348"/>
      <c r="C299" s="356"/>
      <c r="D299" s="357"/>
      <c r="E299" s="350">
        <v>213</v>
      </c>
      <c r="F299" s="515">
        <v>472</v>
      </c>
      <c r="G299" s="1270" t="s">
        <v>1363</v>
      </c>
      <c r="H299" s="1270"/>
      <c r="I299" s="1270"/>
      <c r="J299" s="359">
        <v>872000</v>
      </c>
      <c r="K299" s="359">
        <v>20000</v>
      </c>
      <c r="L299" s="359">
        <v>872000</v>
      </c>
      <c r="M299" s="359">
        <f>Rashodi!M336</f>
        <v>772000</v>
      </c>
      <c r="N299" s="359">
        <f>Rashodi!N336</f>
        <v>0</v>
      </c>
      <c r="O299" s="359">
        <f>Rashodi!O336</f>
        <v>0</v>
      </c>
      <c r="P299" s="359">
        <f>Rashodi!P336</f>
        <v>0</v>
      </c>
      <c r="Q299" s="359">
        <f>Rashodi!Q336</f>
        <v>0</v>
      </c>
      <c r="R299" s="359">
        <f>Rashodi!R336</f>
        <v>0</v>
      </c>
      <c r="S299" s="359">
        <f>Rashodi!S336</f>
        <v>0</v>
      </c>
      <c r="T299" s="359">
        <f>Rashodi!T336</f>
        <v>0</v>
      </c>
      <c r="U299" s="359">
        <f>Rashodi!U336</f>
        <v>772000</v>
      </c>
      <c r="V299" s="359">
        <v>5072000</v>
      </c>
      <c r="W299" s="359">
        <v>5072000</v>
      </c>
    </row>
    <row r="300" spans="1:23" ht="12.75">
      <c r="A300" s="355"/>
      <c r="B300" s="348"/>
      <c r="C300" s="356"/>
      <c r="D300" s="357"/>
      <c r="E300" s="350">
        <v>214</v>
      </c>
      <c r="F300" s="515">
        <v>472</v>
      </c>
      <c r="G300" s="1331" t="s">
        <v>1364</v>
      </c>
      <c r="H300" s="1332"/>
      <c r="I300" s="1332"/>
      <c r="J300" s="859">
        <v>100000</v>
      </c>
      <c r="K300" s="859">
        <v>0</v>
      </c>
      <c r="L300" s="859">
        <v>100000</v>
      </c>
      <c r="M300" s="359">
        <f>Rashodi!M337</f>
        <v>100000</v>
      </c>
      <c r="N300" s="359">
        <f>Rashodi!N337</f>
        <v>0</v>
      </c>
      <c r="O300" s="359">
        <f>Rashodi!O337</f>
        <v>0</v>
      </c>
      <c r="P300" s="359">
        <f>Rashodi!P337</f>
        <v>0</v>
      </c>
      <c r="Q300" s="359">
        <f>Rashodi!Q337</f>
        <v>0</v>
      </c>
      <c r="R300" s="359">
        <f>Rashodi!R337</f>
        <v>0</v>
      </c>
      <c r="S300" s="359">
        <f>Rashodi!S337</f>
        <v>0</v>
      </c>
      <c r="T300" s="359">
        <f>Rashodi!T337</f>
        <v>0</v>
      </c>
      <c r="U300" s="359">
        <f>Rashodi!U337</f>
        <v>100000</v>
      </c>
      <c r="V300" s="359">
        <v>100000</v>
      </c>
      <c r="W300" s="359">
        <v>100000</v>
      </c>
    </row>
    <row r="301" spans="1:23" ht="12.75">
      <c r="A301" s="724"/>
      <c r="B301" s="725"/>
      <c r="C301" s="583"/>
      <c r="D301" s="332" t="s">
        <v>825</v>
      </c>
      <c r="E301" s="583"/>
      <c r="F301" s="584"/>
      <c r="G301" s="1260" t="s">
        <v>1301</v>
      </c>
      <c r="H301" s="1261"/>
      <c r="I301" s="1262"/>
      <c r="J301" s="851">
        <f>J305</f>
        <v>1900000</v>
      </c>
      <c r="K301" s="851">
        <f>K305</f>
        <v>996211</v>
      </c>
      <c r="L301" s="851">
        <f>L302</f>
        <v>4000000</v>
      </c>
      <c r="M301" s="851">
        <f>M302</f>
        <v>6500000</v>
      </c>
      <c r="N301" s="851">
        <f aca="true" t="shared" si="90" ref="N301:S301">N302</f>
        <v>0</v>
      </c>
      <c r="O301" s="851">
        <f t="shared" si="90"/>
        <v>0</v>
      </c>
      <c r="P301" s="851">
        <f t="shared" si="90"/>
        <v>0</v>
      </c>
      <c r="Q301" s="851">
        <f t="shared" si="90"/>
        <v>0</v>
      </c>
      <c r="R301" s="851">
        <f t="shared" si="90"/>
        <v>0</v>
      </c>
      <c r="S301" s="851">
        <f t="shared" si="90"/>
        <v>0</v>
      </c>
      <c r="T301" s="726">
        <f>SUM(N301:S301)</f>
        <v>0</v>
      </c>
      <c r="U301" s="819">
        <f>M301+N301+O301+P301+Q301+R301+S301</f>
        <v>6500000</v>
      </c>
      <c r="V301" s="819">
        <v>5000000</v>
      </c>
      <c r="W301" s="819">
        <v>5000000</v>
      </c>
    </row>
    <row r="302" spans="1:23" ht="12.75">
      <c r="A302" s="336"/>
      <c r="B302" s="343"/>
      <c r="C302" s="56">
        <v>490</v>
      </c>
      <c r="D302" s="167"/>
      <c r="E302" s="338"/>
      <c r="F302" s="339"/>
      <c r="G302" s="1296" t="s">
        <v>165</v>
      </c>
      <c r="H302" s="1297"/>
      <c r="I302" s="1298"/>
      <c r="J302" s="168">
        <f>J305</f>
        <v>1900000</v>
      </c>
      <c r="K302" s="168">
        <f>K305</f>
        <v>996211</v>
      </c>
      <c r="L302" s="168">
        <f>SUM(L303:L305)</f>
        <v>4000000</v>
      </c>
      <c r="M302" s="168">
        <f>SUM(M303:M305)</f>
        <v>6500000</v>
      </c>
      <c r="N302" s="168">
        <f aca="true" t="shared" si="91" ref="N302:T302">SUM(N303:N305)</f>
        <v>0</v>
      </c>
      <c r="O302" s="168">
        <f t="shared" si="91"/>
        <v>0</v>
      </c>
      <c r="P302" s="168">
        <f t="shared" si="91"/>
        <v>0</v>
      </c>
      <c r="Q302" s="168">
        <f t="shared" si="91"/>
        <v>0</v>
      </c>
      <c r="R302" s="168">
        <f t="shared" si="91"/>
        <v>0</v>
      </c>
      <c r="S302" s="168">
        <f t="shared" si="91"/>
        <v>0</v>
      </c>
      <c r="T302" s="168">
        <f t="shared" si="91"/>
        <v>0</v>
      </c>
      <c r="U302" s="1048">
        <f>M302+N302+O302+P302+Q302+R302+S302</f>
        <v>6500000</v>
      </c>
      <c r="V302" s="1048">
        <v>5000000</v>
      </c>
      <c r="W302" s="1048">
        <v>5000000</v>
      </c>
    </row>
    <row r="303" spans="1:23" ht="12.75">
      <c r="A303" s="355"/>
      <c r="B303" s="348"/>
      <c r="C303" s="356"/>
      <c r="D303" s="357"/>
      <c r="E303" s="349" t="s">
        <v>1497</v>
      </c>
      <c r="F303" s="350">
        <v>454</v>
      </c>
      <c r="G303" s="1269" t="s">
        <v>1474</v>
      </c>
      <c r="H303" s="1270"/>
      <c r="I303" s="1271"/>
      <c r="J303" s="873">
        <v>0</v>
      </c>
      <c r="K303" s="873">
        <v>0</v>
      </c>
      <c r="L303" s="873">
        <v>2000000</v>
      </c>
      <c r="M303" s="873">
        <f>Rashodi!M340</f>
        <v>3500000</v>
      </c>
      <c r="N303" s="873">
        <f>Rashodi!N340</f>
        <v>0</v>
      </c>
      <c r="O303" s="873">
        <f>Rashodi!O340</f>
        <v>0</v>
      </c>
      <c r="P303" s="873">
        <f>Rashodi!P340</f>
        <v>0</v>
      </c>
      <c r="Q303" s="873">
        <f>Rashodi!Q340</f>
        <v>0</v>
      </c>
      <c r="R303" s="873">
        <f>Rashodi!R340</f>
        <v>0</v>
      </c>
      <c r="S303" s="873">
        <f>Rashodi!S340</f>
        <v>0</v>
      </c>
      <c r="T303" s="873">
        <f>Rashodi!T340</f>
        <v>0</v>
      </c>
      <c r="U303" s="873">
        <f>Rashodi!U340</f>
        <v>3500000</v>
      </c>
      <c r="V303" s="873">
        <v>2000000</v>
      </c>
      <c r="W303" s="873">
        <v>2000000</v>
      </c>
    </row>
    <row r="304" spans="1:23" ht="12.75">
      <c r="A304" s="355"/>
      <c r="B304" s="348"/>
      <c r="C304" s="356"/>
      <c r="D304" s="357"/>
      <c r="E304" s="349"/>
      <c r="F304" s="350">
        <v>454</v>
      </c>
      <c r="G304" s="1269" t="s">
        <v>1542</v>
      </c>
      <c r="H304" s="1270"/>
      <c r="I304" s="1271"/>
      <c r="J304" s="873"/>
      <c r="K304" s="873"/>
      <c r="L304" s="873"/>
      <c r="M304" s="873">
        <f>Rashodi!M341</f>
        <v>1000000</v>
      </c>
      <c r="N304" s="873">
        <f>Rashodi!N341</f>
        <v>0</v>
      </c>
      <c r="O304" s="873">
        <f>Rashodi!O341</f>
        <v>0</v>
      </c>
      <c r="P304" s="873">
        <f>Rashodi!P341</f>
        <v>0</v>
      </c>
      <c r="Q304" s="873">
        <f>Rashodi!Q341</f>
        <v>0</v>
      </c>
      <c r="R304" s="873">
        <f>Rashodi!R341</f>
        <v>0</v>
      </c>
      <c r="S304" s="873">
        <f>Rashodi!S341</f>
        <v>0</v>
      </c>
      <c r="T304" s="873">
        <f>Rashodi!T341</f>
        <v>0</v>
      </c>
      <c r="U304" s="873">
        <f>Rashodi!U341</f>
        <v>1000000</v>
      </c>
      <c r="V304" s="873">
        <v>1000000</v>
      </c>
      <c r="W304" s="873">
        <v>1000000</v>
      </c>
    </row>
    <row r="305" spans="1:23" ht="12.75">
      <c r="A305" s="355"/>
      <c r="B305" s="348"/>
      <c r="C305" s="349"/>
      <c r="D305" s="348"/>
      <c r="E305" s="447">
        <v>216</v>
      </c>
      <c r="F305" s="448">
        <v>481</v>
      </c>
      <c r="G305" s="1333" t="s">
        <v>164</v>
      </c>
      <c r="H305" s="1334"/>
      <c r="I305" s="1337"/>
      <c r="J305" s="873">
        <v>1900000</v>
      </c>
      <c r="K305" s="873">
        <v>996211</v>
      </c>
      <c r="L305" s="873">
        <v>2000000</v>
      </c>
      <c r="M305" s="873">
        <f>Rashodi!M342</f>
        <v>2000000</v>
      </c>
      <c r="N305" s="873">
        <f>Rashodi!N342</f>
        <v>0</v>
      </c>
      <c r="O305" s="873">
        <f>Rashodi!O342</f>
        <v>0</v>
      </c>
      <c r="P305" s="873">
        <f>Rashodi!P342</f>
        <v>0</v>
      </c>
      <c r="Q305" s="873">
        <f>Rashodi!Q342</f>
        <v>0</v>
      </c>
      <c r="R305" s="873">
        <f>Rashodi!R342</f>
        <v>0</v>
      </c>
      <c r="S305" s="873">
        <f>Rashodi!S342</f>
        <v>0</v>
      </c>
      <c r="T305" s="873">
        <f>Rashodi!T342</f>
        <v>0</v>
      </c>
      <c r="U305" s="873">
        <f>Rashodi!U342</f>
        <v>2000000</v>
      </c>
      <c r="V305" s="873">
        <v>2000000</v>
      </c>
      <c r="W305" s="873">
        <v>2000000</v>
      </c>
    </row>
    <row r="306" spans="1:23" ht="12.75">
      <c r="A306" s="270"/>
      <c r="B306" s="271"/>
      <c r="C306" s="412"/>
      <c r="D306" s="332" t="s">
        <v>823</v>
      </c>
      <c r="E306" s="412"/>
      <c r="F306" s="413"/>
      <c r="G306" s="1260" t="s">
        <v>1226</v>
      </c>
      <c r="H306" s="1261"/>
      <c r="I306" s="1262"/>
      <c r="J306" s="851">
        <f aca="true" t="shared" si="92" ref="J306:S307">J307</f>
        <v>1500000</v>
      </c>
      <c r="K306" s="851">
        <f t="shared" si="92"/>
        <v>0</v>
      </c>
      <c r="L306" s="851">
        <f t="shared" si="92"/>
        <v>1500000</v>
      </c>
      <c r="M306" s="851">
        <f t="shared" si="92"/>
        <v>1500000</v>
      </c>
      <c r="N306" s="276">
        <f t="shared" si="92"/>
        <v>0</v>
      </c>
      <c r="O306" s="276">
        <f t="shared" si="92"/>
        <v>0</v>
      </c>
      <c r="P306" s="276">
        <f t="shared" si="92"/>
        <v>0</v>
      </c>
      <c r="Q306" s="276">
        <f t="shared" si="92"/>
        <v>0</v>
      </c>
      <c r="R306" s="276">
        <f t="shared" si="92"/>
        <v>0</v>
      </c>
      <c r="S306" s="276">
        <f t="shared" si="92"/>
        <v>0</v>
      </c>
      <c r="T306" s="321">
        <f>SUM(N306:S306)</f>
        <v>0</v>
      </c>
      <c r="U306" s="819">
        <f>M306+N306+O306+P306+Q306+R306+S306</f>
        <v>1500000</v>
      </c>
      <c r="V306" s="819">
        <v>1500000</v>
      </c>
      <c r="W306" s="819">
        <v>1500000</v>
      </c>
    </row>
    <row r="307" spans="1:23" ht="12.75">
      <c r="A307" s="336"/>
      <c r="B307" s="343"/>
      <c r="C307" s="56">
        <v>412</v>
      </c>
      <c r="D307" s="167"/>
      <c r="E307" s="338"/>
      <c r="F307" s="339"/>
      <c r="G307" s="1296" t="s">
        <v>356</v>
      </c>
      <c r="H307" s="1297"/>
      <c r="I307" s="1298"/>
      <c r="J307" s="744">
        <f t="shared" si="92"/>
        <v>1500000</v>
      </c>
      <c r="K307" s="744">
        <f t="shared" si="92"/>
        <v>0</v>
      </c>
      <c r="L307" s="744">
        <f t="shared" si="92"/>
        <v>1500000</v>
      </c>
      <c r="M307" s="744">
        <f t="shared" si="92"/>
        <v>1500000</v>
      </c>
      <c r="N307" s="168">
        <f t="shared" si="92"/>
        <v>0</v>
      </c>
      <c r="O307" s="168">
        <f t="shared" si="92"/>
        <v>0</v>
      </c>
      <c r="P307" s="744">
        <f t="shared" si="92"/>
        <v>0</v>
      </c>
      <c r="Q307" s="744">
        <f t="shared" si="92"/>
        <v>0</v>
      </c>
      <c r="R307" s="744">
        <f t="shared" si="92"/>
        <v>0</v>
      </c>
      <c r="S307" s="744">
        <f t="shared" si="92"/>
        <v>0</v>
      </c>
      <c r="T307" s="322">
        <f>SUM(N307:S307)</f>
        <v>0</v>
      </c>
      <c r="U307" s="1048">
        <f>M307+N307+O307+P307+Q307+R307+S307</f>
        <v>1500000</v>
      </c>
      <c r="V307" s="1048">
        <v>1500000</v>
      </c>
      <c r="W307" s="1048">
        <v>1500000</v>
      </c>
    </row>
    <row r="308" spans="1:23" ht="12.75">
      <c r="A308" s="745"/>
      <c r="B308" s="746"/>
      <c r="C308" s="747"/>
      <c r="D308" s="746"/>
      <c r="E308" s="748">
        <v>217</v>
      </c>
      <c r="F308" s="749">
        <v>464</v>
      </c>
      <c r="G308" s="1329" t="s">
        <v>1394</v>
      </c>
      <c r="H308" s="1330"/>
      <c r="I308" s="1330"/>
      <c r="J308" s="752">
        <v>1500000</v>
      </c>
      <c r="K308" s="752">
        <v>0</v>
      </c>
      <c r="L308" s="752">
        <v>1500000</v>
      </c>
      <c r="M308" s="752">
        <f>Rashodi!M345</f>
        <v>1500000</v>
      </c>
      <c r="N308" s="752">
        <f>Rashodi!N345</f>
        <v>0</v>
      </c>
      <c r="O308" s="752">
        <f>Rashodi!O345</f>
        <v>0</v>
      </c>
      <c r="P308" s="752">
        <f>Rashodi!P345</f>
        <v>0</v>
      </c>
      <c r="Q308" s="752">
        <f>Rashodi!Q345</f>
        <v>0</v>
      </c>
      <c r="R308" s="752">
        <f>Rashodi!R345</f>
        <v>0</v>
      </c>
      <c r="S308" s="752">
        <f>Rashodi!S345</f>
        <v>0</v>
      </c>
      <c r="T308" s="752">
        <f>Rashodi!T345</f>
        <v>0</v>
      </c>
      <c r="U308" s="752">
        <f>Rashodi!U345</f>
        <v>1500000</v>
      </c>
      <c r="V308" s="752">
        <v>1500000</v>
      </c>
      <c r="W308" s="752">
        <v>1500000</v>
      </c>
    </row>
    <row r="309" spans="1:23" ht="12.75">
      <c r="A309" s="270"/>
      <c r="B309" s="271"/>
      <c r="C309" s="412"/>
      <c r="D309" s="593" t="s">
        <v>305</v>
      </c>
      <c r="E309" s="412"/>
      <c r="F309" s="413"/>
      <c r="G309" s="1327" t="s">
        <v>1322</v>
      </c>
      <c r="H309" s="1328"/>
      <c r="I309" s="1328"/>
      <c r="J309" s="994">
        <f aca="true" t="shared" si="93" ref="J309:S309">J310+J322</f>
        <v>12440000</v>
      </c>
      <c r="K309" s="994">
        <f t="shared" si="93"/>
        <v>1554886.79</v>
      </c>
      <c r="L309" s="994">
        <f t="shared" si="93"/>
        <v>11440000</v>
      </c>
      <c r="M309" s="994">
        <f t="shared" si="93"/>
        <v>20240000</v>
      </c>
      <c r="N309" s="272">
        <f t="shared" si="93"/>
        <v>0</v>
      </c>
      <c r="O309" s="272">
        <f t="shared" si="93"/>
        <v>0</v>
      </c>
      <c r="P309" s="272">
        <f t="shared" si="93"/>
        <v>0</v>
      </c>
      <c r="Q309" s="272">
        <f t="shared" si="93"/>
        <v>40286871</v>
      </c>
      <c r="R309" s="272">
        <f t="shared" si="93"/>
        <v>0</v>
      </c>
      <c r="S309" s="272">
        <f t="shared" si="93"/>
        <v>0</v>
      </c>
      <c r="T309" s="320">
        <f>SUM(N309:S309)</f>
        <v>40286871</v>
      </c>
      <c r="U309" s="819">
        <f>M309+N309+O309+P309+Q309+R309+S309</f>
        <v>60526871</v>
      </c>
      <c r="V309" s="819">
        <v>58526871</v>
      </c>
      <c r="W309" s="819">
        <v>58526871</v>
      </c>
    </row>
    <row r="310" spans="1:23" ht="12.75">
      <c r="A310" s="270"/>
      <c r="B310" s="271"/>
      <c r="C310" s="412"/>
      <c r="D310" s="332" t="s">
        <v>306</v>
      </c>
      <c r="E310" s="412"/>
      <c r="F310" s="413"/>
      <c r="G310" s="1323" t="s">
        <v>1303</v>
      </c>
      <c r="H310" s="1324"/>
      <c r="I310" s="1324"/>
      <c r="J310" s="984">
        <f aca="true" t="shared" si="94" ref="J310:S310">J311</f>
        <v>9690000</v>
      </c>
      <c r="K310" s="984">
        <f t="shared" si="94"/>
        <v>660425.3300000001</v>
      </c>
      <c r="L310" s="984">
        <f t="shared" si="94"/>
        <v>8690000</v>
      </c>
      <c r="M310" s="984">
        <f t="shared" si="94"/>
        <v>17490000</v>
      </c>
      <c r="N310" s="276">
        <f t="shared" si="94"/>
        <v>0</v>
      </c>
      <c r="O310" s="276">
        <f t="shared" si="94"/>
        <v>0</v>
      </c>
      <c r="P310" s="276">
        <f t="shared" si="94"/>
        <v>0</v>
      </c>
      <c r="Q310" s="276">
        <f t="shared" si="94"/>
        <v>33286871</v>
      </c>
      <c r="R310" s="276">
        <f t="shared" si="94"/>
        <v>0</v>
      </c>
      <c r="S310" s="321">
        <f t="shared" si="94"/>
        <v>0</v>
      </c>
      <c r="T310" s="321">
        <f>SUM(N310:S310)</f>
        <v>33286871</v>
      </c>
      <c r="U310" s="819">
        <f>M310+N310+O310+P310+Q310+R310+S310</f>
        <v>50776871</v>
      </c>
      <c r="V310" s="819">
        <v>48776871</v>
      </c>
      <c r="W310" s="819">
        <v>48776871</v>
      </c>
    </row>
    <row r="311" spans="1:23" ht="12.75">
      <c r="A311" s="336"/>
      <c r="B311" s="59"/>
      <c r="C311" s="56">
        <v>451</v>
      </c>
      <c r="D311" s="167"/>
      <c r="E311" s="338"/>
      <c r="F311" s="339"/>
      <c r="G311" s="1317" t="s">
        <v>369</v>
      </c>
      <c r="H311" s="1318"/>
      <c r="I311" s="1319"/>
      <c r="J311" s="880">
        <f aca="true" t="shared" si="95" ref="J311:S311">SUM(J312:J321)</f>
        <v>9690000</v>
      </c>
      <c r="K311" s="880">
        <f t="shared" si="95"/>
        <v>660425.3300000001</v>
      </c>
      <c r="L311" s="880">
        <f t="shared" si="95"/>
        <v>8690000</v>
      </c>
      <c r="M311" s="880">
        <f t="shared" si="95"/>
        <v>17490000</v>
      </c>
      <c r="N311" s="556">
        <f t="shared" si="95"/>
        <v>0</v>
      </c>
      <c r="O311" s="556">
        <f t="shared" si="95"/>
        <v>0</v>
      </c>
      <c r="P311" s="556">
        <f t="shared" si="95"/>
        <v>0</v>
      </c>
      <c r="Q311" s="556">
        <f t="shared" si="95"/>
        <v>33286871</v>
      </c>
      <c r="R311" s="556">
        <f t="shared" si="95"/>
        <v>0</v>
      </c>
      <c r="S311" s="556">
        <f t="shared" si="95"/>
        <v>0</v>
      </c>
      <c r="T311" s="325">
        <f>SUM(N311:S311)</f>
        <v>33286871</v>
      </c>
      <c r="U311" s="1048">
        <f>M311+N311+O311+P311+Q311+R311+S311</f>
        <v>50776871</v>
      </c>
      <c r="V311" s="1048">
        <v>48776871</v>
      </c>
      <c r="W311" s="1048">
        <v>48776871</v>
      </c>
    </row>
    <row r="312" spans="1:23" ht="12.75">
      <c r="A312" s="336"/>
      <c r="B312" s="59"/>
      <c r="C312" s="344"/>
      <c r="D312" s="337"/>
      <c r="E312" s="338">
        <v>218</v>
      </c>
      <c r="F312" s="339">
        <v>424</v>
      </c>
      <c r="G312" s="1276" t="s">
        <v>1281</v>
      </c>
      <c r="H312" s="1277"/>
      <c r="I312" s="1278"/>
      <c r="J312" s="881">
        <v>1200000</v>
      </c>
      <c r="K312" s="881">
        <v>233000.33000000002</v>
      </c>
      <c r="L312" s="881">
        <v>1200000</v>
      </c>
      <c r="M312" s="881">
        <f>Rashodi!M349</f>
        <v>1000000</v>
      </c>
      <c r="N312" s="881">
        <f>Rashodi!N349</f>
        <v>0</v>
      </c>
      <c r="O312" s="881">
        <f>Rashodi!O349</f>
        <v>0</v>
      </c>
      <c r="P312" s="881">
        <f>Rashodi!P349</f>
        <v>0</v>
      </c>
      <c r="Q312" s="881">
        <f>Rashodi!Q349</f>
        <v>0</v>
      </c>
      <c r="R312" s="881">
        <f>Rashodi!R349</f>
        <v>0</v>
      </c>
      <c r="S312" s="881">
        <f>Rashodi!S349</f>
        <v>0</v>
      </c>
      <c r="T312" s="881">
        <f>Rashodi!T349</f>
        <v>0</v>
      </c>
      <c r="U312" s="881">
        <f>Rashodi!U349</f>
        <v>1000000</v>
      </c>
      <c r="V312" s="881">
        <v>1000000</v>
      </c>
      <c r="W312" s="881">
        <v>1000000</v>
      </c>
    </row>
    <row r="313" spans="1:23" ht="12.75">
      <c r="A313" s="336"/>
      <c r="B313" s="59"/>
      <c r="C313" s="344"/>
      <c r="D313" s="337"/>
      <c r="E313" s="354">
        <v>219</v>
      </c>
      <c r="F313" s="339">
        <v>424</v>
      </c>
      <c r="G313" s="1276" t="s">
        <v>1311</v>
      </c>
      <c r="H313" s="1277"/>
      <c r="I313" s="1278"/>
      <c r="J313" s="881">
        <v>240000</v>
      </c>
      <c r="K313" s="881">
        <v>0</v>
      </c>
      <c r="L313" s="881">
        <v>240000</v>
      </c>
      <c r="M313" s="881">
        <f>Rashodi!M350</f>
        <v>240000</v>
      </c>
      <c r="N313" s="881">
        <f>Rashodi!N350</f>
        <v>0</v>
      </c>
      <c r="O313" s="881">
        <f>Rashodi!O350</f>
        <v>0</v>
      </c>
      <c r="P313" s="881">
        <f>Rashodi!P350</f>
        <v>0</v>
      </c>
      <c r="Q313" s="881">
        <f>Rashodi!Q350</f>
        <v>0</v>
      </c>
      <c r="R313" s="881">
        <f>Rashodi!R350</f>
        <v>0</v>
      </c>
      <c r="S313" s="881">
        <f>Rashodi!S350</f>
        <v>0</v>
      </c>
      <c r="T313" s="881">
        <f>Rashodi!T350</f>
        <v>0</v>
      </c>
      <c r="U313" s="881">
        <f>Rashodi!U350</f>
        <v>240000</v>
      </c>
      <c r="V313" s="881">
        <v>240000</v>
      </c>
      <c r="W313" s="881">
        <v>240000</v>
      </c>
    </row>
    <row r="314" spans="1:23" ht="12.75">
      <c r="A314" s="336"/>
      <c r="B314" s="59"/>
      <c r="C314" s="344"/>
      <c r="D314" s="337"/>
      <c r="E314" s="354">
        <v>220</v>
      </c>
      <c r="F314" s="339">
        <v>424</v>
      </c>
      <c r="G314" s="1276" t="s">
        <v>1329</v>
      </c>
      <c r="H314" s="1277"/>
      <c r="I314" s="1278"/>
      <c r="J314" s="881">
        <v>500000</v>
      </c>
      <c r="K314" s="881">
        <v>0</v>
      </c>
      <c r="L314" s="881">
        <v>500000</v>
      </c>
      <c r="M314" s="881">
        <f>Rashodi!M351</f>
        <v>500000</v>
      </c>
      <c r="N314" s="881">
        <f>Rashodi!N351</f>
        <v>0</v>
      </c>
      <c r="O314" s="881">
        <f>Rashodi!O351</f>
        <v>0</v>
      </c>
      <c r="P314" s="881">
        <f>Rashodi!P351</f>
        <v>0</v>
      </c>
      <c r="Q314" s="881">
        <f>Rashodi!Q351</f>
        <v>0</v>
      </c>
      <c r="R314" s="881">
        <f>Rashodi!R351</f>
        <v>0</v>
      </c>
      <c r="S314" s="881">
        <f>Rashodi!S351</f>
        <v>0</v>
      </c>
      <c r="T314" s="881">
        <f>Rashodi!T351</f>
        <v>0</v>
      </c>
      <c r="U314" s="881">
        <f>Rashodi!U351</f>
        <v>500000</v>
      </c>
      <c r="V314" s="881">
        <v>500000</v>
      </c>
      <c r="W314" s="881">
        <v>500000</v>
      </c>
    </row>
    <row r="315" spans="1:23" ht="12.75">
      <c r="A315" s="336"/>
      <c r="B315" s="59"/>
      <c r="C315" s="344"/>
      <c r="D315" s="337"/>
      <c r="E315" s="354">
        <v>221</v>
      </c>
      <c r="F315" s="339">
        <v>424</v>
      </c>
      <c r="G315" s="1276" t="s">
        <v>1312</v>
      </c>
      <c r="H315" s="1277"/>
      <c r="I315" s="1278"/>
      <c r="J315" s="881">
        <v>150000</v>
      </c>
      <c r="K315" s="881">
        <v>3276</v>
      </c>
      <c r="L315" s="881">
        <v>150000</v>
      </c>
      <c r="M315" s="881">
        <f>Rashodi!M352</f>
        <v>150000</v>
      </c>
      <c r="N315" s="881">
        <f>Rashodi!N352</f>
        <v>0</v>
      </c>
      <c r="O315" s="881">
        <f>Rashodi!O352</f>
        <v>0</v>
      </c>
      <c r="P315" s="881">
        <f>Rashodi!P352</f>
        <v>0</v>
      </c>
      <c r="Q315" s="881">
        <f>Rashodi!Q352</f>
        <v>0</v>
      </c>
      <c r="R315" s="881">
        <f>Rashodi!R352</f>
        <v>0</v>
      </c>
      <c r="S315" s="881">
        <f>Rashodi!S352</f>
        <v>0</v>
      </c>
      <c r="T315" s="881">
        <f>Rashodi!T352</f>
        <v>0</v>
      </c>
      <c r="U315" s="881">
        <f>Rashodi!U352</f>
        <v>150000</v>
      </c>
      <c r="V315" s="881">
        <v>150000</v>
      </c>
      <c r="W315" s="881">
        <v>150000</v>
      </c>
    </row>
    <row r="316" spans="1:23" ht="12.75">
      <c r="A316" s="336"/>
      <c r="B316" s="59"/>
      <c r="C316" s="344"/>
      <c r="D316" s="337"/>
      <c r="E316" s="354">
        <v>222</v>
      </c>
      <c r="F316" s="339">
        <v>424</v>
      </c>
      <c r="G316" s="1276" t="s">
        <v>1452</v>
      </c>
      <c r="H316" s="1277"/>
      <c r="I316" s="1278"/>
      <c r="J316" s="881">
        <v>600000</v>
      </c>
      <c r="K316" s="881">
        <v>0</v>
      </c>
      <c r="L316" s="881">
        <v>600000</v>
      </c>
      <c r="M316" s="881">
        <f>Rashodi!M353</f>
        <v>600000</v>
      </c>
      <c r="N316" s="881">
        <f>Rashodi!N353</f>
        <v>0</v>
      </c>
      <c r="O316" s="881">
        <f>Rashodi!O353</f>
        <v>0</v>
      </c>
      <c r="P316" s="881">
        <f>Rashodi!P353</f>
        <v>0</v>
      </c>
      <c r="Q316" s="881">
        <f>Rashodi!Q353</f>
        <v>0</v>
      </c>
      <c r="R316" s="881">
        <f>Rashodi!R353</f>
        <v>0</v>
      </c>
      <c r="S316" s="881">
        <f>Rashodi!S353</f>
        <v>0</v>
      </c>
      <c r="T316" s="881">
        <f>Rashodi!T353</f>
        <v>0</v>
      </c>
      <c r="U316" s="881">
        <f>Rashodi!U353</f>
        <v>600000</v>
      </c>
      <c r="V316" s="881">
        <v>600000</v>
      </c>
      <c r="W316" s="881">
        <v>600000</v>
      </c>
    </row>
    <row r="317" spans="1:23" ht="12.75">
      <c r="A317" s="336"/>
      <c r="B317" s="59"/>
      <c r="C317" s="344"/>
      <c r="D317" s="337"/>
      <c r="E317" s="354">
        <v>223</v>
      </c>
      <c r="F317" s="339">
        <v>424</v>
      </c>
      <c r="G317" s="1276" t="s">
        <v>1282</v>
      </c>
      <c r="H317" s="1277"/>
      <c r="I317" s="1278"/>
      <c r="J317" s="881">
        <v>1000000</v>
      </c>
      <c r="K317" s="881">
        <v>424149</v>
      </c>
      <c r="L317" s="881">
        <v>1000000</v>
      </c>
      <c r="M317" s="881">
        <f>Rashodi!M354</f>
        <v>1000000</v>
      </c>
      <c r="N317" s="881">
        <f>Rashodi!N354</f>
        <v>0</v>
      </c>
      <c r="O317" s="881">
        <f>Rashodi!O354</f>
        <v>0</v>
      </c>
      <c r="P317" s="881">
        <f>Rashodi!P354</f>
        <v>0</v>
      </c>
      <c r="Q317" s="881">
        <f>Rashodi!Q354</f>
        <v>0</v>
      </c>
      <c r="R317" s="881">
        <f>Rashodi!R354</f>
        <v>0</v>
      </c>
      <c r="S317" s="881">
        <f>Rashodi!S354</f>
        <v>0</v>
      </c>
      <c r="T317" s="881">
        <f>Rashodi!T354</f>
        <v>0</v>
      </c>
      <c r="U317" s="881">
        <f>Rashodi!U354</f>
        <v>1000000</v>
      </c>
      <c r="V317" s="881">
        <v>1000000</v>
      </c>
      <c r="W317" s="881">
        <v>1000000</v>
      </c>
    </row>
    <row r="318" spans="1:23" ht="12.75">
      <c r="A318" s="336"/>
      <c r="B318" s="59"/>
      <c r="C318" s="344"/>
      <c r="D318" s="337"/>
      <c r="E318" s="354">
        <v>224</v>
      </c>
      <c r="F318" s="339">
        <v>425</v>
      </c>
      <c r="G318" s="1276" t="s">
        <v>1314</v>
      </c>
      <c r="H318" s="1277"/>
      <c r="I318" s="1278"/>
      <c r="J318" s="881">
        <v>1000000</v>
      </c>
      <c r="K318" s="881">
        <v>0</v>
      </c>
      <c r="L318" s="881">
        <v>1000000</v>
      </c>
      <c r="M318" s="881">
        <f>Rashodi!M355</f>
        <v>2000000</v>
      </c>
      <c r="N318" s="881">
        <f>Rashodi!N355</f>
        <v>0</v>
      </c>
      <c r="O318" s="881">
        <f>Rashodi!O355</f>
        <v>0</v>
      </c>
      <c r="P318" s="881">
        <f>Rashodi!P355</f>
        <v>0</v>
      </c>
      <c r="Q318" s="881">
        <f>Rashodi!Q355</f>
        <v>0</v>
      </c>
      <c r="R318" s="881">
        <f>Rashodi!R355</f>
        <v>0</v>
      </c>
      <c r="S318" s="881">
        <f>Rashodi!S355</f>
        <v>0</v>
      </c>
      <c r="T318" s="881">
        <f>Rashodi!T355</f>
        <v>0</v>
      </c>
      <c r="U318" s="881">
        <f>Rashodi!U355</f>
        <v>2000000</v>
      </c>
      <c r="V318" s="881">
        <v>2000000</v>
      </c>
      <c r="W318" s="881">
        <v>2000000</v>
      </c>
    </row>
    <row r="319" spans="1:23" ht="12.75">
      <c r="A319" s="336"/>
      <c r="B319" s="59"/>
      <c r="C319" s="344"/>
      <c r="D319" s="357"/>
      <c r="E319" s="354">
        <v>225</v>
      </c>
      <c r="F319" s="350">
        <v>425</v>
      </c>
      <c r="G319" s="1276" t="s">
        <v>1313</v>
      </c>
      <c r="H319" s="1277"/>
      <c r="I319" s="1278"/>
      <c r="J319" s="878">
        <v>4000000</v>
      </c>
      <c r="K319" s="878">
        <v>0</v>
      </c>
      <c r="L319" s="878">
        <v>3000000</v>
      </c>
      <c r="M319" s="881">
        <f>Rashodi!M356</f>
        <v>4000000</v>
      </c>
      <c r="N319" s="881">
        <f>Rashodi!N356</f>
        <v>0</v>
      </c>
      <c r="O319" s="881">
        <f>Rashodi!O356</f>
        <v>0</v>
      </c>
      <c r="P319" s="881">
        <f>Rashodi!P356</f>
        <v>0</v>
      </c>
      <c r="Q319" s="881">
        <f>Rashodi!Q356</f>
        <v>0</v>
      </c>
      <c r="R319" s="881">
        <f>Rashodi!R356</f>
        <v>0</v>
      </c>
      <c r="S319" s="881">
        <f>Rashodi!S356</f>
        <v>0</v>
      </c>
      <c r="T319" s="881">
        <f>Rashodi!T356</f>
        <v>0</v>
      </c>
      <c r="U319" s="881">
        <f>Rashodi!U356</f>
        <v>4000000</v>
      </c>
      <c r="V319" s="881">
        <v>3000000</v>
      </c>
      <c r="W319" s="881">
        <v>3000000</v>
      </c>
    </row>
    <row r="320" spans="1:23" ht="12.75">
      <c r="A320" s="336"/>
      <c r="B320" s="59"/>
      <c r="C320" s="344"/>
      <c r="D320" s="357"/>
      <c r="E320" s="354"/>
      <c r="F320" s="350">
        <v>425</v>
      </c>
      <c r="G320" s="1127" t="s">
        <v>1561</v>
      </c>
      <c r="H320" s="1128"/>
      <c r="I320" s="1129"/>
      <c r="J320" s="878"/>
      <c r="K320" s="1008"/>
      <c r="L320" s="878"/>
      <c r="M320" s="881">
        <f>Rashodi!M357</f>
        <v>0</v>
      </c>
      <c r="N320" s="881">
        <f>Rashodi!N357</f>
        <v>0</v>
      </c>
      <c r="O320" s="881">
        <f>Rashodi!O357</f>
        <v>0</v>
      </c>
      <c r="P320" s="881">
        <f>Rashodi!P357</f>
        <v>0</v>
      </c>
      <c r="Q320" s="881">
        <f>Rashodi!Q357</f>
        <v>4000000</v>
      </c>
      <c r="R320" s="881">
        <f>Rashodi!R357</f>
        <v>0</v>
      </c>
      <c r="S320" s="881">
        <f>Rashodi!S357</f>
        <v>0</v>
      </c>
      <c r="T320" s="881">
        <f>Rashodi!T357</f>
        <v>4000000</v>
      </c>
      <c r="U320" s="881">
        <f>Rashodi!U357</f>
        <v>4000000</v>
      </c>
      <c r="V320" s="881">
        <v>4000000</v>
      </c>
      <c r="W320" s="881">
        <v>4000000</v>
      </c>
    </row>
    <row r="321" spans="1:23" ht="12.75">
      <c r="A321" s="336"/>
      <c r="B321" s="59"/>
      <c r="C321" s="56"/>
      <c r="D321" s="519"/>
      <c r="E321" s="338">
        <v>227</v>
      </c>
      <c r="F321" s="350">
        <v>511</v>
      </c>
      <c r="G321" s="1284" t="s">
        <v>1387</v>
      </c>
      <c r="H321" s="1285"/>
      <c r="I321" s="1286"/>
      <c r="J321" s="878">
        <v>1000000</v>
      </c>
      <c r="K321" s="1008">
        <v>0</v>
      </c>
      <c r="L321" s="523">
        <v>1000000</v>
      </c>
      <c r="M321" s="881">
        <f>Rashodi!M358</f>
        <v>8000000</v>
      </c>
      <c r="N321" s="881">
        <f>Rashodi!N358</f>
        <v>0</v>
      </c>
      <c r="O321" s="881">
        <f>Rashodi!O358</f>
        <v>0</v>
      </c>
      <c r="P321" s="881">
        <f>Rashodi!P358</f>
        <v>0</v>
      </c>
      <c r="Q321" s="881">
        <f>Rashodi!Q358</f>
        <v>29286871</v>
      </c>
      <c r="R321" s="881">
        <f>Rashodi!R358</f>
        <v>0</v>
      </c>
      <c r="S321" s="881">
        <f>Rashodi!S358</f>
        <v>0</v>
      </c>
      <c r="T321" s="881">
        <f>Rashodi!T358</f>
        <v>29286871</v>
      </c>
      <c r="U321" s="881">
        <f>Rashodi!U358</f>
        <v>37286871</v>
      </c>
      <c r="V321" s="881">
        <v>36286871</v>
      </c>
      <c r="W321" s="881">
        <v>36286871</v>
      </c>
    </row>
    <row r="322" spans="1:23" ht="12.75">
      <c r="A322" s="270"/>
      <c r="B322" s="271"/>
      <c r="C322" s="412"/>
      <c r="D322" s="332" t="s">
        <v>1469</v>
      </c>
      <c r="E322" s="412"/>
      <c r="F322" s="413"/>
      <c r="G322" s="1260" t="s">
        <v>1470</v>
      </c>
      <c r="H322" s="1261"/>
      <c r="I322" s="1262"/>
      <c r="J322" s="864">
        <f>J323</f>
        <v>2750000</v>
      </c>
      <c r="K322" s="864">
        <f>K323</f>
        <v>894461.46</v>
      </c>
      <c r="L322" s="864">
        <f>L323</f>
        <v>2750000</v>
      </c>
      <c r="M322" s="864">
        <f>M323</f>
        <v>2750000</v>
      </c>
      <c r="N322" s="276">
        <f aca="true" t="shared" si="96" ref="N322:S322">N323</f>
        <v>0</v>
      </c>
      <c r="O322" s="276">
        <f t="shared" si="96"/>
        <v>0</v>
      </c>
      <c r="P322" s="276">
        <f t="shared" si="96"/>
        <v>0</v>
      </c>
      <c r="Q322" s="276">
        <f t="shared" si="96"/>
        <v>7000000</v>
      </c>
      <c r="R322" s="276">
        <f t="shared" si="96"/>
        <v>0</v>
      </c>
      <c r="S322" s="321">
        <f t="shared" si="96"/>
        <v>0</v>
      </c>
      <c r="T322" s="793">
        <f>SUM(N322:S322)</f>
        <v>7000000</v>
      </c>
      <c r="U322" s="819">
        <f>M322+N322+O322+P322+Q322+R322+S322</f>
        <v>9750000</v>
      </c>
      <c r="V322" s="819">
        <v>9750000</v>
      </c>
      <c r="W322" s="819">
        <v>9750000</v>
      </c>
    </row>
    <row r="323" spans="1:23" ht="12.75">
      <c r="A323" s="314"/>
      <c r="B323" s="315"/>
      <c r="C323" s="318">
        <v>451</v>
      </c>
      <c r="D323" s="315"/>
      <c r="E323" s="318"/>
      <c r="F323" s="995"/>
      <c r="G323" s="1272" t="s">
        <v>369</v>
      </c>
      <c r="H323" s="1273"/>
      <c r="I323" s="1273"/>
      <c r="J323" s="985">
        <f>SUM(J324:J326)</f>
        <v>2750000</v>
      </c>
      <c r="K323" s="985">
        <f>SUM(K324:K326)</f>
        <v>894461.46</v>
      </c>
      <c r="L323" s="985">
        <f>SUM(L324:L326)</f>
        <v>2750000</v>
      </c>
      <c r="M323" s="985">
        <f>SUM(M324:M326)</f>
        <v>2750000</v>
      </c>
      <c r="N323" s="316">
        <f aca="true" t="shared" si="97" ref="N323:S323">SUM(N324:N326)</f>
        <v>0</v>
      </c>
      <c r="O323" s="316">
        <f t="shared" si="97"/>
        <v>0</v>
      </c>
      <c r="P323" s="316">
        <f t="shared" si="97"/>
        <v>0</v>
      </c>
      <c r="Q323" s="316">
        <f t="shared" si="97"/>
        <v>7000000</v>
      </c>
      <c r="R323" s="316">
        <f t="shared" si="97"/>
        <v>0</v>
      </c>
      <c r="S323" s="327">
        <f t="shared" si="97"/>
        <v>0</v>
      </c>
      <c r="T323" s="796">
        <f>SUM(N323:S323)</f>
        <v>7000000</v>
      </c>
      <c r="U323" s="1048">
        <f>M323+N323+O323+P323+Q323+R323+S323</f>
        <v>9750000</v>
      </c>
      <c r="V323" s="1048">
        <v>9750000</v>
      </c>
      <c r="W323" s="1048">
        <v>9750000</v>
      </c>
    </row>
    <row r="324" spans="1:23" ht="12.75">
      <c r="A324" s="347"/>
      <c r="B324" s="348"/>
      <c r="C324" s="349"/>
      <c r="D324" s="611"/>
      <c r="E324" s="337" t="s">
        <v>1494</v>
      </c>
      <c r="F324" s="624">
        <v>463</v>
      </c>
      <c r="G324" s="1274" t="s">
        <v>1342</v>
      </c>
      <c r="H324" s="1275"/>
      <c r="I324" s="1275"/>
      <c r="J324" s="986">
        <v>150000</v>
      </c>
      <c r="K324" s="986">
        <v>0</v>
      </c>
      <c r="L324" s="986">
        <v>150000</v>
      </c>
      <c r="M324" s="986">
        <f>Rashodi!M361</f>
        <v>150000</v>
      </c>
      <c r="N324" s="986">
        <f>Rashodi!N361</f>
        <v>0</v>
      </c>
      <c r="O324" s="986">
        <f>Rashodi!O361</f>
        <v>0</v>
      </c>
      <c r="P324" s="986">
        <f>Rashodi!P361</f>
        <v>0</v>
      </c>
      <c r="Q324" s="986">
        <f>Rashodi!Q361</f>
        <v>500000</v>
      </c>
      <c r="R324" s="986">
        <f>Rashodi!R361</f>
        <v>0</v>
      </c>
      <c r="S324" s="986">
        <f>Rashodi!S361</f>
        <v>0</v>
      </c>
      <c r="T324" s="986">
        <f>Rashodi!T361</f>
        <v>500000</v>
      </c>
      <c r="U324" s="986">
        <f>Rashodi!U361</f>
        <v>650000</v>
      </c>
      <c r="V324" s="986">
        <v>650000</v>
      </c>
      <c r="W324" s="986">
        <v>650000</v>
      </c>
    </row>
    <row r="325" spans="1:23" ht="12.75">
      <c r="A325" s="347"/>
      <c r="B325" s="348"/>
      <c r="C325" s="349"/>
      <c r="D325" s="343"/>
      <c r="E325" s="738" t="s">
        <v>1495</v>
      </c>
      <c r="F325" s="338">
        <v>511</v>
      </c>
      <c r="G325" s="1279" t="s">
        <v>1380</v>
      </c>
      <c r="H325" s="1279"/>
      <c r="I325" s="1266"/>
      <c r="J325" s="986">
        <v>1300000</v>
      </c>
      <c r="K325" s="986">
        <v>866400</v>
      </c>
      <c r="L325" s="986">
        <v>1300000</v>
      </c>
      <c r="M325" s="986">
        <f>Rashodi!M362</f>
        <v>1300000</v>
      </c>
      <c r="N325" s="986">
        <f>Rashodi!N362</f>
        <v>0</v>
      </c>
      <c r="O325" s="986">
        <f>Rashodi!O362</f>
        <v>0</v>
      </c>
      <c r="P325" s="986">
        <f>Rashodi!P362</f>
        <v>0</v>
      </c>
      <c r="Q325" s="986">
        <f>Rashodi!Q362</f>
        <v>3500000</v>
      </c>
      <c r="R325" s="986">
        <f>Rashodi!R362</f>
        <v>0</v>
      </c>
      <c r="S325" s="986">
        <f>Rashodi!S362</f>
        <v>0</v>
      </c>
      <c r="T325" s="986">
        <f>Rashodi!T362</f>
        <v>3500000</v>
      </c>
      <c r="U325" s="986">
        <f>Rashodi!U362</f>
        <v>4800000</v>
      </c>
      <c r="V325" s="986">
        <v>4800000</v>
      </c>
      <c r="W325" s="986">
        <v>4800000</v>
      </c>
    </row>
    <row r="326" spans="1:23" ht="12.75">
      <c r="A326" s="347"/>
      <c r="B326" s="348"/>
      <c r="C326" s="349"/>
      <c r="D326" s="587"/>
      <c r="E326" s="739" t="s">
        <v>1496</v>
      </c>
      <c r="F326" s="625">
        <v>512</v>
      </c>
      <c r="G326" s="1282" t="s">
        <v>82</v>
      </c>
      <c r="H326" s="1283"/>
      <c r="I326" s="1283"/>
      <c r="J326" s="986">
        <v>1300000</v>
      </c>
      <c r="K326" s="986">
        <v>28061.46</v>
      </c>
      <c r="L326" s="986">
        <v>1300000</v>
      </c>
      <c r="M326" s="986">
        <f>Rashodi!M363</f>
        <v>1300000</v>
      </c>
      <c r="N326" s="986">
        <f>Rashodi!N363</f>
        <v>0</v>
      </c>
      <c r="O326" s="986">
        <f>Rashodi!O363</f>
        <v>0</v>
      </c>
      <c r="P326" s="986">
        <f>Rashodi!P363</f>
        <v>0</v>
      </c>
      <c r="Q326" s="986">
        <f>Rashodi!Q363</f>
        <v>3000000</v>
      </c>
      <c r="R326" s="986">
        <f>Rashodi!R363</f>
        <v>0</v>
      </c>
      <c r="S326" s="986">
        <f>Rashodi!S363</f>
        <v>0</v>
      </c>
      <c r="T326" s="986">
        <f>Rashodi!T363</f>
        <v>3000000</v>
      </c>
      <c r="U326" s="986">
        <f>Rashodi!U363</f>
        <v>4300000</v>
      </c>
      <c r="V326" s="986">
        <v>4300000</v>
      </c>
      <c r="W326" s="986">
        <v>4300000</v>
      </c>
    </row>
    <row r="327" spans="1:23" ht="12.75">
      <c r="A327" s="51"/>
      <c r="B327" s="52" t="s">
        <v>1270</v>
      </c>
      <c r="C327" s="53"/>
      <c r="D327" s="268"/>
      <c r="E327" s="53"/>
      <c r="F327" s="66"/>
      <c r="G327" s="1325" t="s">
        <v>94</v>
      </c>
      <c r="H327" s="1326"/>
      <c r="I327" s="1326"/>
      <c r="J327" s="882">
        <f>J330</f>
        <v>60041686</v>
      </c>
      <c r="K327" s="882">
        <f>K330</f>
        <v>28154088.150000002</v>
      </c>
      <c r="L327" s="1009">
        <f>L330</f>
        <v>62394886</v>
      </c>
      <c r="M327" s="1009">
        <f>M330</f>
        <v>64034000</v>
      </c>
      <c r="N327" s="716">
        <f aca="true" t="shared" si="98" ref="N327:S327">N330</f>
        <v>0</v>
      </c>
      <c r="O327" s="716">
        <f t="shared" si="98"/>
        <v>0</v>
      </c>
      <c r="P327" s="716">
        <f t="shared" si="98"/>
        <v>5000000</v>
      </c>
      <c r="Q327" s="716">
        <f t="shared" si="98"/>
        <v>2365000</v>
      </c>
      <c r="R327" s="716">
        <f t="shared" si="98"/>
        <v>0</v>
      </c>
      <c r="S327" s="716">
        <f t="shared" si="98"/>
        <v>427000</v>
      </c>
      <c r="T327" s="741">
        <f>SUM(N327:S327)</f>
        <v>7792000</v>
      </c>
      <c r="U327" s="1050">
        <f>M327+N327+O327+P327+Q327+R327+S327</f>
        <v>71826000</v>
      </c>
      <c r="V327" s="1050">
        <v>65849000</v>
      </c>
      <c r="W327" s="1050">
        <v>65849000</v>
      </c>
    </row>
    <row r="328" spans="1:23" ht="12.75">
      <c r="A328" s="270"/>
      <c r="B328" s="271"/>
      <c r="C328" s="412"/>
      <c r="D328" s="593" t="s">
        <v>284</v>
      </c>
      <c r="E328" s="594"/>
      <c r="F328" s="595"/>
      <c r="G328" s="1320" t="s">
        <v>1516</v>
      </c>
      <c r="H328" s="1321"/>
      <c r="I328" s="1322"/>
      <c r="J328" s="868">
        <f aca="true" t="shared" si="99" ref="J328:S329">J329</f>
        <v>60041686</v>
      </c>
      <c r="K328" s="996">
        <f t="shared" si="99"/>
        <v>28154088.150000002</v>
      </c>
      <c r="L328" s="994">
        <f t="shared" si="99"/>
        <v>62394886</v>
      </c>
      <c r="M328" s="994">
        <f t="shared" si="99"/>
        <v>64034000</v>
      </c>
      <c r="N328" s="272">
        <f t="shared" si="99"/>
        <v>0</v>
      </c>
      <c r="O328" s="272">
        <f t="shared" si="99"/>
        <v>0</v>
      </c>
      <c r="P328" s="272">
        <f t="shared" si="99"/>
        <v>5000000</v>
      </c>
      <c r="Q328" s="272">
        <f t="shared" si="99"/>
        <v>2365000</v>
      </c>
      <c r="R328" s="272">
        <f t="shared" si="99"/>
        <v>0</v>
      </c>
      <c r="S328" s="272">
        <f t="shared" si="99"/>
        <v>427000</v>
      </c>
      <c r="T328" s="320">
        <f>SUM(N328:S328)</f>
        <v>7792000</v>
      </c>
      <c r="U328" s="819">
        <f>M328+N328+O328+P328+Q328+R328+S328</f>
        <v>71826000</v>
      </c>
      <c r="V328" s="819">
        <v>65849000</v>
      </c>
      <c r="W328" s="819">
        <v>65849000</v>
      </c>
    </row>
    <row r="329" spans="1:23" ht="12.75">
      <c r="A329" s="270"/>
      <c r="B329" s="271"/>
      <c r="C329" s="412"/>
      <c r="D329" s="332" t="s">
        <v>1518</v>
      </c>
      <c r="E329" s="412"/>
      <c r="F329" s="413"/>
      <c r="G329" s="1260" t="s">
        <v>1517</v>
      </c>
      <c r="H329" s="1280"/>
      <c r="I329" s="1281"/>
      <c r="J329" s="851">
        <f t="shared" si="99"/>
        <v>60041686</v>
      </c>
      <c r="K329" s="976">
        <f t="shared" si="99"/>
        <v>28154088.150000002</v>
      </c>
      <c r="L329" s="984">
        <f t="shared" si="99"/>
        <v>62394886</v>
      </c>
      <c r="M329" s="984">
        <f t="shared" si="99"/>
        <v>64034000</v>
      </c>
      <c r="N329" s="276">
        <f t="shared" si="99"/>
        <v>0</v>
      </c>
      <c r="O329" s="276">
        <f t="shared" si="99"/>
        <v>0</v>
      </c>
      <c r="P329" s="276">
        <f t="shared" si="99"/>
        <v>5000000</v>
      </c>
      <c r="Q329" s="276">
        <f t="shared" si="99"/>
        <v>2365000</v>
      </c>
      <c r="R329" s="276">
        <f t="shared" si="99"/>
        <v>0</v>
      </c>
      <c r="S329" s="276">
        <f t="shared" si="99"/>
        <v>427000</v>
      </c>
      <c r="T329" s="321">
        <f>SUM(N329:S329)</f>
        <v>7792000</v>
      </c>
      <c r="U329" s="819">
        <f>M329+N329+O329+P329+Q329+R329+S329</f>
        <v>71826000</v>
      </c>
      <c r="V329" s="819">
        <v>65849000</v>
      </c>
      <c r="W329" s="819">
        <v>65849000</v>
      </c>
    </row>
    <row r="330" spans="1:23" ht="12.75">
      <c r="A330" s="336"/>
      <c r="B330" s="343"/>
      <c r="C330" s="56">
        <v>911</v>
      </c>
      <c r="D330" s="167"/>
      <c r="E330" s="338"/>
      <c r="F330" s="339"/>
      <c r="G330" s="1296" t="s">
        <v>95</v>
      </c>
      <c r="H330" s="1297"/>
      <c r="I330" s="1298"/>
      <c r="J330" s="168">
        <f aca="true" t="shared" si="100" ref="J330:U330">SUM(J331:J345)</f>
        <v>60041686</v>
      </c>
      <c r="K330" s="322">
        <f t="shared" si="100"/>
        <v>28154088.150000002</v>
      </c>
      <c r="L330" s="812">
        <f t="shared" si="100"/>
        <v>62394886</v>
      </c>
      <c r="M330" s="812">
        <f t="shared" si="100"/>
        <v>64034000</v>
      </c>
      <c r="N330" s="812">
        <f t="shared" si="100"/>
        <v>0</v>
      </c>
      <c r="O330" s="812">
        <f t="shared" si="100"/>
        <v>0</v>
      </c>
      <c r="P330" s="812">
        <f t="shared" si="100"/>
        <v>5000000</v>
      </c>
      <c r="Q330" s="812">
        <f t="shared" si="100"/>
        <v>2365000</v>
      </c>
      <c r="R330" s="812">
        <f t="shared" si="100"/>
        <v>0</v>
      </c>
      <c r="S330" s="812">
        <f t="shared" si="100"/>
        <v>427000</v>
      </c>
      <c r="T330" s="812">
        <f t="shared" si="100"/>
        <v>7792000</v>
      </c>
      <c r="U330" s="812">
        <f t="shared" si="100"/>
        <v>71826000</v>
      </c>
      <c r="V330" s="812">
        <v>65849000</v>
      </c>
      <c r="W330" s="812">
        <v>65849000</v>
      </c>
    </row>
    <row r="331" spans="1:23" ht="12.75">
      <c r="A331" s="336"/>
      <c r="B331" s="343"/>
      <c r="C331" s="338"/>
      <c r="D331" s="343"/>
      <c r="E331" s="354">
        <v>231</v>
      </c>
      <c r="F331" s="428">
        <v>411</v>
      </c>
      <c r="G331" s="1257" t="s">
        <v>27</v>
      </c>
      <c r="H331" s="1258"/>
      <c r="I331" s="1259"/>
      <c r="J331" s="723">
        <v>39282252</v>
      </c>
      <c r="K331" s="723">
        <v>19647570.65</v>
      </c>
      <c r="L331" s="358">
        <v>40382252</v>
      </c>
      <c r="M331" s="358">
        <f>Rashodi!M368</f>
        <v>42984000</v>
      </c>
      <c r="N331" s="358">
        <f>Rashodi!N368</f>
        <v>0</v>
      </c>
      <c r="O331" s="358">
        <f>Rashodi!O368</f>
        <v>0</v>
      </c>
      <c r="P331" s="358">
        <f>Rashodi!P368</f>
        <v>0</v>
      </c>
      <c r="Q331" s="358">
        <f>Rashodi!Q368</f>
        <v>0</v>
      </c>
      <c r="R331" s="358">
        <f>Rashodi!R368</f>
        <v>0</v>
      </c>
      <c r="S331" s="358">
        <f>Rashodi!S368</f>
        <v>0</v>
      </c>
      <c r="T331" s="358">
        <f>Rashodi!T368</f>
        <v>0</v>
      </c>
      <c r="U331" s="358">
        <f>Rashodi!U368</f>
        <v>42984000</v>
      </c>
      <c r="V331" s="358">
        <v>40172000</v>
      </c>
      <c r="W331" s="358">
        <v>40172000</v>
      </c>
    </row>
    <row r="332" spans="1:23" ht="12.75">
      <c r="A332" s="336"/>
      <c r="B332" s="343"/>
      <c r="C332" s="338"/>
      <c r="D332" s="343"/>
      <c r="E332" s="354">
        <v>232</v>
      </c>
      <c r="F332" s="428">
        <v>412</v>
      </c>
      <c r="G332" s="1257" t="s">
        <v>78</v>
      </c>
      <c r="H332" s="1258"/>
      <c r="I332" s="1259"/>
      <c r="J332" s="723">
        <v>6741444</v>
      </c>
      <c r="K332" s="723">
        <v>3276281.02</v>
      </c>
      <c r="L332" s="723">
        <v>7141444</v>
      </c>
      <c r="M332" s="358">
        <f>Rashodi!M369</f>
        <v>7427000</v>
      </c>
      <c r="N332" s="358">
        <f>Rashodi!N369</f>
        <v>0</v>
      </c>
      <c r="O332" s="358">
        <f>Rashodi!O369</f>
        <v>0</v>
      </c>
      <c r="P332" s="358">
        <f>Rashodi!P369</f>
        <v>0</v>
      </c>
      <c r="Q332" s="358">
        <f>Rashodi!Q369</f>
        <v>0</v>
      </c>
      <c r="R332" s="358">
        <f>Rashodi!R369</f>
        <v>0</v>
      </c>
      <c r="S332" s="358">
        <f>Rashodi!S369</f>
        <v>0</v>
      </c>
      <c r="T332" s="358">
        <f>Rashodi!T369</f>
        <v>0</v>
      </c>
      <c r="U332" s="358">
        <f>Rashodi!U369</f>
        <v>7427000</v>
      </c>
      <c r="V332" s="358">
        <v>6941000</v>
      </c>
      <c r="W332" s="358">
        <v>6941000</v>
      </c>
    </row>
    <row r="333" spans="1:23" ht="12.75">
      <c r="A333" s="336"/>
      <c r="B333" s="343"/>
      <c r="C333" s="338"/>
      <c r="D333" s="343"/>
      <c r="E333" s="354">
        <v>233</v>
      </c>
      <c r="F333" s="428">
        <v>413</v>
      </c>
      <c r="G333" s="334" t="s">
        <v>29</v>
      </c>
      <c r="H333" s="426"/>
      <c r="I333" s="427"/>
      <c r="J333" s="723">
        <v>200000</v>
      </c>
      <c r="K333" s="723">
        <v>33651.01</v>
      </c>
      <c r="L333" s="723">
        <v>200000</v>
      </c>
      <c r="M333" s="358">
        <f>Rashodi!M370</f>
        <v>400000</v>
      </c>
      <c r="N333" s="358">
        <f>Rashodi!N370</f>
        <v>0</v>
      </c>
      <c r="O333" s="358">
        <f>Rashodi!O370</f>
        <v>0</v>
      </c>
      <c r="P333" s="358">
        <f>Rashodi!P370</f>
        <v>150000</v>
      </c>
      <c r="Q333" s="358">
        <f>Rashodi!Q370</f>
        <v>19000</v>
      </c>
      <c r="R333" s="358">
        <f>Rashodi!R370</f>
        <v>0</v>
      </c>
      <c r="S333" s="358">
        <f>Rashodi!S370</f>
        <v>0</v>
      </c>
      <c r="T333" s="358">
        <f>Rashodi!T370</f>
        <v>169000</v>
      </c>
      <c r="U333" s="358">
        <f>Rashodi!U370</f>
        <v>569000</v>
      </c>
      <c r="V333" s="358">
        <v>369000</v>
      </c>
      <c r="W333" s="358">
        <v>369000</v>
      </c>
    </row>
    <row r="334" spans="1:23" ht="12.75">
      <c r="A334" s="336"/>
      <c r="B334" s="343"/>
      <c r="C334" s="338"/>
      <c r="D334" s="343"/>
      <c r="E334" s="354">
        <v>234</v>
      </c>
      <c r="F334" s="428">
        <v>414</v>
      </c>
      <c r="G334" s="1257" t="s">
        <v>199</v>
      </c>
      <c r="H334" s="1258"/>
      <c r="I334" s="1259"/>
      <c r="J334" s="723">
        <v>500000</v>
      </c>
      <c r="K334" s="723">
        <v>410668.30000000005</v>
      </c>
      <c r="L334" s="723">
        <v>550000</v>
      </c>
      <c r="M334" s="358">
        <f>Rashodi!M371</f>
        <v>1025000</v>
      </c>
      <c r="N334" s="358">
        <f>Rashodi!N371</f>
        <v>0</v>
      </c>
      <c r="O334" s="358">
        <f>Rashodi!O371</f>
        <v>0</v>
      </c>
      <c r="P334" s="358">
        <f>Rashodi!P371</f>
        <v>0</v>
      </c>
      <c r="Q334" s="358">
        <f>Rashodi!Q371</f>
        <v>0</v>
      </c>
      <c r="R334" s="358">
        <f>Rashodi!R371</f>
        <v>0</v>
      </c>
      <c r="S334" s="358">
        <f>Rashodi!S371</f>
        <v>0</v>
      </c>
      <c r="T334" s="358">
        <f>Rashodi!T371</f>
        <v>0</v>
      </c>
      <c r="U334" s="358">
        <f>Rashodi!U371</f>
        <v>1025000</v>
      </c>
      <c r="V334" s="358">
        <v>375000</v>
      </c>
      <c r="W334" s="358">
        <v>375000</v>
      </c>
    </row>
    <row r="335" spans="1:23" ht="12.75">
      <c r="A335" s="336"/>
      <c r="B335" s="343"/>
      <c r="C335" s="338"/>
      <c r="D335" s="343"/>
      <c r="E335" s="354">
        <v>235</v>
      </c>
      <c r="F335" s="428">
        <v>415</v>
      </c>
      <c r="G335" s="1257" t="s">
        <v>31</v>
      </c>
      <c r="H335" s="1258"/>
      <c r="I335" s="1259"/>
      <c r="J335" s="723">
        <v>4128972</v>
      </c>
      <c r="K335" s="723">
        <v>2002129.33</v>
      </c>
      <c r="L335" s="723">
        <v>4128972</v>
      </c>
      <c r="M335" s="358">
        <f>Rashodi!M372</f>
        <v>2040000</v>
      </c>
      <c r="N335" s="358">
        <f>Rashodi!N372</f>
        <v>0</v>
      </c>
      <c r="O335" s="358">
        <f>Rashodi!O372</f>
        <v>0</v>
      </c>
      <c r="P335" s="358">
        <f>Rashodi!P372</f>
        <v>600000</v>
      </c>
      <c r="Q335" s="358">
        <f>Rashodi!Q372</f>
        <v>100000</v>
      </c>
      <c r="R335" s="358">
        <f>Rashodi!R372</f>
        <v>0</v>
      </c>
      <c r="S335" s="358">
        <f>Rashodi!S372</f>
        <v>0</v>
      </c>
      <c r="T335" s="358">
        <f>Rashodi!T372</f>
        <v>700000</v>
      </c>
      <c r="U335" s="358">
        <f>Rashodi!U372</f>
        <v>2740000</v>
      </c>
      <c r="V335" s="358">
        <v>2640000</v>
      </c>
      <c r="W335" s="358">
        <v>2640000</v>
      </c>
    </row>
    <row r="336" spans="1:23" ht="12.75">
      <c r="A336" s="336"/>
      <c r="B336" s="343"/>
      <c r="C336" s="338"/>
      <c r="D336" s="343"/>
      <c r="E336" s="354">
        <v>236</v>
      </c>
      <c r="F336" s="428">
        <v>416</v>
      </c>
      <c r="G336" s="1269" t="s">
        <v>197</v>
      </c>
      <c r="H336" s="1270"/>
      <c r="I336" s="1271"/>
      <c r="J336" s="723">
        <v>900000</v>
      </c>
      <c r="K336" s="723">
        <v>0</v>
      </c>
      <c r="L336" s="723">
        <v>1100000</v>
      </c>
      <c r="M336" s="358">
        <f>Rashodi!M373</f>
        <v>636000</v>
      </c>
      <c r="N336" s="358">
        <f>Rashodi!N373</f>
        <v>0</v>
      </c>
      <c r="O336" s="358">
        <f>Rashodi!O373</f>
        <v>0</v>
      </c>
      <c r="P336" s="358">
        <f>Rashodi!P373</f>
        <v>0</v>
      </c>
      <c r="Q336" s="358">
        <f>Rashodi!Q373</f>
        <v>0</v>
      </c>
      <c r="R336" s="358">
        <f>Rashodi!R373</f>
        <v>0</v>
      </c>
      <c r="S336" s="358">
        <f>Rashodi!S373</f>
        <v>0</v>
      </c>
      <c r="T336" s="358">
        <f>Rashodi!T373</f>
        <v>0</v>
      </c>
      <c r="U336" s="358">
        <f>Rashodi!U373</f>
        <v>636000</v>
      </c>
      <c r="V336" s="358">
        <v>636000</v>
      </c>
      <c r="W336" s="358">
        <v>636000</v>
      </c>
    </row>
    <row r="337" spans="1:23" ht="12.75">
      <c r="A337" s="336"/>
      <c r="B337" s="343"/>
      <c r="C337" s="338"/>
      <c r="D337" s="343"/>
      <c r="E337" s="354">
        <v>237</v>
      </c>
      <c r="F337" s="428">
        <v>421</v>
      </c>
      <c r="G337" s="1269" t="s">
        <v>33</v>
      </c>
      <c r="H337" s="1270"/>
      <c r="I337" s="1271"/>
      <c r="J337" s="723">
        <v>1950500</v>
      </c>
      <c r="K337" s="723">
        <v>1152395.7699999998</v>
      </c>
      <c r="L337" s="723">
        <v>2184200</v>
      </c>
      <c r="M337" s="358">
        <f>Rashodi!M374</f>
        <v>3092000</v>
      </c>
      <c r="N337" s="358">
        <f>Rashodi!N374</f>
        <v>0</v>
      </c>
      <c r="O337" s="358">
        <f>Rashodi!O374</f>
        <v>0</v>
      </c>
      <c r="P337" s="358">
        <f>Rashodi!P374</f>
        <v>1566000</v>
      </c>
      <c r="Q337" s="358">
        <f>Rashodi!Q374</f>
        <v>1540000</v>
      </c>
      <c r="R337" s="358">
        <f>Rashodi!R374</f>
        <v>0</v>
      </c>
      <c r="S337" s="358">
        <f>Rashodi!S374</f>
        <v>2000</v>
      </c>
      <c r="T337" s="358">
        <f>Rashodi!T374</f>
        <v>3108000</v>
      </c>
      <c r="U337" s="358">
        <f>Rashodi!U374</f>
        <v>6200000</v>
      </c>
      <c r="V337" s="358">
        <v>4335000</v>
      </c>
      <c r="W337" s="358">
        <v>4335000</v>
      </c>
    </row>
    <row r="338" spans="1:23" ht="12.75">
      <c r="A338" s="336"/>
      <c r="B338" s="343"/>
      <c r="C338" s="338"/>
      <c r="D338" s="343"/>
      <c r="E338" s="354">
        <v>238</v>
      </c>
      <c r="F338" s="428">
        <v>422</v>
      </c>
      <c r="G338" s="1269" t="s">
        <v>34</v>
      </c>
      <c r="H338" s="1270"/>
      <c r="I338" s="1271"/>
      <c r="J338" s="723">
        <v>160000</v>
      </c>
      <c r="K338" s="723">
        <v>1306.5500000000002</v>
      </c>
      <c r="L338" s="723">
        <v>40000</v>
      </c>
      <c r="M338" s="358">
        <f>Rashodi!M375</f>
        <v>40000</v>
      </c>
      <c r="N338" s="358">
        <f>Rashodi!N375</f>
        <v>0</v>
      </c>
      <c r="O338" s="358">
        <f>Rashodi!O375</f>
        <v>0</v>
      </c>
      <c r="P338" s="358">
        <f>Rashodi!P375</f>
        <v>0</v>
      </c>
      <c r="Q338" s="358">
        <f>Rashodi!Q375</f>
        <v>0</v>
      </c>
      <c r="R338" s="358">
        <f>Rashodi!R375</f>
        <v>0</v>
      </c>
      <c r="S338" s="358">
        <f>Rashodi!S375</f>
        <v>40000</v>
      </c>
      <c r="T338" s="358">
        <f>Rashodi!T375</f>
        <v>40000</v>
      </c>
      <c r="U338" s="358">
        <f>Rashodi!U375</f>
        <v>80000</v>
      </c>
      <c r="V338" s="358">
        <v>80000</v>
      </c>
      <c r="W338" s="358">
        <v>80000</v>
      </c>
    </row>
    <row r="339" spans="1:23" ht="12.75">
      <c r="A339" s="336"/>
      <c r="B339" s="343"/>
      <c r="C339" s="338"/>
      <c r="D339" s="343"/>
      <c r="E339" s="354">
        <v>239</v>
      </c>
      <c r="F339" s="428">
        <v>423</v>
      </c>
      <c r="G339" s="1269" t="s">
        <v>35</v>
      </c>
      <c r="H339" s="1270"/>
      <c r="I339" s="1271"/>
      <c r="J339" s="723">
        <v>317500</v>
      </c>
      <c r="K339" s="723">
        <v>38692</v>
      </c>
      <c r="L339" s="723">
        <v>316000</v>
      </c>
      <c r="M339" s="358">
        <f>Rashodi!M376</f>
        <v>303000</v>
      </c>
      <c r="N339" s="358">
        <f>Rashodi!N376</f>
        <v>0</v>
      </c>
      <c r="O339" s="358">
        <f>Rashodi!O376</f>
        <v>0</v>
      </c>
      <c r="P339" s="358">
        <f>Rashodi!P376</f>
        <v>214000</v>
      </c>
      <c r="Q339" s="358">
        <f>Rashodi!Q376</f>
        <v>147000</v>
      </c>
      <c r="R339" s="358">
        <f>Rashodi!R376</f>
        <v>0</v>
      </c>
      <c r="S339" s="358">
        <f>Rashodi!S376</f>
        <v>385000</v>
      </c>
      <c r="T339" s="358">
        <f>Rashodi!T376</f>
        <v>746000</v>
      </c>
      <c r="U339" s="358">
        <f>Rashodi!U376</f>
        <v>1049000</v>
      </c>
      <c r="V339" s="358">
        <v>963000</v>
      </c>
      <c r="W339" s="358">
        <v>963000</v>
      </c>
    </row>
    <row r="340" spans="1:23" ht="12.75">
      <c r="A340" s="336"/>
      <c r="B340" s="343"/>
      <c r="C340" s="338"/>
      <c r="D340" s="343"/>
      <c r="E340" s="354">
        <v>240</v>
      </c>
      <c r="F340" s="428">
        <v>424</v>
      </c>
      <c r="G340" s="1257" t="s">
        <v>36</v>
      </c>
      <c r="H340" s="1258"/>
      <c r="I340" s="1259"/>
      <c r="J340" s="723">
        <v>378000</v>
      </c>
      <c r="K340" s="723">
        <v>55710</v>
      </c>
      <c r="L340" s="723">
        <v>978000</v>
      </c>
      <c r="M340" s="358">
        <f>Rashodi!M377</f>
        <v>700000</v>
      </c>
      <c r="N340" s="358">
        <f>Rashodi!N377</f>
        <v>0</v>
      </c>
      <c r="O340" s="358">
        <f>Rashodi!O377</f>
        <v>0</v>
      </c>
      <c r="P340" s="358">
        <f>Rashodi!P377</f>
        <v>500000</v>
      </c>
      <c r="Q340" s="358">
        <f>Rashodi!Q377</f>
        <v>41000</v>
      </c>
      <c r="R340" s="358">
        <f>Rashodi!R377</f>
        <v>0</v>
      </c>
      <c r="S340" s="358">
        <f>Rashodi!S377</f>
        <v>0</v>
      </c>
      <c r="T340" s="358">
        <f>Rashodi!T377</f>
        <v>541000</v>
      </c>
      <c r="U340" s="358">
        <f>Rashodi!U377</f>
        <v>1241000</v>
      </c>
      <c r="V340" s="358">
        <v>1243000</v>
      </c>
      <c r="W340" s="358">
        <v>1243000</v>
      </c>
    </row>
    <row r="341" spans="1:23" ht="12.75">
      <c r="A341" s="336"/>
      <c r="B341" s="343"/>
      <c r="C341" s="338"/>
      <c r="D341" s="343"/>
      <c r="E341" s="354">
        <v>241</v>
      </c>
      <c r="F341" s="428">
        <v>425</v>
      </c>
      <c r="G341" s="1257" t="s">
        <v>90</v>
      </c>
      <c r="H341" s="1258"/>
      <c r="I341" s="1259"/>
      <c r="J341" s="723">
        <v>90000</v>
      </c>
      <c r="K341" s="723">
        <v>13600</v>
      </c>
      <c r="L341" s="723">
        <v>190000</v>
      </c>
      <c r="M341" s="358">
        <f>Rashodi!M378</f>
        <v>100000</v>
      </c>
      <c r="N341" s="358">
        <f>Rashodi!N378</f>
        <v>0</v>
      </c>
      <c r="O341" s="358">
        <f>Rashodi!O378</f>
        <v>0</v>
      </c>
      <c r="P341" s="358">
        <f>Rashodi!P378</f>
        <v>100000</v>
      </c>
      <c r="Q341" s="358">
        <f>Rashodi!Q378</f>
        <v>0</v>
      </c>
      <c r="R341" s="358">
        <f>Rashodi!R378</f>
        <v>0</v>
      </c>
      <c r="S341" s="358">
        <f>Rashodi!S378</f>
        <v>0</v>
      </c>
      <c r="T341" s="358">
        <f>Rashodi!T378</f>
        <v>100000</v>
      </c>
      <c r="U341" s="358">
        <f>Rashodi!U378</f>
        <v>200000</v>
      </c>
      <c r="V341" s="358">
        <v>200000</v>
      </c>
      <c r="W341" s="358">
        <v>200000</v>
      </c>
    </row>
    <row r="342" spans="1:23" ht="12.75">
      <c r="A342" s="336"/>
      <c r="B342" s="343"/>
      <c r="C342" s="338"/>
      <c r="D342" s="343"/>
      <c r="E342" s="354">
        <v>242</v>
      </c>
      <c r="F342" s="428">
        <v>426</v>
      </c>
      <c r="G342" s="1269" t="s">
        <v>38</v>
      </c>
      <c r="H342" s="1270"/>
      <c r="I342" s="1271"/>
      <c r="J342" s="723">
        <v>3816079</v>
      </c>
      <c r="K342" s="723">
        <v>1408360.7599999998</v>
      </c>
      <c r="L342" s="723">
        <v>3781079</v>
      </c>
      <c r="M342" s="358">
        <f>Rashodi!M379</f>
        <v>4460000</v>
      </c>
      <c r="N342" s="358">
        <f>Rashodi!N379</f>
        <v>0</v>
      </c>
      <c r="O342" s="358">
        <f>Rashodi!O379</f>
        <v>0</v>
      </c>
      <c r="P342" s="358">
        <f>Rashodi!P379</f>
        <v>1865000</v>
      </c>
      <c r="Q342" s="358">
        <f>Rashodi!Q379</f>
        <v>518000</v>
      </c>
      <c r="R342" s="358">
        <f>Rashodi!R379</f>
        <v>0</v>
      </c>
      <c r="S342" s="358">
        <f>Rashodi!S379</f>
        <v>0</v>
      </c>
      <c r="T342" s="358">
        <f>Rashodi!T379</f>
        <v>2383000</v>
      </c>
      <c r="U342" s="358">
        <f>Rashodi!U379</f>
        <v>6843000</v>
      </c>
      <c r="V342" s="358">
        <v>6370000</v>
      </c>
      <c r="W342" s="358">
        <v>6370000</v>
      </c>
    </row>
    <row r="343" spans="1:23" ht="12.75">
      <c r="A343" s="336"/>
      <c r="B343" s="343"/>
      <c r="C343" s="338"/>
      <c r="D343" s="343"/>
      <c r="E343" s="354">
        <v>243</v>
      </c>
      <c r="F343" s="428">
        <v>444</v>
      </c>
      <c r="G343" s="1269" t="s">
        <v>1365</v>
      </c>
      <c r="H343" s="1270"/>
      <c r="I343" s="1271"/>
      <c r="J343" s="723">
        <v>1000</v>
      </c>
      <c r="K343" s="723">
        <v>192.76000000000002</v>
      </c>
      <c r="L343" s="723">
        <v>1000</v>
      </c>
      <c r="M343" s="358">
        <f>Rashodi!M380</f>
        <v>10000</v>
      </c>
      <c r="N343" s="358">
        <f>Rashodi!N380</f>
        <v>0</v>
      </c>
      <c r="O343" s="358">
        <f>Rashodi!O380</f>
        <v>0</v>
      </c>
      <c r="P343" s="358">
        <f>Rashodi!P380</f>
        <v>0</v>
      </c>
      <c r="Q343" s="358">
        <f>Rashodi!Q380</f>
        <v>0</v>
      </c>
      <c r="R343" s="358">
        <f>Rashodi!R380</f>
        <v>0</v>
      </c>
      <c r="S343" s="358">
        <f>Rashodi!S380</f>
        <v>0</v>
      </c>
      <c r="T343" s="358">
        <f>Rashodi!T380</f>
        <v>0</v>
      </c>
      <c r="U343" s="358">
        <f>Rashodi!U380</f>
        <v>10000</v>
      </c>
      <c r="V343" s="358">
        <v>1000</v>
      </c>
      <c r="W343" s="358">
        <v>1000</v>
      </c>
    </row>
    <row r="344" spans="1:23" ht="12.75">
      <c r="A344" s="336"/>
      <c r="B344" s="343"/>
      <c r="C344" s="338"/>
      <c r="D344" s="343"/>
      <c r="E344" s="354">
        <v>245</v>
      </c>
      <c r="F344" s="428">
        <v>482</v>
      </c>
      <c r="G344" s="1257" t="s">
        <v>81</v>
      </c>
      <c r="H344" s="1258"/>
      <c r="I344" s="1259"/>
      <c r="J344" s="723">
        <v>42939</v>
      </c>
      <c r="K344" s="723">
        <v>1570</v>
      </c>
      <c r="L344" s="723">
        <v>18939</v>
      </c>
      <c r="M344" s="358">
        <f>Rashodi!M381</f>
        <v>19000</v>
      </c>
      <c r="N344" s="358">
        <f>Rashodi!N381</f>
        <v>0</v>
      </c>
      <c r="O344" s="358">
        <f>Rashodi!O381</f>
        <v>0</v>
      </c>
      <c r="P344" s="358">
        <f>Rashodi!P381</f>
        <v>5000</v>
      </c>
      <c r="Q344" s="358">
        <f>Rashodi!Q381</f>
        <v>0</v>
      </c>
      <c r="R344" s="358">
        <f>Rashodi!R381</f>
        <v>0</v>
      </c>
      <c r="S344" s="358">
        <f>Rashodi!S381</f>
        <v>0</v>
      </c>
      <c r="T344" s="358">
        <f>Rashodi!T381</f>
        <v>5000</v>
      </c>
      <c r="U344" s="358">
        <f>Rashodi!U381</f>
        <v>24000</v>
      </c>
      <c r="V344" s="358">
        <v>24000</v>
      </c>
      <c r="W344" s="358">
        <v>24000</v>
      </c>
    </row>
    <row r="345" spans="1:23" ht="12.75">
      <c r="A345" s="546"/>
      <c r="B345" s="467"/>
      <c r="C345" s="547"/>
      <c r="D345" s="467"/>
      <c r="E345" s="354">
        <v>247</v>
      </c>
      <c r="F345" s="516">
        <v>512</v>
      </c>
      <c r="G345" s="1333" t="s">
        <v>82</v>
      </c>
      <c r="H345" s="1334"/>
      <c r="I345" s="1337"/>
      <c r="J345" s="871">
        <v>1533000</v>
      </c>
      <c r="K345" s="871">
        <v>111960</v>
      </c>
      <c r="L345" s="871">
        <v>1383000</v>
      </c>
      <c r="M345" s="358">
        <f>Rashodi!M383</f>
        <v>798000</v>
      </c>
      <c r="N345" s="358">
        <f>Rashodi!N383</f>
        <v>0</v>
      </c>
      <c r="O345" s="358">
        <f>Rashodi!O383</f>
        <v>0</v>
      </c>
      <c r="P345" s="358">
        <f>Rashodi!P383</f>
        <v>0</v>
      </c>
      <c r="Q345" s="358">
        <f>Rashodi!Q383</f>
        <v>0</v>
      </c>
      <c r="R345" s="358">
        <f>Rashodi!R383</f>
        <v>0</v>
      </c>
      <c r="S345" s="358">
        <f>Rashodi!S383</f>
        <v>0</v>
      </c>
      <c r="T345" s="358">
        <f>Rashodi!T383</f>
        <v>0</v>
      </c>
      <c r="U345" s="358">
        <f>Rashodi!U383</f>
        <v>798000</v>
      </c>
      <c r="V345" s="358">
        <v>1500000</v>
      </c>
      <c r="W345" s="358">
        <v>1500000</v>
      </c>
    </row>
    <row r="346" spans="1:23" ht="12.75">
      <c r="A346" s="51"/>
      <c r="B346" s="52" t="s">
        <v>1190</v>
      </c>
      <c r="C346" s="53"/>
      <c r="D346" s="268"/>
      <c r="E346" s="53"/>
      <c r="F346" s="66"/>
      <c r="G346" s="1539" t="s">
        <v>274</v>
      </c>
      <c r="H346" s="1540"/>
      <c r="I346" s="1540"/>
      <c r="J346" s="883">
        <f>J347</f>
        <v>13513919</v>
      </c>
      <c r="K346" s="883">
        <f>K347</f>
        <v>5502139.43</v>
      </c>
      <c r="L346" s="883">
        <f>L347</f>
        <v>13654177</v>
      </c>
      <c r="M346" s="883">
        <f>M347</f>
        <v>15266402</v>
      </c>
      <c r="N346" s="67">
        <f aca="true" t="shared" si="101" ref="N346:S346">N347</f>
        <v>182000</v>
      </c>
      <c r="O346" s="67">
        <f t="shared" si="101"/>
        <v>610000</v>
      </c>
      <c r="P346" s="67">
        <f t="shared" si="101"/>
        <v>260000</v>
      </c>
      <c r="Q346" s="67">
        <f t="shared" si="101"/>
        <v>46271</v>
      </c>
      <c r="R346" s="67">
        <f t="shared" si="101"/>
        <v>0</v>
      </c>
      <c r="S346" s="67">
        <f t="shared" si="101"/>
        <v>0</v>
      </c>
      <c r="T346" s="323">
        <f>SUM(N346:S346)</f>
        <v>1098271</v>
      </c>
      <c r="U346" s="1029">
        <f>M346+N346+O346+P346+Q346+R346+S346</f>
        <v>16364673</v>
      </c>
      <c r="V346" s="1029">
        <v>15686258</v>
      </c>
      <c r="W346" s="1029">
        <v>15686258</v>
      </c>
    </row>
    <row r="347" spans="1:23" ht="12.75">
      <c r="A347" s="270"/>
      <c r="B347" s="271"/>
      <c r="C347" s="412"/>
      <c r="D347" s="593" t="s">
        <v>286</v>
      </c>
      <c r="E347" s="594"/>
      <c r="F347" s="595"/>
      <c r="G347" s="1293" t="s">
        <v>1244</v>
      </c>
      <c r="H347" s="1294"/>
      <c r="I347" s="1295"/>
      <c r="J347" s="868">
        <f aca="true" t="shared" si="102" ref="J347:T347">J348+J363</f>
        <v>13513919</v>
      </c>
      <c r="K347" s="868">
        <f t="shared" si="102"/>
        <v>5502139.43</v>
      </c>
      <c r="L347" s="868">
        <f t="shared" si="102"/>
        <v>13654177</v>
      </c>
      <c r="M347" s="868">
        <f t="shared" si="102"/>
        <v>15266402</v>
      </c>
      <c r="N347" s="868">
        <f t="shared" si="102"/>
        <v>182000</v>
      </c>
      <c r="O347" s="868">
        <f t="shared" si="102"/>
        <v>610000</v>
      </c>
      <c r="P347" s="868">
        <f t="shared" si="102"/>
        <v>260000</v>
      </c>
      <c r="Q347" s="868">
        <f t="shared" si="102"/>
        <v>46271</v>
      </c>
      <c r="R347" s="868">
        <f t="shared" si="102"/>
        <v>0</v>
      </c>
      <c r="S347" s="868">
        <f t="shared" si="102"/>
        <v>0</v>
      </c>
      <c r="T347" s="868">
        <f t="shared" si="102"/>
        <v>1098271</v>
      </c>
      <c r="U347" s="1027">
        <f>M347+N347+O347+P347+Q347+R347+S347</f>
        <v>16364673</v>
      </c>
      <c r="V347" s="1027">
        <v>15686258</v>
      </c>
      <c r="W347" s="1027">
        <v>15686258</v>
      </c>
    </row>
    <row r="348" spans="1:23" ht="12.75">
      <c r="A348" s="270"/>
      <c r="B348" s="271"/>
      <c r="C348" s="412"/>
      <c r="D348" s="332" t="s">
        <v>287</v>
      </c>
      <c r="E348" s="412"/>
      <c r="F348" s="413"/>
      <c r="G348" s="1260" t="s">
        <v>309</v>
      </c>
      <c r="H348" s="1261"/>
      <c r="I348" s="1262"/>
      <c r="J348" s="851">
        <f aca="true" t="shared" si="103" ref="J348:S348">J349</f>
        <v>11617919</v>
      </c>
      <c r="K348" s="851">
        <f t="shared" si="103"/>
        <v>5064008.4399999995</v>
      </c>
      <c r="L348" s="851">
        <f t="shared" si="103"/>
        <v>11868177</v>
      </c>
      <c r="M348" s="851">
        <f t="shared" si="103"/>
        <v>13151084</v>
      </c>
      <c r="N348" s="276">
        <f t="shared" si="103"/>
        <v>140000</v>
      </c>
      <c r="O348" s="276">
        <f t="shared" si="103"/>
        <v>340000</v>
      </c>
      <c r="P348" s="276">
        <f t="shared" si="103"/>
        <v>260000</v>
      </c>
      <c r="Q348" s="276">
        <f t="shared" si="103"/>
        <v>20271</v>
      </c>
      <c r="R348" s="276">
        <f t="shared" si="103"/>
        <v>0</v>
      </c>
      <c r="S348" s="276">
        <f t="shared" si="103"/>
        <v>0</v>
      </c>
      <c r="T348" s="321">
        <f>SUM(N348:S348)</f>
        <v>760271</v>
      </c>
      <c r="U348" s="819">
        <f>M348+N348+O348+P348+Q348+R348+S348</f>
        <v>13911355</v>
      </c>
      <c r="V348" s="819">
        <v>13225940</v>
      </c>
      <c r="W348" s="819">
        <v>13225940</v>
      </c>
    </row>
    <row r="349" spans="1:23" ht="12.75">
      <c r="A349" s="336"/>
      <c r="B349" s="343"/>
      <c r="C349" s="167" t="s">
        <v>537</v>
      </c>
      <c r="D349" s="167"/>
      <c r="E349" s="338"/>
      <c r="F349" s="339"/>
      <c r="G349" s="1296" t="s">
        <v>167</v>
      </c>
      <c r="H349" s="1297"/>
      <c r="I349" s="1298"/>
      <c r="J349" s="168">
        <f>SUM(J350:J362)</f>
        <v>11617919</v>
      </c>
      <c r="K349" s="168">
        <f>SUM(K350:K362)</f>
        <v>5064008.4399999995</v>
      </c>
      <c r="L349" s="168">
        <f>SUM(L350:L362)</f>
        <v>11868177</v>
      </c>
      <c r="M349" s="168">
        <f>SUM(M350:M362)</f>
        <v>13151084</v>
      </c>
      <c r="N349" s="65">
        <f aca="true" t="shared" si="104" ref="N349:S349">SUM(N350:N362)</f>
        <v>140000</v>
      </c>
      <c r="O349" s="65">
        <f t="shared" si="104"/>
        <v>340000</v>
      </c>
      <c r="P349" s="65">
        <f t="shared" si="104"/>
        <v>260000</v>
      </c>
      <c r="Q349" s="65">
        <f t="shared" si="104"/>
        <v>20271</v>
      </c>
      <c r="R349" s="65">
        <f t="shared" si="104"/>
        <v>0</v>
      </c>
      <c r="S349" s="65">
        <f t="shared" si="104"/>
        <v>0</v>
      </c>
      <c r="T349" s="326">
        <f>SUM(N349:S349)</f>
        <v>760271</v>
      </c>
      <c r="U349" s="1048">
        <f>M349+N349+O349+P349+Q349+R349+S349</f>
        <v>13911355</v>
      </c>
      <c r="V349" s="1048">
        <v>13225940</v>
      </c>
      <c r="W349" s="1048">
        <v>13225940</v>
      </c>
    </row>
    <row r="350" spans="1:23" ht="12.75">
      <c r="A350" s="336"/>
      <c r="B350" s="343"/>
      <c r="C350" s="338"/>
      <c r="D350" s="343"/>
      <c r="E350" s="354">
        <v>249</v>
      </c>
      <c r="F350" s="428">
        <v>411</v>
      </c>
      <c r="G350" s="1257" t="s">
        <v>27</v>
      </c>
      <c r="H350" s="1258"/>
      <c r="I350" s="1259"/>
      <c r="J350" s="723">
        <v>5808948</v>
      </c>
      <c r="K350" s="723">
        <v>3075734.96</v>
      </c>
      <c r="L350" s="723">
        <v>6099395</v>
      </c>
      <c r="M350" s="723">
        <f>Rashodi!M389</f>
        <v>6678936</v>
      </c>
      <c r="N350" s="723">
        <f>Rashodi!N389</f>
        <v>0</v>
      </c>
      <c r="O350" s="723">
        <f>Rashodi!O389</f>
        <v>0</v>
      </c>
      <c r="P350" s="723">
        <f>Rashodi!P389</f>
        <v>0</v>
      </c>
      <c r="Q350" s="723">
        <f>Rashodi!Q389</f>
        <v>0</v>
      </c>
      <c r="R350" s="723">
        <f>Rashodi!R389</f>
        <v>0</v>
      </c>
      <c r="S350" s="723">
        <f>Rashodi!S389</f>
        <v>0</v>
      </c>
      <c r="T350" s="723">
        <f>Rashodi!T389</f>
        <v>0</v>
      </c>
      <c r="U350" s="723">
        <f>Rashodi!U389</f>
        <v>6678936</v>
      </c>
      <c r="V350" s="723">
        <v>6099395</v>
      </c>
      <c r="W350" s="723">
        <v>6099395</v>
      </c>
    </row>
    <row r="351" spans="1:23" ht="12.75">
      <c r="A351" s="336"/>
      <c r="B351" s="343"/>
      <c r="C351" s="338"/>
      <c r="D351" s="343"/>
      <c r="E351" s="354">
        <v>250</v>
      </c>
      <c r="F351" s="428">
        <v>412</v>
      </c>
      <c r="G351" s="1257" t="s">
        <v>78</v>
      </c>
      <c r="H351" s="1258"/>
      <c r="I351" s="1259"/>
      <c r="J351" s="723">
        <v>996234</v>
      </c>
      <c r="K351" s="723">
        <v>512109.9</v>
      </c>
      <c r="L351" s="723">
        <v>1046045</v>
      </c>
      <c r="M351" s="723">
        <f>Rashodi!M390</f>
        <v>1078648</v>
      </c>
      <c r="N351" s="723">
        <f>Rashodi!N390</f>
        <v>0</v>
      </c>
      <c r="O351" s="723">
        <f>Rashodi!O390</f>
        <v>0</v>
      </c>
      <c r="P351" s="723">
        <f>Rashodi!P390</f>
        <v>0</v>
      </c>
      <c r="Q351" s="723">
        <f>Rashodi!Q390</f>
        <v>0</v>
      </c>
      <c r="R351" s="723">
        <f>Rashodi!R390</f>
        <v>0</v>
      </c>
      <c r="S351" s="723">
        <f>Rashodi!S390</f>
        <v>0</v>
      </c>
      <c r="T351" s="723">
        <f>Rashodi!T390</f>
        <v>0</v>
      </c>
      <c r="U351" s="723">
        <f>Rashodi!U390</f>
        <v>1078648</v>
      </c>
      <c r="V351" s="723">
        <v>1046045</v>
      </c>
      <c r="W351" s="723">
        <v>1046045</v>
      </c>
    </row>
    <row r="352" spans="1:23" ht="12.75">
      <c r="A352" s="336"/>
      <c r="B352" s="343"/>
      <c r="C352" s="338"/>
      <c r="D352" s="343"/>
      <c r="E352" s="354">
        <v>251</v>
      </c>
      <c r="F352" s="428">
        <v>414</v>
      </c>
      <c r="G352" s="1257" t="s">
        <v>30</v>
      </c>
      <c r="H352" s="1258"/>
      <c r="I352" s="1259"/>
      <c r="J352" s="723">
        <v>200000</v>
      </c>
      <c r="K352" s="723">
        <v>17450</v>
      </c>
      <c r="L352" s="723">
        <v>200000</v>
      </c>
      <c r="M352" s="723">
        <f>Rashodi!M391</f>
        <v>550000</v>
      </c>
      <c r="N352" s="723">
        <f>Rashodi!N391</f>
        <v>20000</v>
      </c>
      <c r="O352" s="723">
        <f>Rashodi!O391</f>
        <v>0</v>
      </c>
      <c r="P352" s="723">
        <f>Rashodi!P391</f>
        <v>0</v>
      </c>
      <c r="Q352" s="723">
        <f>Rashodi!Q391</f>
        <v>0</v>
      </c>
      <c r="R352" s="723">
        <f>Rashodi!R391</f>
        <v>0</v>
      </c>
      <c r="S352" s="723">
        <f>Rashodi!S391</f>
        <v>0</v>
      </c>
      <c r="T352" s="723">
        <f>Rashodi!T391</f>
        <v>20000</v>
      </c>
      <c r="U352" s="723">
        <f>Rashodi!U391</f>
        <v>570000</v>
      </c>
      <c r="V352" s="723">
        <v>550000</v>
      </c>
      <c r="W352" s="723">
        <v>550000</v>
      </c>
    </row>
    <row r="353" spans="1:23" ht="12.75">
      <c r="A353" s="336"/>
      <c r="B353" s="343"/>
      <c r="C353" s="338"/>
      <c r="D353" s="343"/>
      <c r="E353" s="354">
        <v>252</v>
      </c>
      <c r="F353" s="428">
        <v>415</v>
      </c>
      <c r="G353" s="1257" t="s">
        <v>31</v>
      </c>
      <c r="H353" s="1258"/>
      <c r="I353" s="1259"/>
      <c r="J353" s="723">
        <v>870000</v>
      </c>
      <c r="K353" s="723">
        <v>355769</v>
      </c>
      <c r="L353" s="723">
        <v>870000</v>
      </c>
      <c r="M353" s="723">
        <f>Rashodi!M392</f>
        <v>400000</v>
      </c>
      <c r="N353" s="723">
        <f>Rashodi!N392</f>
        <v>0</v>
      </c>
      <c r="O353" s="723">
        <f>Rashodi!O392</f>
        <v>0</v>
      </c>
      <c r="P353" s="723">
        <f>Rashodi!P392</f>
        <v>0</v>
      </c>
      <c r="Q353" s="723">
        <f>Rashodi!Q392</f>
        <v>0</v>
      </c>
      <c r="R353" s="723">
        <f>Rashodi!R392</f>
        <v>0</v>
      </c>
      <c r="S353" s="723">
        <f>Rashodi!S392</f>
        <v>0</v>
      </c>
      <c r="T353" s="723">
        <f>Rashodi!T392</f>
        <v>0</v>
      </c>
      <c r="U353" s="723">
        <f>Rashodi!U392</f>
        <v>400000</v>
      </c>
      <c r="V353" s="723">
        <v>400000</v>
      </c>
      <c r="W353" s="723">
        <v>400000</v>
      </c>
    </row>
    <row r="354" spans="1:23" ht="12.75">
      <c r="A354" s="336"/>
      <c r="B354" s="343"/>
      <c r="C354" s="338"/>
      <c r="D354" s="343"/>
      <c r="E354" s="354">
        <v>254</v>
      </c>
      <c r="F354" s="428">
        <v>421</v>
      </c>
      <c r="G354" s="1257" t="s">
        <v>33</v>
      </c>
      <c r="H354" s="1258"/>
      <c r="I354" s="1259"/>
      <c r="J354" s="723">
        <v>1937606</v>
      </c>
      <c r="K354" s="723">
        <v>741804.4500000001</v>
      </c>
      <c r="L354" s="723">
        <v>1837606</v>
      </c>
      <c r="M354" s="723">
        <f>Rashodi!M393</f>
        <v>2075000</v>
      </c>
      <c r="N354" s="723">
        <f>Rashodi!N393</f>
        <v>23000</v>
      </c>
      <c r="O354" s="723">
        <f>Rashodi!O393</f>
        <v>0</v>
      </c>
      <c r="P354" s="723">
        <f>Rashodi!P393</f>
        <v>0</v>
      </c>
      <c r="Q354" s="723">
        <f>Rashodi!Q393</f>
        <v>0</v>
      </c>
      <c r="R354" s="723">
        <f>Rashodi!R393</f>
        <v>0</v>
      </c>
      <c r="S354" s="723">
        <f>Rashodi!S393</f>
        <v>0</v>
      </c>
      <c r="T354" s="723">
        <f>Rashodi!T393</f>
        <v>23000</v>
      </c>
      <c r="U354" s="723">
        <f>Rashodi!U393</f>
        <v>2098000</v>
      </c>
      <c r="V354" s="723">
        <v>2098000</v>
      </c>
      <c r="W354" s="723">
        <v>2098000</v>
      </c>
    </row>
    <row r="355" spans="1:23" ht="12.75">
      <c r="A355" s="336"/>
      <c r="B355" s="343"/>
      <c r="C355" s="338"/>
      <c r="D355" s="343"/>
      <c r="E355" s="354">
        <v>255</v>
      </c>
      <c r="F355" s="428">
        <v>422</v>
      </c>
      <c r="G355" s="1257" t="s">
        <v>34</v>
      </c>
      <c r="H355" s="1258"/>
      <c r="I355" s="1259"/>
      <c r="J355" s="723">
        <v>50000</v>
      </c>
      <c r="K355" s="723">
        <v>2425</v>
      </c>
      <c r="L355" s="723">
        <v>50000</v>
      </c>
      <c r="M355" s="723">
        <f>Rashodi!M394</f>
        <v>50000</v>
      </c>
      <c r="N355" s="723">
        <f>Rashodi!N394</f>
        <v>10000</v>
      </c>
      <c r="O355" s="723">
        <f>Rashodi!O394</f>
        <v>0</v>
      </c>
      <c r="P355" s="723">
        <f>Rashodi!P394</f>
        <v>0</v>
      </c>
      <c r="Q355" s="723">
        <f>Rashodi!Q394</f>
        <v>0</v>
      </c>
      <c r="R355" s="723">
        <f>Rashodi!R394</f>
        <v>0</v>
      </c>
      <c r="S355" s="723">
        <f>Rashodi!S394</f>
        <v>0</v>
      </c>
      <c r="T355" s="723">
        <f>Rashodi!T394</f>
        <v>10000</v>
      </c>
      <c r="U355" s="723">
        <f>Rashodi!U394</f>
        <v>60000</v>
      </c>
      <c r="V355" s="723">
        <v>60000</v>
      </c>
      <c r="W355" s="723">
        <v>60000</v>
      </c>
    </row>
    <row r="356" spans="1:23" ht="12.75">
      <c r="A356" s="336"/>
      <c r="B356" s="343"/>
      <c r="C356" s="338"/>
      <c r="D356" s="343"/>
      <c r="E356" s="354">
        <v>256</v>
      </c>
      <c r="F356" s="428">
        <v>423</v>
      </c>
      <c r="G356" s="1269" t="s">
        <v>35</v>
      </c>
      <c r="H356" s="1270"/>
      <c r="I356" s="1271"/>
      <c r="J356" s="723">
        <v>630500</v>
      </c>
      <c r="K356" s="723">
        <v>108249</v>
      </c>
      <c r="L356" s="723">
        <v>530500</v>
      </c>
      <c r="M356" s="723">
        <f>Rashodi!M395</f>
        <v>695000</v>
      </c>
      <c r="N356" s="723">
        <f>Rashodi!N395</f>
        <v>10000</v>
      </c>
      <c r="O356" s="723">
        <f>Rashodi!O395</f>
        <v>0</v>
      </c>
      <c r="P356" s="723">
        <f>Rashodi!P395</f>
        <v>0</v>
      </c>
      <c r="Q356" s="723">
        <f>Rashodi!Q395</f>
        <v>12000</v>
      </c>
      <c r="R356" s="723">
        <f>Rashodi!R395</f>
        <v>0</v>
      </c>
      <c r="S356" s="723">
        <f>Rashodi!S395</f>
        <v>0</v>
      </c>
      <c r="T356" s="723">
        <f>Rashodi!T395</f>
        <v>22000</v>
      </c>
      <c r="U356" s="723">
        <f>Rashodi!U395</f>
        <v>717000</v>
      </c>
      <c r="V356" s="723">
        <v>757000</v>
      </c>
      <c r="W356" s="723">
        <v>757000</v>
      </c>
    </row>
    <row r="357" spans="1:23" ht="12.75">
      <c r="A357" s="336"/>
      <c r="B357" s="343"/>
      <c r="C357" s="338"/>
      <c r="D357" s="343"/>
      <c r="E357" s="354">
        <v>258</v>
      </c>
      <c r="F357" s="428">
        <v>424</v>
      </c>
      <c r="G357" s="1257" t="s">
        <v>36</v>
      </c>
      <c r="H357" s="1258"/>
      <c r="I357" s="1259"/>
      <c r="J357" s="723">
        <v>107000</v>
      </c>
      <c r="K357" s="723">
        <v>5280</v>
      </c>
      <c r="L357" s="723">
        <v>107000</v>
      </c>
      <c r="M357" s="723">
        <f>Rashodi!M396</f>
        <v>210000</v>
      </c>
      <c r="N357" s="723">
        <f>Rashodi!N396</f>
        <v>0</v>
      </c>
      <c r="O357" s="723">
        <f>Rashodi!O396</f>
        <v>0</v>
      </c>
      <c r="P357" s="723">
        <f>Rashodi!P396</f>
        <v>60000</v>
      </c>
      <c r="Q357" s="723">
        <f>Rashodi!Q396</f>
        <v>0</v>
      </c>
      <c r="R357" s="723">
        <f>Rashodi!R396</f>
        <v>0</v>
      </c>
      <c r="S357" s="723">
        <f>Rashodi!S396</f>
        <v>0</v>
      </c>
      <c r="T357" s="723">
        <f>Rashodi!T396</f>
        <v>60000</v>
      </c>
      <c r="U357" s="723">
        <f>Rashodi!U396</f>
        <v>270000</v>
      </c>
      <c r="V357" s="723">
        <v>280000</v>
      </c>
      <c r="W357" s="723">
        <v>280000</v>
      </c>
    </row>
    <row r="358" spans="1:23" ht="12.75">
      <c r="A358" s="336"/>
      <c r="B358" s="343"/>
      <c r="C358" s="338"/>
      <c r="D358" s="343"/>
      <c r="E358" s="354">
        <v>259</v>
      </c>
      <c r="F358" s="428">
        <v>425</v>
      </c>
      <c r="G358" s="1257" t="s">
        <v>90</v>
      </c>
      <c r="H358" s="1258"/>
      <c r="I358" s="1259"/>
      <c r="J358" s="723">
        <v>160000</v>
      </c>
      <c r="K358" s="723">
        <v>38680.2</v>
      </c>
      <c r="L358" s="723">
        <v>160000</v>
      </c>
      <c r="M358" s="723">
        <f>Rashodi!M397</f>
        <v>140000</v>
      </c>
      <c r="N358" s="723">
        <f>Rashodi!N397</f>
        <v>5000</v>
      </c>
      <c r="O358" s="723">
        <f>Rashodi!O397</f>
        <v>0</v>
      </c>
      <c r="P358" s="723">
        <f>Rashodi!P397</f>
        <v>0</v>
      </c>
      <c r="Q358" s="723">
        <f>Rashodi!Q397</f>
        <v>0</v>
      </c>
      <c r="R358" s="723">
        <f>Rashodi!R397</f>
        <v>0</v>
      </c>
      <c r="S358" s="723">
        <f>Rashodi!S397</f>
        <v>0</v>
      </c>
      <c r="T358" s="723">
        <f>Rashodi!T397</f>
        <v>5000</v>
      </c>
      <c r="U358" s="723">
        <f>Rashodi!U397</f>
        <v>145000</v>
      </c>
      <c r="V358" s="723">
        <v>165000</v>
      </c>
      <c r="W358" s="723">
        <v>165000</v>
      </c>
    </row>
    <row r="359" spans="1:23" ht="12.75">
      <c r="A359" s="336"/>
      <c r="B359" s="343"/>
      <c r="C359" s="338"/>
      <c r="D359" s="343"/>
      <c r="E359" s="354">
        <v>260</v>
      </c>
      <c r="F359" s="428">
        <v>426</v>
      </c>
      <c r="G359" s="1257" t="s">
        <v>38</v>
      </c>
      <c r="H359" s="1258"/>
      <c r="I359" s="1259"/>
      <c r="J359" s="723">
        <v>516131</v>
      </c>
      <c r="K359" s="723">
        <v>118107</v>
      </c>
      <c r="L359" s="723">
        <v>426131</v>
      </c>
      <c r="M359" s="723">
        <f>Rashodi!M398</f>
        <v>492000</v>
      </c>
      <c r="N359" s="723">
        <f>Rashodi!N398</f>
        <v>39500</v>
      </c>
      <c r="O359" s="723">
        <f>Rashodi!O398</f>
        <v>0</v>
      </c>
      <c r="P359" s="723">
        <f>Rashodi!P398</f>
        <v>0</v>
      </c>
      <c r="Q359" s="723">
        <f>Rashodi!Q398</f>
        <v>0</v>
      </c>
      <c r="R359" s="723">
        <f>Rashodi!R398</f>
        <v>0</v>
      </c>
      <c r="S359" s="723">
        <f>Rashodi!S398</f>
        <v>0</v>
      </c>
      <c r="T359" s="723">
        <f>Rashodi!T398</f>
        <v>39500</v>
      </c>
      <c r="U359" s="723">
        <f>Rashodi!U398</f>
        <v>531500</v>
      </c>
      <c r="V359" s="723">
        <v>531500</v>
      </c>
      <c r="W359" s="723">
        <v>531500</v>
      </c>
    </row>
    <row r="360" spans="1:23" ht="12.75">
      <c r="A360" s="336"/>
      <c r="B360" s="343"/>
      <c r="C360" s="338"/>
      <c r="D360" s="343"/>
      <c r="E360" s="354">
        <v>261</v>
      </c>
      <c r="F360" s="428">
        <v>482</v>
      </c>
      <c r="G360" s="1257" t="s">
        <v>81</v>
      </c>
      <c r="H360" s="1258"/>
      <c r="I360" s="1259"/>
      <c r="J360" s="723">
        <v>41500</v>
      </c>
      <c r="K360" s="723">
        <v>2586</v>
      </c>
      <c r="L360" s="723">
        <v>41500</v>
      </c>
      <c r="M360" s="723">
        <f>Rashodi!M399</f>
        <v>41500</v>
      </c>
      <c r="N360" s="723">
        <f>Rashodi!N399</f>
        <v>3500</v>
      </c>
      <c r="O360" s="723">
        <f>Rashodi!O399</f>
        <v>0</v>
      </c>
      <c r="P360" s="723">
        <f>Rashodi!P399</f>
        <v>0</v>
      </c>
      <c r="Q360" s="723">
        <f>Rashodi!Q399</f>
        <v>0</v>
      </c>
      <c r="R360" s="723">
        <f>Rashodi!R399</f>
        <v>0</v>
      </c>
      <c r="S360" s="723">
        <f>Rashodi!S399</f>
        <v>0</v>
      </c>
      <c r="T360" s="723">
        <f>Rashodi!T399</f>
        <v>3500</v>
      </c>
      <c r="U360" s="723">
        <f>Rashodi!U399</f>
        <v>45000</v>
      </c>
      <c r="V360" s="723">
        <v>45000</v>
      </c>
      <c r="W360" s="723">
        <v>45000</v>
      </c>
    </row>
    <row r="361" spans="1:23" ht="12.75">
      <c r="A361" s="336"/>
      <c r="B361" s="343"/>
      <c r="C361" s="338"/>
      <c r="D361" s="343"/>
      <c r="E361" s="354">
        <v>262</v>
      </c>
      <c r="F361" s="428">
        <v>512</v>
      </c>
      <c r="G361" s="1257" t="s">
        <v>82</v>
      </c>
      <c r="H361" s="1258"/>
      <c r="I361" s="1259"/>
      <c r="J361" s="723">
        <v>150000</v>
      </c>
      <c r="K361" s="723">
        <v>0</v>
      </c>
      <c r="L361" s="723">
        <v>350000</v>
      </c>
      <c r="M361" s="723">
        <f>Rashodi!M400</f>
        <v>590000</v>
      </c>
      <c r="N361" s="723">
        <f>Rashodi!N400</f>
        <v>9000</v>
      </c>
      <c r="O361" s="723">
        <f>Rashodi!O400</f>
        <v>340000</v>
      </c>
      <c r="P361" s="723">
        <f>Rashodi!P400</f>
        <v>0</v>
      </c>
      <c r="Q361" s="723">
        <f>Rashodi!Q400</f>
        <v>8271</v>
      </c>
      <c r="R361" s="723">
        <f>Rashodi!R400</f>
        <v>0</v>
      </c>
      <c r="S361" s="723">
        <f>Rashodi!S400</f>
        <v>0</v>
      </c>
      <c r="T361" s="723">
        <f>Rashodi!T400</f>
        <v>357271</v>
      </c>
      <c r="U361" s="723">
        <f>Rashodi!U400</f>
        <v>947271</v>
      </c>
      <c r="V361" s="723">
        <v>794000</v>
      </c>
      <c r="W361" s="723">
        <v>794000</v>
      </c>
    </row>
    <row r="362" spans="1:23" ht="12.75">
      <c r="A362" s="336"/>
      <c r="B362" s="343"/>
      <c r="C362" s="338"/>
      <c r="D362" s="343"/>
      <c r="E362" s="354">
        <v>263</v>
      </c>
      <c r="F362" s="428">
        <v>515</v>
      </c>
      <c r="G362" s="1257" t="s">
        <v>205</v>
      </c>
      <c r="H362" s="1258"/>
      <c r="I362" s="1259"/>
      <c r="J362" s="723">
        <v>150000</v>
      </c>
      <c r="K362" s="723">
        <v>85812.93</v>
      </c>
      <c r="L362" s="723">
        <v>150000</v>
      </c>
      <c r="M362" s="723">
        <f>Rashodi!M401</f>
        <v>150000</v>
      </c>
      <c r="N362" s="723">
        <f>Rashodi!N401</f>
        <v>20000</v>
      </c>
      <c r="O362" s="723">
        <f>Rashodi!O401</f>
        <v>0</v>
      </c>
      <c r="P362" s="723">
        <f>Rashodi!P401</f>
        <v>200000</v>
      </c>
      <c r="Q362" s="723">
        <f>Rashodi!Q401</f>
        <v>0</v>
      </c>
      <c r="R362" s="723">
        <f>Rashodi!R401</f>
        <v>0</v>
      </c>
      <c r="S362" s="723">
        <f>Rashodi!S401</f>
        <v>0</v>
      </c>
      <c r="T362" s="723">
        <f>Rashodi!T401</f>
        <v>220000</v>
      </c>
      <c r="U362" s="723">
        <f>Rashodi!U401</f>
        <v>370000</v>
      </c>
      <c r="V362" s="723">
        <v>400000</v>
      </c>
      <c r="W362" s="723">
        <v>400000</v>
      </c>
    </row>
    <row r="363" spans="1:23" ht="12.75">
      <c r="A363" s="270"/>
      <c r="B363" s="271"/>
      <c r="C363" s="412"/>
      <c r="D363" s="332" t="s">
        <v>297</v>
      </c>
      <c r="E363" s="412"/>
      <c r="F363" s="413"/>
      <c r="G363" s="1400" t="s">
        <v>1306</v>
      </c>
      <c r="H363" s="1401"/>
      <c r="I363" s="1402"/>
      <c r="J363" s="879">
        <f>SUM(J365:J367)</f>
        <v>1896000</v>
      </c>
      <c r="K363" s="879">
        <f>SUM(K365:K367)</f>
        <v>438130.99</v>
      </c>
      <c r="L363" s="879">
        <f>SUM(L365:L367)</f>
        <v>1786000</v>
      </c>
      <c r="M363" s="879">
        <f>SUM(M365:M367)</f>
        <v>2115318</v>
      </c>
      <c r="N363" s="276">
        <f aca="true" t="shared" si="105" ref="N363:S363">SUM(N365:N367)</f>
        <v>42000</v>
      </c>
      <c r="O363" s="276">
        <f t="shared" si="105"/>
        <v>270000</v>
      </c>
      <c r="P363" s="276">
        <f t="shared" si="105"/>
        <v>0</v>
      </c>
      <c r="Q363" s="276">
        <f t="shared" si="105"/>
        <v>26000</v>
      </c>
      <c r="R363" s="276">
        <f t="shared" si="105"/>
        <v>0</v>
      </c>
      <c r="S363" s="321">
        <f t="shared" si="105"/>
        <v>0</v>
      </c>
      <c r="T363" s="321">
        <f>SUM(N363:S363)</f>
        <v>338000</v>
      </c>
      <c r="U363" s="819">
        <f>M363+N363+O363+P363+Q363+R363+S363</f>
        <v>2453318</v>
      </c>
      <c r="V363" s="819">
        <v>2460318</v>
      </c>
      <c r="W363" s="819">
        <v>2460318</v>
      </c>
    </row>
    <row r="364" spans="1:23" ht="12.75">
      <c r="A364" s="336"/>
      <c r="B364" s="343"/>
      <c r="C364" s="167" t="s">
        <v>537</v>
      </c>
      <c r="D364" s="167"/>
      <c r="E364" s="338"/>
      <c r="F364" s="339"/>
      <c r="G364" s="73" t="s">
        <v>167</v>
      </c>
      <c r="H364" s="74"/>
      <c r="I364" s="688"/>
      <c r="J364" s="168">
        <f>SUM(J365:J367)</f>
        <v>1896000</v>
      </c>
      <c r="K364" s="168">
        <f>SUM(K365:K367)</f>
        <v>438130.99</v>
      </c>
      <c r="L364" s="168">
        <f>SUM(L365:L367)</f>
        <v>1786000</v>
      </c>
      <c r="M364" s="168">
        <f>SUM(M365:M367)</f>
        <v>2115318</v>
      </c>
      <c r="N364" s="65">
        <f aca="true" t="shared" si="106" ref="N364:S364">SUM(N365:N367)</f>
        <v>42000</v>
      </c>
      <c r="O364" s="65">
        <f t="shared" si="106"/>
        <v>270000</v>
      </c>
      <c r="P364" s="65">
        <f t="shared" si="106"/>
        <v>0</v>
      </c>
      <c r="Q364" s="65">
        <f t="shared" si="106"/>
        <v>26000</v>
      </c>
      <c r="R364" s="65">
        <f t="shared" si="106"/>
        <v>0</v>
      </c>
      <c r="S364" s="325">
        <f t="shared" si="106"/>
        <v>0</v>
      </c>
      <c r="T364" s="325">
        <f>SUM(N364:S364)</f>
        <v>338000</v>
      </c>
      <c r="U364" s="1048">
        <f>M364+N364+O364+P364+Q364+R364+S364</f>
        <v>2453318</v>
      </c>
      <c r="V364" s="1048">
        <v>2460318</v>
      </c>
      <c r="W364" s="1048">
        <v>2460318</v>
      </c>
    </row>
    <row r="365" spans="1:23" ht="12.75">
      <c r="A365" s="336"/>
      <c r="B365" s="343"/>
      <c r="C365" s="338"/>
      <c r="D365" s="343"/>
      <c r="E365" s="354">
        <v>264</v>
      </c>
      <c r="F365" s="428">
        <v>423</v>
      </c>
      <c r="G365" s="1257" t="s">
        <v>35</v>
      </c>
      <c r="H365" s="1258"/>
      <c r="I365" s="1259"/>
      <c r="J365" s="723">
        <v>1035000</v>
      </c>
      <c r="K365" s="723">
        <v>28477</v>
      </c>
      <c r="L365" s="723">
        <v>825000</v>
      </c>
      <c r="M365" s="723">
        <f>Rashodi!M404</f>
        <v>1004318</v>
      </c>
      <c r="N365" s="723">
        <f>Rashodi!N404</f>
        <v>20000</v>
      </c>
      <c r="O365" s="723">
        <f>Rashodi!O404</f>
        <v>100000</v>
      </c>
      <c r="P365" s="723">
        <f>Rashodi!P404</f>
        <v>0</v>
      </c>
      <c r="Q365" s="723">
        <f>Rashodi!Q404</f>
        <v>21000</v>
      </c>
      <c r="R365" s="723">
        <f>Rashodi!R404</f>
        <v>0</v>
      </c>
      <c r="S365" s="723">
        <f>Rashodi!S404</f>
        <v>0</v>
      </c>
      <c r="T365" s="723">
        <f>Rashodi!T404</f>
        <v>141000</v>
      </c>
      <c r="U365" s="723">
        <f>Rashodi!U404</f>
        <v>1145318</v>
      </c>
      <c r="V365" s="723">
        <v>1255318</v>
      </c>
      <c r="W365" s="723">
        <v>1255318</v>
      </c>
    </row>
    <row r="366" spans="1:23" ht="12.75">
      <c r="A366" s="336"/>
      <c r="B366" s="343"/>
      <c r="C366" s="338"/>
      <c r="D366" s="343"/>
      <c r="E366" s="354">
        <v>265</v>
      </c>
      <c r="F366" s="428">
        <v>424</v>
      </c>
      <c r="G366" s="334" t="s">
        <v>36</v>
      </c>
      <c r="H366" s="426"/>
      <c r="I366" s="427"/>
      <c r="J366" s="723">
        <v>630000</v>
      </c>
      <c r="K366" s="723">
        <v>390500</v>
      </c>
      <c r="L366" s="723">
        <v>730000</v>
      </c>
      <c r="M366" s="723">
        <f>Rashodi!M405</f>
        <v>880000</v>
      </c>
      <c r="N366" s="723">
        <f>Rashodi!N405</f>
        <v>10000</v>
      </c>
      <c r="O366" s="723">
        <f>Rashodi!O405</f>
        <v>135000</v>
      </c>
      <c r="P366" s="723">
        <f>Rashodi!P405</f>
        <v>0</v>
      </c>
      <c r="Q366" s="723">
        <f>Rashodi!Q405</f>
        <v>0</v>
      </c>
      <c r="R366" s="723">
        <f>Rashodi!R405</f>
        <v>0</v>
      </c>
      <c r="S366" s="723">
        <f>Rashodi!S405</f>
        <v>0</v>
      </c>
      <c r="T366" s="723">
        <f>Rashodi!T405</f>
        <v>145000</v>
      </c>
      <c r="U366" s="723">
        <f>Rashodi!U405</f>
        <v>1025000</v>
      </c>
      <c r="V366" s="723">
        <v>940000</v>
      </c>
      <c r="W366" s="723">
        <v>940000</v>
      </c>
    </row>
    <row r="367" spans="1:23" ht="12.75">
      <c r="A367" s="336"/>
      <c r="B367" s="343"/>
      <c r="C367" s="338"/>
      <c r="D367" s="343"/>
      <c r="E367" s="354">
        <v>266</v>
      </c>
      <c r="F367" s="428">
        <v>426</v>
      </c>
      <c r="G367" s="334" t="s">
        <v>38</v>
      </c>
      <c r="H367" s="426"/>
      <c r="I367" s="427"/>
      <c r="J367" s="723">
        <v>231000</v>
      </c>
      <c r="K367" s="723">
        <v>19153.99</v>
      </c>
      <c r="L367" s="871">
        <v>231000</v>
      </c>
      <c r="M367" s="723">
        <f>Rashodi!M406</f>
        <v>231000</v>
      </c>
      <c r="N367" s="723">
        <f>Rashodi!N406</f>
        <v>12000</v>
      </c>
      <c r="O367" s="723">
        <f>Rashodi!O406</f>
        <v>35000</v>
      </c>
      <c r="P367" s="723">
        <f>Rashodi!P406</f>
        <v>0</v>
      </c>
      <c r="Q367" s="723">
        <f>Rashodi!Q406</f>
        <v>5000</v>
      </c>
      <c r="R367" s="723">
        <f>Rashodi!R406</f>
        <v>0</v>
      </c>
      <c r="S367" s="723">
        <f>Rashodi!S406</f>
        <v>0</v>
      </c>
      <c r="T367" s="723">
        <f>Rashodi!T406</f>
        <v>52000</v>
      </c>
      <c r="U367" s="723">
        <f>Rashodi!U406</f>
        <v>283000</v>
      </c>
      <c r="V367" s="723">
        <v>265000</v>
      </c>
      <c r="W367" s="723">
        <v>265000</v>
      </c>
    </row>
    <row r="368" spans="1:23" ht="12.75">
      <c r="A368" s="51"/>
      <c r="B368" s="52" t="s">
        <v>1271</v>
      </c>
      <c r="C368" s="53"/>
      <c r="D368" s="268"/>
      <c r="E368" s="510"/>
      <c r="F368" s="511"/>
      <c r="G368" s="1405" t="s">
        <v>115</v>
      </c>
      <c r="H368" s="1406"/>
      <c r="I368" s="1407"/>
      <c r="J368" s="884" t="e">
        <f>J369+#REF!+#REF!+#REF!+#REF!+#REF!+#REF!</f>
        <v>#REF!</v>
      </c>
      <c r="K368" s="1006" t="e">
        <f>K369+#REF!+#REF!+#REF!+#REF!+#REF!+#REF!</f>
        <v>#REF!</v>
      </c>
      <c r="L368" s="1007" t="e">
        <f>L370</f>
        <v>#REF!</v>
      </c>
      <c r="M368" s="1007">
        <f aca="true" t="shared" si="107" ref="M368:U368">M369</f>
        <v>15655036</v>
      </c>
      <c r="N368" s="1007">
        <f t="shared" si="107"/>
        <v>0</v>
      </c>
      <c r="O368" s="1007">
        <f t="shared" si="107"/>
        <v>0</v>
      </c>
      <c r="P368" s="1007">
        <f t="shared" si="107"/>
        <v>1488088</v>
      </c>
      <c r="Q368" s="1007">
        <f t="shared" si="107"/>
        <v>2605000</v>
      </c>
      <c r="R368" s="1007">
        <f t="shared" si="107"/>
        <v>0</v>
      </c>
      <c r="S368" s="1007">
        <f t="shared" si="107"/>
        <v>0</v>
      </c>
      <c r="T368" s="1007">
        <f t="shared" si="107"/>
        <v>4093088</v>
      </c>
      <c r="U368" s="1007">
        <f t="shared" si="107"/>
        <v>19748124</v>
      </c>
      <c r="V368" s="1007">
        <v>16995000</v>
      </c>
      <c r="W368" s="1007">
        <v>16995000</v>
      </c>
    </row>
    <row r="369" spans="1:23" ht="12.75">
      <c r="A369" s="442"/>
      <c r="B369" s="449" t="s">
        <v>1272</v>
      </c>
      <c r="C369" s="450"/>
      <c r="D369" s="451"/>
      <c r="E369" s="450"/>
      <c r="F369" s="452"/>
      <c r="G369" s="1290"/>
      <c r="H369" s="1291"/>
      <c r="I369" s="1292"/>
      <c r="J369" s="885">
        <f aca="true" t="shared" si="108" ref="J369:S371">J370</f>
        <v>2400000</v>
      </c>
      <c r="K369" s="885">
        <f t="shared" si="108"/>
        <v>236186.13</v>
      </c>
      <c r="L369" s="1004" t="e">
        <f t="shared" si="108"/>
        <v>#REF!</v>
      </c>
      <c r="M369" s="1004">
        <f t="shared" si="108"/>
        <v>15655036</v>
      </c>
      <c r="N369" s="1003">
        <f t="shared" si="108"/>
        <v>0</v>
      </c>
      <c r="O369" s="394">
        <f t="shared" si="108"/>
        <v>0</v>
      </c>
      <c r="P369" s="394">
        <f t="shared" si="108"/>
        <v>1488088</v>
      </c>
      <c r="Q369" s="394">
        <f t="shared" si="108"/>
        <v>2605000</v>
      </c>
      <c r="R369" s="394">
        <f t="shared" si="108"/>
        <v>0</v>
      </c>
      <c r="S369" s="453">
        <f t="shared" si="108"/>
        <v>0</v>
      </c>
      <c r="T369" s="454">
        <f>SUM(N369:S369)</f>
        <v>4093088</v>
      </c>
      <c r="U369" s="1051">
        <f>M369+N369+O369+P369+Q369+R369+S369</f>
        <v>19748124</v>
      </c>
      <c r="V369" s="1051">
        <v>16995000</v>
      </c>
      <c r="W369" s="1051">
        <v>16995000</v>
      </c>
    </row>
    <row r="370" spans="1:23" ht="12.75">
      <c r="A370" s="617"/>
      <c r="B370" s="618"/>
      <c r="C370" s="594"/>
      <c r="D370" s="593" t="s">
        <v>279</v>
      </c>
      <c r="E370" s="594"/>
      <c r="F370" s="595"/>
      <c r="G370" s="1302" t="s">
        <v>1308</v>
      </c>
      <c r="H370" s="1303"/>
      <c r="I370" s="1304"/>
      <c r="J370" s="868">
        <f t="shared" si="108"/>
        <v>2400000</v>
      </c>
      <c r="K370" s="996">
        <f t="shared" si="108"/>
        <v>236186.13</v>
      </c>
      <c r="L370" s="994" t="e">
        <f t="shared" si="108"/>
        <v>#REF!</v>
      </c>
      <c r="M370" s="994">
        <f t="shared" si="108"/>
        <v>15655036</v>
      </c>
      <c r="N370" s="619">
        <f t="shared" si="108"/>
        <v>0</v>
      </c>
      <c r="O370" s="619">
        <f t="shared" si="108"/>
        <v>0</v>
      </c>
      <c r="P370" s="619">
        <f t="shared" si="108"/>
        <v>1488088</v>
      </c>
      <c r="Q370" s="619">
        <f t="shared" si="108"/>
        <v>2605000</v>
      </c>
      <c r="R370" s="619">
        <f t="shared" si="108"/>
        <v>0</v>
      </c>
      <c r="S370" s="620">
        <f t="shared" si="108"/>
        <v>0</v>
      </c>
      <c r="T370" s="620">
        <f>SUM(N370:S370)</f>
        <v>4093088</v>
      </c>
      <c r="U370" s="819">
        <f>M370+N370+O370+P370+Q370+R370+S370</f>
        <v>19748124</v>
      </c>
      <c r="V370" s="819">
        <v>16995000</v>
      </c>
      <c r="W370" s="819">
        <v>16995000</v>
      </c>
    </row>
    <row r="371" spans="1:23" ht="12.75">
      <c r="A371" s="270"/>
      <c r="B371" s="271"/>
      <c r="C371" s="412"/>
      <c r="D371" s="332" t="s">
        <v>292</v>
      </c>
      <c r="E371" s="412"/>
      <c r="F371" s="413"/>
      <c r="G371" s="1310" t="s">
        <v>1307</v>
      </c>
      <c r="H371" s="1311"/>
      <c r="I371" s="1312"/>
      <c r="J371" s="872">
        <f t="shared" si="108"/>
        <v>2400000</v>
      </c>
      <c r="K371" s="1002">
        <f t="shared" si="108"/>
        <v>236186.13</v>
      </c>
      <c r="L371" s="1005" t="e">
        <f>L373+L374+L375+L377+L378+L379+L380+L381+L382+L383+L384+#REF!+L385+L386</f>
        <v>#REF!</v>
      </c>
      <c r="M371" s="1005">
        <f t="shared" si="108"/>
        <v>15655036</v>
      </c>
      <c r="N371" s="276">
        <f t="shared" si="108"/>
        <v>0</v>
      </c>
      <c r="O371" s="276">
        <f t="shared" si="108"/>
        <v>0</v>
      </c>
      <c r="P371" s="276">
        <f t="shared" si="108"/>
        <v>1488088</v>
      </c>
      <c r="Q371" s="276">
        <f t="shared" si="108"/>
        <v>2605000</v>
      </c>
      <c r="R371" s="276">
        <f t="shared" si="108"/>
        <v>0</v>
      </c>
      <c r="S371" s="321">
        <f t="shared" si="108"/>
        <v>0</v>
      </c>
      <c r="T371" s="321">
        <f>SUM(N371:S371)</f>
        <v>4093088</v>
      </c>
      <c r="U371" s="819">
        <f>M371+N371+O371+P371+Q371+R371+S371</f>
        <v>19748124</v>
      </c>
      <c r="V371" s="819">
        <v>16995000</v>
      </c>
      <c r="W371" s="819">
        <v>16995000</v>
      </c>
    </row>
    <row r="372" spans="1:23" ht="12.75">
      <c r="A372" s="529"/>
      <c r="B372" s="530"/>
      <c r="C372" s="167" t="s">
        <v>273</v>
      </c>
      <c r="D372" s="58"/>
      <c r="E372" s="531"/>
      <c r="F372" s="532"/>
      <c r="G372" s="1296" t="s">
        <v>117</v>
      </c>
      <c r="H372" s="1297"/>
      <c r="I372" s="708"/>
      <c r="J372" s="522">
        <f>SUM(J377:J384)</f>
        <v>2400000</v>
      </c>
      <c r="K372" s="800">
        <f>SUM(K377:K384)</f>
        <v>236186.13</v>
      </c>
      <c r="L372" s="713" t="e">
        <f>L373+L374+L375+L377+L378+L379+L380+L381+L382+L383+L384+#REF!+L385+L386</f>
        <v>#REF!</v>
      </c>
      <c r="M372" s="713">
        <f>M373+M374+M375+M377+M378+M379+M380+M381+M382+M383+M384+M385+M386</f>
        <v>15655036</v>
      </c>
      <c r="N372" s="713">
        <f aca="true" t="shared" si="109" ref="N372:S372">N373+N374+N377+N379+N381+N382+N384</f>
        <v>0</v>
      </c>
      <c r="O372" s="713">
        <f t="shared" si="109"/>
        <v>0</v>
      </c>
      <c r="P372" s="713">
        <f t="shared" si="109"/>
        <v>1488088</v>
      </c>
      <c r="Q372" s="713">
        <f>Q373+Q374+Q377+Q379+Q381+Q382+Q384+Q378</f>
        <v>2605000</v>
      </c>
      <c r="R372" s="713">
        <f t="shared" si="109"/>
        <v>0</v>
      </c>
      <c r="S372" s="713">
        <f t="shared" si="109"/>
        <v>0</v>
      </c>
      <c r="T372" s="1068">
        <f>SUM(N372:S372)</f>
        <v>4093088</v>
      </c>
      <c r="U372" s="1105">
        <f>M372+N372+O372+P372+Q372+R372+S372</f>
        <v>19748124</v>
      </c>
      <c r="V372" s="1105">
        <v>16995000</v>
      </c>
      <c r="W372" s="1105">
        <v>16995000</v>
      </c>
    </row>
    <row r="373" spans="1:23" ht="12.75">
      <c r="A373" s="529"/>
      <c r="B373" s="530"/>
      <c r="C373" s="167"/>
      <c r="D373" s="58"/>
      <c r="E373" s="531"/>
      <c r="F373" s="417">
        <v>411</v>
      </c>
      <c r="G373" s="1257" t="s">
        <v>27</v>
      </c>
      <c r="H373" s="1258"/>
      <c r="I373" s="1259"/>
      <c r="J373" s="522"/>
      <c r="K373" s="800"/>
      <c r="L373" s="706" t="e">
        <f>Rashodi!#REF!+Rashodi!#REF!+Rashodi!#REF!+Rashodi!#REF!+Rashodi!#REF!+Rashodi!#REF!+Rashodi!#REF!</f>
        <v>#REF!</v>
      </c>
      <c r="M373" s="706">
        <f>Rashodi!M412+Rashodi!M424+Rashodi!M440+Rashodi!M451+Rashodi!M464+Rashodi!M477+Rashodi!M490+M376</f>
        <v>4079700</v>
      </c>
      <c r="N373" s="706">
        <f>Rashodi!N412+Rashodi!N424+Rashodi!N440+Rashodi!N451+Rashodi!N464+Rashodi!N477+Rashodi!N490</f>
        <v>0</v>
      </c>
      <c r="O373" s="706">
        <f>Rashodi!O412+Rashodi!O424+Rashodi!O440+Rashodi!O451+Rashodi!O464+Rashodi!O477+Rashodi!O490</f>
        <v>0</v>
      </c>
      <c r="P373" s="706">
        <f>Rashodi!P412+Rashodi!P424+Rashodi!P440+Rashodi!P451+Rashodi!P464+Rashodi!P477+Rashodi!P490</f>
        <v>0</v>
      </c>
      <c r="Q373" s="706">
        <f>Rashodi!Q412+Rashodi!Q424+Rashodi!Q440+Rashodi!Q451+Rashodi!Q464+Rashodi!Q477+Rashodi!Q490</f>
        <v>0</v>
      </c>
      <c r="R373" s="706">
        <f>Rashodi!R412+Rashodi!R424+Rashodi!R440+Rashodi!R451+Rashodi!R464+Rashodi!R477+Rashodi!R490</f>
        <v>0</v>
      </c>
      <c r="S373" s="706">
        <f>Rashodi!S412+Rashodi!S424+Rashodi!S440+Rashodi!S451+Rashodi!S464+Rashodi!S477+Rashodi!S490</f>
        <v>0</v>
      </c>
      <c r="T373" s="706">
        <f>Rashodi!T412+Rashodi!T424+Rashodi!T440+Rashodi!T451+Rashodi!T464+Rashodi!T477+Rashodi!T490</f>
        <v>0</v>
      </c>
      <c r="U373" s="706">
        <f>Rashodi!U412+Rashodi!U424+Rashodi!U440+Rashodi!U451+Rashodi!U464+Rashodi!U477+Rashodi!U490</f>
        <v>3899700</v>
      </c>
      <c r="V373" s="706">
        <v>3749700</v>
      </c>
      <c r="W373" s="706">
        <v>3749700</v>
      </c>
    </row>
    <row r="374" spans="1:23" ht="12.75">
      <c r="A374" s="529"/>
      <c r="B374" s="530"/>
      <c r="C374" s="167"/>
      <c r="D374" s="58"/>
      <c r="E374" s="531"/>
      <c r="F374" s="417">
        <v>412</v>
      </c>
      <c r="G374" s="1257" t="s">
        <v>78</v>
      </c>
      <c r="H374" s="1258"/>
      <c r="I374" s="1259"/>
      <c r="J374" s="522"/>
      <c r="K374" s="800"/>
      <c r="L374" s="706" t="e">
        <f>Rashodi!#REF!+Rashodi!#REF!+Rashodi!#REF!+Rashodi!#REF!+Rashodi!#REF!+Rashodi!#REF!+Rashodi!#REF!</f>
        <v>#REF!</v>
      </c>
      <c r="M374" s="706">
        <f>Rashodi!M413+Rashodi!M425+Rashodi!M441+Rashodi!M452+Rashodi!M465+Rashodi!M478+Rashodi!M491</f>
        <v>651000</v>
      </c>
      <c r="N374" s="706">
        <f>Rashodi!N413+Rashodi!N425+Rashodi!N441+Rashodi!N452+Rashodi!N465+Rashodi!N478+Rashodi!N491</f>
        <v>0</v>
      </c>
      <c r="O374" s="706">
        <f>Rashodi!O413+Rashodi!O425+Rashodi!O441+Rashodi!O452+Rashodi!O465+Rashodi!O478+Rashodi!O491</f>
        <v>0</v>
      </c>
      <c r="P374" s="706">
        <f>Rashodi!P413+Rashodi!P425+Rashodi!P441+Rashodi!P452+Rashodi!P465+Rashodi!P478+Rashodi!P491</f>
        <v>0</v>
      </c>
      <c r="Q374" s="706">
        <f>Rashodi!Q413+Rashodi!Q425+Rashodi!Q441+Rashodi!Q452+Rashodi!Q465+Rashodi!Q478+Rashodi!Q491</f>
        <v>0</v>
      </c>
      <c r="R374" s="706">
        <f>Rashodi!R413+Rashodi!R425+Rashodi!R441+Rashodi!R452+Rashodi!R465+Rashodi!R478+Rashodi!R491</f>
        <v>0</v>
      </c>
      <c r="S374" s="706">
        <f>Rashodi!S413+Rashodi!S425+Rashodi!S441+Rashodi!S452+Rashodi!S465+Rashodi!S478+Rashodi!S491</f>
        <v>0</v>
      </c>
      <c r="T374" s="706">
        <f>Rashodi!T413+Rashodi!T425+Rashodi!T441+Rashodi!T452+Rashodi!T465+Rashodi!T478+Rashodi!T491</f>
        <v>0</v>
      </c>
      <c r="U374" s="706">
        <f>Rashodi!U413+Rashodi!U425+Rashodi!U441+Rashodi!U452+Rashodi!U465+Rashodi!U478+Rashodi!U491</f>
        <v>651000</v>
      </c>
      <c r="V374" s="706">
        <v>609464</v>
      </c>
      <c r="W374" s="706">
        <v>609464</v>
      </c>
    </row>
    <row r="375" spans="1:23" ht="12.75">
      <c r="A375" s="529"/>
      <c r="B375" s="530"/>
      <c r="C375" s="167"/>
      <c r="D375" s="58"/>
      <c r="E375" s="531"/>
      <c r="F375" s="417">
        <v>414</v>
      </c>
      <c r="G375" s="1269" t="s">
        <v>30</v>
      </c>
      <c r="H375" s="1270"/>
      <c r="I375" s="1271"/>
      <c r="J375" s="522"/>
      <c r="K375" s="800"/>
      <c r="L375" s="706" t="e">
        <f>Rashodi!#REF!</f>
        <v>#REF!</v>
      </c>
      <c r="M375" s="706">
        <f>Rashodi!M426</f>
        <v>30000</v>
      </c>
      <c r="N375" s="706">
        <f>Rashodi!N426</f>
        <v>0</v>
      </c>
      <c r="O375" s="706">
        <f>Rashodi!O426</f>
        <v>0</v>
      </c>
      <c r="P375" s="706">
        <f>Rashodi!P426</f>
        <v>0</v>
      </c>
      <c r="Q375" s="706">
        <f>Rashodi!Q426</f>
        <v>0</v>
      </c>
      <c r="R375" s="706">
        <f>Rashodi!R426</f>
        <v>0</v>
      </c>
      <c r="S375" s="706">
        <f>Rashodi!S426</f>
        <v>0</v>
      </c>
      <c r="T375" s="706">
        <f>Rashodi!T426</f>
        <v>0</v>
      </c>
      <c r="U375" s="706">
        <f>Rashodi!U426</f>
        <v>30000</v>
      </c>
      <c r="V375" s="706">
        <v>30000</v>
      </c>
      <c r="W375" s="706">
        <v>30000</v>
      </c>
    </row>
    <row r="376" spans="1:23" ht="12.75">
      <c r="A376" s="529"/>
      <c r="B376" s="530"/>
      <c r="C376" s="167"/>
      <c r="D376" s="58"/>
      <c r="E376" s="531"/>
      <c r="F376" s="417">
        <v>415</v>
      </c>
      <c r="G376" s="386" t="s">
        <v>31</v>
      </c>
      <c r="H376" s="423"/>
      <c r="I376" s="424"/>
      <c r="J376" s="522"/>
      <c r="K376" s="800"/>
      <c r="L376" s="706"/>
      <c r="M376" s="706">
        <f>Rashodi!M479</f>
        <v>180000</v>
      </c>
      <c r="N376" s="706">
        <f>Rashodi!N479</f>
        <v>0</v>
      </c>
      <c r="O376" s="706">
        <f>Rashodi!O479</f>
        <v>0</v>
      </c>
      <c r="P376" s="706">
        <f>Rashodi!P479</f>
        <v>0</v>
      </c>
      <c r="Q376" s="706">
        <f>Rashodi!Q479</f>
        <v>0</v>
      </c>
      <c r="R376" s="706">
        <f>Rashodi!R479</f>
        <v>0</v>
      </c>
      <c r="S376" s="706">
        <f>Rashodi!S479</f>
        <v>0</v>
      </c>
      <c r="T376" s="706">
        <f>Rashodi!Q479</f>
        <v>0</v>
      </c>
      <c r="U376" s="706">
        <f>Rashodi!U479</f>
        <v>180000</v>
      </c>
      <c r="V376" s="706">
        <v>180000</v>
      </c>
      <c r="W376" s="706">
        <v>180000</v>
      </c>
    </row>
    <row r="377" spans="1:23" ht="12.75">
      <c r="A377" s="336"/>
      <c r="B377" s="343"/>
      <c r="C377" s="338"/>
      <c r="D377" s="343"/>
      <c r="E377" s="354">
        <v>267</v>
      </c>
      <c r="F377" s="428">
        <v>421</v>
      </c>
      <c r="G377" s="1299" t="s">
        <v>33</v>
      </c>
      <c r="H377" s="1300"/>
      <c r="I377" s="1301"/>
      <c r="J377" s="849">
        <v>184000</v>
      </c>
      <c r="K377" s="852">
        <v>99117.84</v>
      </c>
      <c r="L377" s="887" t="e">
        <f>Rashodi!#REF!+Rashodi!#REF!+Rashodi!#REF!+Rashodi!#REF!+Rashodi!#REF!+Rashodi!#REF!+Rashodi!#REF!</f>
        <v>#REF!</v>
      </c>
      <c r="M377" s="887">
        <f>Rashodi!M414+Rashodi!M427+Rashodi!M442+Rashodi!M454+Rashodi!M466+Rashodi!M480+Rashodi!M492</f>
        <v>1787000</v>
      </c>
      <c r="N377" s="887">
        <f>Rashodi!N414+Rashodi!N427+Rashodi!N442+Rashodi!N454+Rashodi!N466+Rashodi!N480+Rashodi!N492</f>
        <v>0</v>
      </c>
      <c r="O377" s="887">
        <f>Rashodi!O414+Rashodi!O427+Rashodi!O442+Rashodi!O454+Rashodi!O466+Rashodi!O480+Rashodi!O492</f>
        <v>0</v>
      </c>
      <c r="P377" s="887">
        <f>Rashodi!P414+Rashodi!P427+Rashodi!P442+Rashodi!P454+Rashodi!P466+Rashodi!P480+Rashodi!P492</f>
        <v>0</v>
      </c>
      <c r="Q377" s="887">
        <f>Rashodi!Q414+Rashodi!Q427+Rashodi!Q442+Rashodi!Q454+Rashodi!Q466+Rashodi!Q480+Rashodi!Q492</f>
        <v>100000</v>
      </c>
      <c r="R377" s="887">
        <f>Rashodi!R414+Rashodi!R427+Rashodi!R442+Rashodi!R454+Rashodi!R466+Rashodi!R480+Rashodi!R492</f>
        <v>0</v>
      </c>
      <c r="S377" s="887">
        <f>Rashodi!S414+Rashodi!S427+Rashodi!S442+Rashodi!S454+Rashodi!S466+Rashodi!S480+Rashodi!S492</f>
        <v>0</v>
      </c>
      <c r="T377" s="887">
        <f>Rashodi!T414+Rashodi!T427+Rashodi!T442+Rashodi!T454+Rashodi!T466+Rashodi!T480+Rashodi!T492</f>
        <v>100000</v>
      </c>
      <c r="U377" s="887">
        <f>Rashodi!U414+Rashodi!U427+Rashodi!U442+Rashodi!U454+Rashodi!U466+Rashodi!U480+Rashodi!U492</f>
        <v>1887000</v>
      </c>
      <c r="V377" s="887">
        <v>1913000</v>
      </c>
      <c r="W377" s="887">
        <v>1913000</v>
      </c>
    </row>
    <row r="378" spans="1:23" ht="12.75">
      <c r="A378" s="336"/>
      <c r="B378" s="343"/>
      <c r="C378" s="338"/>
      <c r="D378" s="343"/>
      <c r="E378" s="354"/>
      <c r="F378" s="428">
        <v>422</v>
      </c>
      <c r="G378" s="1299" t="s">
        <v>34</v>
      </c>
      <c r="H378" s="1300"/>
      <c r="I378" s="1301"/>
      <c r="J378" s="849"/>
      <c r="K378" s="852"/>
      <c r="L378" s="887" t="e">
        <f>Rashodi!#REF!+Rashodi!#REF!+Rashodi!#REF!</f>
        <v>#REF!</v>
      </c>
      <c r="M378" s="887">
        <f>Rashodi!M481+Rashodi!M428</f>
        <v>34700</v>
      </c>
      <c r="N378" s="887">
        <f>Rashodi!N481+Rashodi!N428</f>
        <v>0</v>
      </c>
      <c r="O378" s="887">
        <f>Rashodi!O481+Rashodi!O428</f>
        <v>0</v>
      </c>
      <c r="P378" s="887">
        <f>Rashodi!P481+Rashodi!P428</f>
        <v>0</v>
      </c>
      <c r="Q378" s="887">
        <f>Rashodi!Q481+Rashodi!Q428</f>
        <v>192000</v>
      </c>
      <c r="R378" s="887">
        <f>Rashodi!R481+Rashodi!R428</f>
        <v>0</v>
      </c>
      <c r="S378" s="887">
        <f>Rashodi!S481+Rashodi!S428</f>
        <v>0</v>
      </c>
      <c r="T378" s="887">
        <f>Rashodi!T481+Rashodi!T428</f>
        <v>192000</v>
      </c>
      <c r="U378" s="887">
        <f>Rashodi!U481+Rashodi!U428</f>
        <v>226700</v>
      </c>
      <c r="V378" s="887">
        <v>80000</v>
      </c>
      <c r="W378" s="887">
        <v>80000</v>
      </c>
    </row>
    <row r="379" spans="1:23" ht="12.75">
      <c r="A379" s="336"/>
      <c r="B379" s="343"/>
      <c r="C379" s="338"/>
      <c r="D379" s="343"/>
      <c r="E379" s="354">
        <v>268</v>
      </c>
      <c r="F379" s="428">
        <v>423</v>
      </c>
      <c r="G379" s="1299" t="s">
        <v>35</v>
      </c>
      <c r="H379" s="1300"/>
      <c r="I379" s="1301"/>
      <c r="J379" s="849">
        <v>915000</v>
      </c>
      <c r="K379" s="852">
        <v>87300.61</v>
      </c>
      <c r="L379" s="887" t="e">
        <f>Rashodi!#REF!+Rashodi!#REF!+Rashodi!#REF!+Rashodi!#REF!+Rashodi!#REF!+Rashodi!#REF!</f>
        <v>#REF!</v>
      </c>
      <c r="M379" s="887">
        <f>Rashodi!M415+Rashodi!M429+Rashodi!M443+Rashodi!M455+Rashodi!M467+Rashodi!M482+Rashodi!M493</f>
        <v>3134500</v>
      </c>
      <c r="N379" s="887">
        <f>Rashodi!N415+Rashodi!N443+Rashodi!N455+Rashodi!N467+Rashodi!N482+Rashodi!N493</f>
        <v>0</v>
      </c>
      <c r="O379" s="887">
        <f>Rashodi!O415+Rashodi!O443+Rashodi!O455+Rashodi!O467+Rashodi!O482+Rashodi!O493</f>
        <v>0</v>
      </c>
      <c r="P379" s="887">
        <f>Rashodi!P415+Rashodi!P443+Rashodi!P455+Rashodi!P467+Rashodi!P482+Rashodi!P493</f>
        <v>1458088</v>
      </c>
      <c r="Q379" s="887">
        <f>Rashodi!Q415+Rashodi!Q443+Rashodi!Q455+Rashodi!Q467+Rashodi!Q482+Rashodi!Q493</f>
        <v>55000</v>
      </c>
      <c r="R379" s="887">
        <f>Rashodi!R415+Rashodi!R443+Rashodi!R455+Rashodi!R467+Rashodi!R482+Rashodi!R493</f>
        <v>0</v>
      </c>
      <c r="S379" s="887">
        <f>Rashodi!S415+Rashodi!S443+Rashodi!S455+Rashodi!S467+Rashodi!S482+Rashodi!S493</f>
        <v>0</v>
      </c>
      <c r="T379" s="887">
        <f>Rashodi!T415+Rashodi!T443+Rashodi!T455+Rashodi!T467+Rashodi!T482+Rashodi!T493</f>
        <v>1513088</v>
      </c>
      <c r="U379" s="887">
        <f>Rashodi!U415+Rashodi!U443+Rashodi!U455+Rashodi!U467+Rashodi!U482+Rashodi!U493</f>
        <v>4142588</v>
      </c>
      <c r="V379" s="887">
        <v>2660000</v>
      </c>
      <c r="W379" s="887">
        <v>2660000</v>
      </c>
    </row>
    <row r="380" spans="1:23" ht="12.75">
      <c r="A380" s="336"/>
      <c r="B380" s="343"/>
      <c r="C380" s="338"/>
      <c r="D380" s="343"/>
      <c r="E380" s="354"/>
      <c r="F380" s="428">
        <v>424</v>
      </c>
      <c r="G380" s="1299" t="s">
        <v>36</v>
      </c>
      <c r="H380" s="1300"/>
      <c r="I380" s="1301"/>
      <c r="J380" s="849"/>
      <c r="K380" s="852"/>
      <c r="L380" s="887" t="e">
        <f>Rashodi!#REF!+Rashodi!#REF!+Rashodi!#REF!</f>
        <v>#REF!</v>
      </c>
      <c r="M380" s="887">
        <f>Rashodi!M430+Rashodi!M468+Rashodi!M494</f>
        <v>267000</v>
      </c>
      <c r="N380" s="887">
        <f>Rashodi!N430+Rashodi!N468+Rashodi!N494</f>
        <v>0</v>
      </c>
      <c r="O380" s="887">
        <f>Rashodi!O430+Rashodi!O468+Rashodi!O494</f>
        <v>0</v>
      </c>
      <c r="P380" s="887">
        <f>Rashodi!P430+Rashodi!P468+Rashodi!P494</f>
        <v>0</v>
      </c>
      <c r="Q380" s="887">
        <f>Rashodi!Q430+Rashodi!Q468+Rashodi!Q494</f>
        <v>0</v>
      </c>
      <c r="R380" s="887">
        <f>Rashodi!R430+Rashodi!R468+Rashodi!R494</f>
        <v>0</v>
      </c>
      <c r="S380" s="887">
        <f>Rashodi!S430+Rashodi!S468+Rashodi!S494</f>
        <v>0</v>
      </c>
      <c r="T380" s="887">
        <f>Rashodi!T430+Rashodi!T468+Rashodi!T494</f>
        <v>0</v>
      </c>
      <c r="U380" s="887">
        <f>Rashodi!U430+Rashodi!U468+Rashodi!U494</f>
        <v>267000</v>
      </c>
      <c r="V380" s="887">
        <v>377000</v>
      </c>
      <c r="W380" s="887">
        <v>377000</v>
      </c>
    </row>
    <row r="381" spans="1:23" ht="12.75">
      <c r="A381" s="336"/>
      <c r="B381" s="343"/>
      <c r="C381" s="338"/>
      <c r="D381" s="343"/>
      <c r="E381" s="354">
        <v>270</v>
      </c>
      <c r="F381" s="428">
        <v>425</v>
      </c>
      <c r="G381" s="1263" t="s">
        <v>90</v>
      </c>
      <c r="H381" s="1264"/>
      <c r="I381" s="1265"/>
      <c r="J381" s="849">
        <v>1020000</v>
      </c>
      <c r="K381" s="852">
        <v>46776</v>
      </c>
      <c r="L381" s="887" t="e">
        <f>Rashodi!#REF!+Rashodi!#REF!+Rashodi!#REF!+Rashodi!#REF!+Rashodi!#REF!+Rashodi!#REF!+Rashodi!#REF!</f>
        <v>#REF!</v>
      </c>
      <c r="M381" s="887">
        <f>Rashodi!M416+Rashodi!M431+Rashodi!M444+Rashodi!M456+Rashodi!M469+Rashodi!M483+Rashodi!M495</f>
        <v>1975000</v>
      </c>
      <c r="N381" s="887">
        <f>Rashodi!N416+Rashodi!N431+Rashodi!N444+Rashodi!N456+Rashodi!N469+Rashodi!N483+Rashodi!N495</f>
        <v>0</v>
      </c>
      <c r="O381" s="887">
        <f>Rashodi!O416+Rashodi!O431+Rashodi!O444+Rashodi!O456+Rashodi!O469+Rashodi!O483+Rashodi!O495</f>
        <v>0</v>
      </c>
      <c r="P381" s="887">
        <f>Rashodi!P416+Rashodi!P431+Rashodi!P444+Rashodi!P456+Rashodi!P469+Rashodi!P483+Rashodi!P495</f>
        <v>0</v>
      </c>
      <c r="Q381" s="887">
        <f>Rashodi!Q416+Rashodi!Q431+Rashodi!Q444+Rashodi!Q456+Rashodi!Q469+Rashodi!Q483+Rashodi!Q495</f>
        <v>1525000</v>
      </c>
      <c r="R381" s="887">
        <f>Rashodi!R416+Rashodi!R431+Rashodi!R444+Rashodi!R456+Rashodi!R469+Rashodi!R483+Rashodi!R495</f>
        <v>0</v>
      </c>
      <c r="S381" s="887">
        <f>Rashodi!S416+Rashodi!S431+Rashodi!S444+Rashodi!S456+Rashodi!S469+Rashodi!S483+Rashodi!S495</f>
        <v>0</v>
      </c>
      <c r="T381" s="887">
        <f>Rashodi!T416+Rashodi!T431+Rashodi!T444+Rashodi!T456+Rashodi!T469+Rashodi!T483+Rashodi!T495</f>
        <v>1525000</v>
      </c>
      <c r="U381" s="887">
        <f>Rashodi!U416+Rashodi!U431+Rashodi!U444+Rashodi!U456+Rashodi!U469+Rashodi!U483+Rashodi!U495</f>
        <v>3500000</v>
      </c>
      <c r="V381" s="887">
        <v>2563000</v>
      </c>
      <c r="W381" s="887">
        <v>2563000</v>
      </c>
    </row>
    <row r="382" spans="1:23" ht="12.75">
      <c r="A382" s="336"/>
      <c r="B382" s="343"/>
      <c r="C382" s="338"/>
      <c r="D382" s="343"/>
      <c r="E382" s="354">
        <v>271</v>
      </c>
      <c r="F382" s="428">
        <v>426</v>
      </c>
      <c r="G382" s="1299" t="s">
        <v>38</v>
      </c>
      <c r="H382" s="1300"/>
      <c r="I382" s="1301"/>
      <c r="J382" s="849">
        <v>243000</v>
      </c>
      <c r="K382" s="852">
        <v>2589.21</v>
      </c>
      <c r="L382" s="887" t="e">
        <f>Rashodi!#REF!+Rashodi!#REF!+Rashodi!#REF!+Rashodi!#REF!+Rashodi!#REF!+Rashodi!#REF!+Rashodi!#REF!</f>
        <v>#REF!</v>
      </c>
      <c r="M382" s="887">
        <f>Rashodi!M417+Rashodi!M432+Rashodi!M445+Rashodi!M457+Rashodi!M470+Rashodi!M484+Rashodi!M496</f>
        <v>2618136</v>
      </c>
      <c r="N382" s="887">
        <f>Rashodi!N417+Rashodi!N432+Rashodi!N445+Rashodi!N457+Rashodi!N470+Rashodi!N484+Rashodi!N496</f>
        <v>0</v>
      </c>
      <c r="O382" s="887">
        <f>Rashodi!O417+Rashodi!O432+Rashodi!O445+Rashodi!O457+Rashodi!O470+Rashodi!O484+Rashodi!O496</f>
        <v>0</v>
      </c>
      <c r="P382" s="887">
        <f>Rashodi!P417+Rashodi!P432+Rashodi!P445+Rashodi!P457+Rashodi!P470+Rashodi!P484+Rashodi!P496</f>
        <v>30000</v>
      </c>
      <c r="Q382" s="887">
        <f>Rashodi!Q417+Rashodi!Q432+Rashodi!Q445+Rashodi!Q457+Rashodi!Q470+Rashodi!Q484+Rashodi!Q496</f>
        <v>633000</v>
      </c>
      <c r="R382" s="887">
        <f>Rashodi!R417+Rashodi!R432+Rashodi!R445+Rashodi!R457+Rashodi!R470+Rashodi!R484+Rashodi!R496</f>
        <v>0</v>
      </c>
      <c r="S382" s="887">
        <f>Rashodi!S417+Rashodi!S432+Rashodi!S445+Rashodi!S457+Rashodi!S470+Rashodi!S484+Rashodi!S496</f>
        <v>0</v>
      </c>
      <c r="T382" s="887">
        <f>Rashodi!T417+Rashodi!T432+Rashodi!T445+Rashodi!T457+Rashodi!T470+Rashodi!T484+Rashodi!T496</f>
        <v>663000</v>
      </c>
      <c r="U382" s="887">
        <f>Rashodi!U417+Rashodi!U432+Rashodi!U445+Rashodi!U457+Rashodi!U470+Rashodi!U484+Rashodi!U496</f>
        <v>3281136</v>
      </c>
      <c r="V382" s="887">
        <v>3065836</v>
      </c>
      <c r="W382" s="887">
        <v>3065836</v>
      </c>
    </row>
    <row r="383" spans="1:23" ht="12.75">
      <c r="A383" s="336"/>
      <c r="B383" s="343"/>
      <c r="C383" s="338"/>
      <c r="D383" s="343"/>
      <c r="E383" s="354"/>
      <c r="F383" s="428">
        <v>441</v>
      </c>
      <c r="G383" s="1299" t="s">
        <v>40</v>
      </c>
      <c r="H383" s="1300"/>
      <c r="I383" s="1301"/>
      <c r="J383" s="850"/>
      <c r="K383" s="853"/>
      <c r="L383" s="887" t="e">
        <f>Rashodi!#REF!</f>
        <v>#REF!</v>
      </c>
      <c r="M383" s="887">
        <f>Rashodi!M433</f>
        <v>1000</v>
      </c>
      <c r="N383" s="887">
        <f>Rashodi!N433</f>
        <v>0</v>
      </c>
      <c r="O383" s="887">
        <f>Rashodi!O433</f>
        <v>0</v>
      </c>
      <c r="P383" s="887">
        <f>Rashodi!P433</f>
        <v>0</v>
      </c>
      <c r="Q383" s="887">
        <f>Rashodi!Q433</f>
        <v>0</v>
      </c>
      <c r="R383" s="887">
        <f>Rashodi!R433</f>
        <v>0</v>
      </c>
      <c r="S383" s="887">
        <f>Rashodi!S433</f>
        <v>0</v>
      </c>
      <c r="T383" s="887">
        <f>Rashodi!T433</f>
        <v>0</v>
      </c>
      <c r="U383" s="887">
        <f>Rashodi!U433</f>
        <v>1000</v>
      </c>
      <c r="V383" s="887">
        <v>3000</v>
      </c>
      <c r="W383" s="887">
        <v>3000</v>
      </c>
    </row>
    <row r="384" spans="1:23" ht="12.75">
      <c r="A384" s="336"/>
      <c r="B384" s="343"/>
      <c r="C384" s="338"/>
      <c r="D384" s="343"/>
      <c r="E384" s="354">
        <v>273</v>
      </c>
      <c r="F384" s="428">
        <v>482</v>
      </c>
      <c r="G384" s="686" t="s">
        <v>81</v>
      </c>
      <c r="H384" s="461"/>
      <c r="I384" s="687"/>
      <c r="J384" s="850">
        <v>38000</v>
      </c>
      <c r="K384" s="853">
        <v>402.47</v>
      </c>
      <c r="L384" s="887" t="e">
        <f>Rashodi!#REF!+Rashodi!#REF!+Rashodi!#REF!+Rashodi!#REF!+Rashodi!#REF!+Rashodi!#REF!</f>
        <v>#REF!</v>
      </c>
      <c r="M384" s="887">
        <f>Rashodi!M418+Rashodi!M446+Rashodi!M458+Rashodi!M471+Rashodi!M485+Rashodi!M497</f>
        <v>662000</v>
      </c>
      <c r="N384" s="887">
        <f>Rashodi!N497+Rashodi!N485+Rashodi!N471+Rashodi!N458+Rashodi!N446+Rashodi!N418</f>
        <v>0</v>
      </c>
      <c r="O384" s="887">
        <f>Rashodi!O497+Rashodi!O485+Rashodi!O471+Rashodi!O458+Rashodi!O446+Rashodi!O418</f>
        <v>0</v>
      </c>
      <c r="P384" s="887">
        <f>Rashodi!P497+Rashodi!P485+Rashodi!P471+Rashodi!P458+Rashodi!P446+Rashodi!P418</f>
        <v>0</v>
      </c>
      <c r="Q384" s="887">
        <f>Rashodi!Q497+Rashodi!Q485+Rashodi!Q471+Rashodi!Q458+Rashodi!Q446+Rashodi!Q418</f>
        <v>100000</v>
      </c>
      <c r="R384" s="887">
        <f>Rashodi!R497+Rashodi!R485+Rashodi!R471+Rashodi!R458+Rashodi!R446+Rashodi!R418</f>
        <v>0</v>
      </c>
      <c r="S384" s="887">
        <f>Rashodi!S497+Rashodi!S485+Rashodi!S471+Rashodi!S458+Rashodi!S446+Rashodi!S418</f>
        <v>0</v>
      </c>
      <c r="T384" s="887">
        <f>Rashodi!T497+Rashodi!T485+Rashodi!T471+Rashodi!T458+Rashodi!T446+Rashodi!T418</f>
        <v>100000</v>
      </c>
      <c r="U384" s="887">
        <f>Rashodi!U497+Rashodi!U485+Rashodi!U471+Rashodi!U458+Rashodi!U446+Rashodi!U418</f>
        <v>762000</v>
      </c>
      <c r="V384" s="887">
        <v>794000</v>
      </c>
      <c r="W384" s="887">
        <v>794000</v>
      </c>
    </row>
    <row r="385" spans="1:23" ht="12.75">
      <c r="A385" s="336"/>
      <c r="B385" s="343"/>
      <c r="C385" s="338"/>
      <c r="D385" s="343"/>
      <c r="E385" s="354"/>
      <c r="F385" s="428">
        <v>512</v>
      </c>
      <c r="G385" s="686" t="s">
        <v>1531</v>
      </c>
      <c r="H385" s="461"/>
      <c r="I385" s="461"/>
      <c r="J385" s="853"/>
      <c r="K385" s="853"/>
      <c r="L385" s="887" t="e">
        <f>Rashodi!#REF!+Rashodi!#REF!+Rashodi!#REF!</f>
        <v>#REF!</v>
      </c>
      <c r="M385" s="887">
        <f>Rashodi!M419+Rashodi!M435+Rashodi!M472</f>
        <v>215000</v>
      </c>
      <c r="N385" s="887">
        <f>Rashodi!N472+Rashodi!N435+Rashodi!N419</f>
        <v>0</v>
      </c>
      <c r="O385" s="887">
        <f>Rashodi!O472+Rashodi!O435+Rashodi!O419</f>
        <v>0</v>
      </c>
      <c r="P385" s="887">
        <f>Rashodi!P472+Rashodi!P435+Rashodi!P419</f>
        <v>0</v>
      </c>
      <c r="Q385" s="887">
        <f>Rashodi!Q472+Rashodi!Q435+Rashodi!Q419</f>
        <v>0</v>
      </c>
      <c r="R385" s="887">
        <f>Rashodi!R472+Rashodi!R435+Rashodi!R419</f>
        <v>0</v>
      </c>
      <c r="S385" s="887">
        <f>Rashodi!S472+Rashodi!S435+Rashodi!S419</f>
        <v>0</v>
      </c>
      <c r="T385" s="887">
        <f>Rashodi!T472+Rashodi!T435+Rashodi!T419</f>
        <v>0</v>
      </c>
      <c r="U385" s="887">
        <f>Rashodi!U472+Rashodi!U435+Rashodi!U419</f>
        <v>215000</v>
      </c>
      <c r="V385" s="887">
        <v>165000</v>
      </c>
      <c r="W385" s="887">
        <v>165000</v>
      </c>
    </row>
    <row r="386" spans="1:23" ht="13.5" thickBot="1">
      <c r="A386" s="336"/>
      <c r="B386" s="343"/>
      <c r="C386" s="338"/>
      <c r="D386" s="343"/>
      <c r="E386" s="354"/>
      <c r="F386" s="428">
        <v>513</v>
      </c>
      <c r="G386" s="1299" t="s">
        <v>1536</v>
      </c>
      <c r="H386" s="1300"/>
      <c r="I386" s="1300"/>
      <c r="J386" s="853"/>
      <c r="K386" s="853"/>
      <c r="L386" s="887" t="e">
        <f>Rashodi!#REF!</f>
        <v>#REF!</v>
      </c>
      <c r="M386" s="887">
        <f>Rashodi!M459</f>
        <v>200000</v>
      </c>
      <c r="N386" s="887">
        <f>Rashodi!N459</f>
        <v>0</v>
      </c>
      <c r="O386" s="887">
        <f>Rashodi!O459</f>
        <v>0</v>
      </c>
      <c r="P386" s="887">
        <f>Rashodi!P459</f>
        <v>0</v>
      </c>
      <c r="Q386" s="887">
        <f>Rashodi!Q459</f>
        <v>0</v>
      </c>
      <c r="R386" s="887">
        <f>Rashodi!R459</f>
        <v>0</v>
      </c>
      <c r="S386" s="887">
        <f>Rashodi!S459</f>
        <v>0</v>
      </c>
      <c r="T386" s="887">
        <f>Rashodi!T459</f>
        <v>0</v>
      </c>
      <c r="U386" s="887">
        <f>Rashodi!U459</f>
        <v>200000</v>
      </c>
      <c r="V386" s="887">
        <v>200000</v>
      </c>
      <c r="W386" s="887">
        <v>200000</v>
      </c>
    </row>
    <row r="387" spans="1:23" ht="13.5" thickBot="1">
      <c r="A387" s="1305" t="s">
        <v>126</v>
      </c>
      <c r="B387" s="1306"/>
      <c r="C387" s="1306"/>
      <c r="D387" s="1306"/>
      <c r="E387" s="1306"/>
      <c r="F387" s="1306"/>
      <c r="G387" s="1306"/>
      <c r="H387" s="1306"/>
      <c r="I387" s="1307"/>
      <c r="J387" s="7" t="e">
        <f aca="true" t="shared" si="110" ref="J387:S387">J71+J38+J7+J55+J29</f>
        <v>#REF!</v>
      </c>
      <c r="K387" s="7" t="e">
        <f t="shared" si="110"/>
        <v>#REF!</v>
      </c>
      <c r="L387" s="7" t="e">
        <f>L71+L38+L7+L55+L29</f>
        <v>#REF!</v>
      </c>
      <c r="M387" s="7">
        <f t="shared" si="110"/>
        <v>480580469</v>
      </c>
      <c r="N387" s="277">
        <f t="shared" si="110"/>
        <v>182000</v>
      </c>
      <c r="O387" s="277">
        <f t="shared" si="110"/>
        <v>610000</v>
      </c>
      <c r="P387" s="277">
        <f t="shared" si="110"/>
        <v>28996198.25</v>
      </c>
      <c r="Q387" s="277">
        <f t="shared" si="110"/>
        <v>100733142</v>
      </c>
      <c r="R387" s="277">
        <f t="shared" si="110"/>
        <v>0</v>
      </c>
      <c r="S387" s="277">
        <f t="shared" si="110"/>
        <v>427000</v>
      </c>
      <c r="T387" s="330">
        <f>SUM(N387:S387)</f>
        <v>130948340.25</v>
      </c>
      <c r="U387" s="1053">
        <f>M387+N387+O387+P387+Q387+R387+S387</f>
        <v>611528809.25</v>
      </c>
      <c r="V387" s="1053">
        <v>577939560</v>
      </c>
      <c r="W387" s="1053">
        <v>577939560</v>
      </c>
    </row>
    <row r="388" spans="1:21" ht="12.75" hidden="1">
      <c r="A388" s="553"/>
      <c r="B388" s="553"/>
      <c r="C388" s="554"/>
      <c r="D388" s="553"/>
      <c r="E388" s="555"/>
      <c r="F388" s="554"/>
      <c r="G388" s="472"/>
      <c r="H388" s="472"/>
      <c r="I388" s="472"/>
      <c r="J388" s="858"/>
      <c r="K388" s="858"/>
      <c r="L388" s="342"/>
      <c r="M388" s="342"/>
      <c r="N388" s="342"/>
      <c r="O388" s="342"/>
      <c r="P388" s="342"/>
      <c r="Q388" s="396"/>
      <c r="R388" s="396"/>
      <c r="S388" s="473"/>
      <c r="T388" s="473"/>
      <c r="U388" s="474"/>
    </row>
    <row r="389" spans="1:21" ht="12.75" hidden="1">
      <c r="A389" s="1427"/>
      <c r="B389" s="1424"/>
      <c r="C389" s="1424"/>
      <c r="D389" s="1424"/>
      <c r="E389" s="1424"/>
      <c r="F389" s="1424"/>
      <c r="G389" s="1424"/>
      <c r="H389" s="1424"/>
      <c r="I389" s="1424"/>
      <c r="J389" s="384"/>
      <c r="K389" s="384"/>
      <c r="L389" s="342"/>
      <c r="M389" s="342"/>
      <c r="N389" s="342"/>
      <c r="O389" s="342"/>
      <c r="P389" s="342"/>
      <c r="Q389" s="342"/>
      <c r="R389" s="342"/>
      <c r="S389" s="258"/>
      <c r="T389" s="258"/>
      <c r="U389" s="474"/>
    </row>
    <row r="390" spans="1:21" ht="12.75" hidden="1">
      <c r="A390" s="1427"/>
      <c r="B390" s="1424"/>
      <c r="C390" s="1424"/>
      <c r="D390" s="1424"/>
      <c r="E390" s="1424"/>
      <c r="F390" s="1424"/>
      <c r="G390" s="1424"/>
      <c r="H390" s="1424"/>
      <c r="I390" s="1424"/>
      <c r="J390" s="384"/>
      <c r="K390" s="384"/>
      <c r="L390" s="342"/>
      <c r="M390" s="342"/>
      <c r="N390" s="387"/>
      <c r="O390" s="342"/>
      <c r="P390" s="342"/>
      <c r="Q390" s="342"/>
      <c r="R390" s="342"/>
      <c r="S390" s="258"/>
      <c r="T390" s="258"/>
      <c r="U390" s="474"/>
    </row>
    <row r="391" spans="1:21" ht="12.75" hidden="1">
      <c r="A391" s="1427"/>
      <c r="B391" s="1424"/>
      <c r="C391" s="1424"/>
      <c r="D391" s="1424"/>
      <c r="E391" s="1424"/>
      <c r="F391" s="1424"/>
      <c r="G391" s="1424"/>
      <c r="H391" s="1424"/>
      <c r="I391" s="1424"/>
      <c r="J391" s="384"/>
      <c r="K391" s="384"/>
      <c r="L391" s="342"/>
      <c r="M391" s="342"/>
      <c r="N391" s="342"/>
      <c r="O391" s="342"/>
      <c r="P391" s="342"/>
      <c r="Q391" s="342"/>
      <c r="R391" s="342"/>
      <c r="S391" s="258"/>
      <c r="T391" s="258"/>
      <c r="U391" s="474"/>
    </row>
    <row r="392" spans="1:21" ht="12.75" hidden="1">
      <c r="A392" s="1424"/>
      <c r="B392" s="1424"/>
      <c r="C392" s="1424"/>
      <c r="D392" s="1424"/>
      <c r="E392" s="1424"/>
      <c r="F392" s="1424"/>
      <c r="G392" s="1424"/>
      <c r="H392" s="1424"/>
      <c r="I392" s="1424"/>
      <c r="J392" s="384"/>
      <c r="K392" s="384"/>
      <c r="L392" s="537"/>
      <c r="M392" s="537"/>
      <c r="N392" s="538">
        <v>411</v>
      </c>
      <c r="O392" s="342"/>
      <c r="P392" s="342"/>
      <c r="Q392" s="342"/>
      <c r="R392" s="342"/>
      <c r="S392" s="475"/>
      <c r="T392" s="475"/>
      <c r="U392" s="474"/>
    </row>
    <row r="393" spans="1:21" ht="12.75" hidden="1">
      <c r="A393" s="1424"/>
      <c r="B393" s="1424"/>
      <c r="C393" s="1424"/>
      <c r="D393" s="1424"/>
      <c r="E393" s="1424"/>
      <c r="F393" s="1424"/>
      <c r="G393" s="1424"/>
      <c r="H393" s="1424"/>
      <c r="I393" s="1424"/>
      <c r="J393" s="384"/>
      <c r="K393" s="384"/>
      <c r="L393" s="397"/>
      <c r="M393" s="397"/>
      <c r="N393" s="538">
        <v>412</v>
      </c>
      <c r="O393" s="342"/>
      <c r="P393" s="342"/>
      <c r="Q393" s="342"/>
      <c r="R393" s="342"/>
      <c r="S393" s="342"/>
      <c r="T393" s="342"/>
      <c r="U393" s="474"/>
    </row>
    <row r="394" spans="1:21" ht="12.75" hidden="1">
      <c r="A394" s="408"/>
      <c r="B394" s="408"/>
      <c r="C394" s="333"/>
      <c r="D394" s="408"/>
      <c r="E394" s="333"/>
      <c r="F394" s="333"/>
      <c r="G394" s="335"/>
      <c r="H394" s="335"/>
      <c r="I394" s="335"/>
      <c r="J394" s="384"/>
      <c r="K394" s="384"/>
      <c r="L394" s="540"/>
      <c r="M394" s="540"/>
      <c r="N394" s="539" t="s">
        <v>1168</v>
      </c>
      <c r="O394" s="342"/>
      <c r="P394" s="342"/>
      <c r="Q394" s="342"/>
      <c r="R394" s="342"/>
      <c r="S394" s="342"/>
      <c r="T394" s="342"/>
      <c r="U394" s="474"/>
    </row>
    <row r="395" spans="1:21" ht="12.75">
      <c r="A395" s="408"/>
      <c r="B395" s="408"/>
      <c r="C395" s="333"/>
      <c r="D395" s="408"/>
      <c r="E395" s="333"/>
      <c r="F395" s="333"/>
      <c r="G395" s="335"/>
      <c r="H395" s="335"/>
      <c r="I395" s="335"/>
      <c r="J395" s="384"/>
      <c r="K395" s="384"/>
      <c r="L395" s="387"/>
      <c r="M395" s="387"/>
      <c r="N395" s="342"/>
      <c r="O395" s="342"/>
      <c r="P395" s="342"/>
      <c r="Q395" s="342"/>
      <c r="R395" s="342"/>
      <c r="S395" s="258"/>
      <c r="T395" s="258"/>
      <c r="U395" s="476"/>
    </row>
    <row r="396" spans="1:21" ht="12.75">
      <c r="A396" s="408"/>
      <c r="B396" s="408"/>
      <c r="C396" s="333"/>
      <c r="D396" s="408"/>
      <c r="E396" s="333"/>
      <c r="F396" s="333"/>
      <c r="G396" s="335"/>
      <c r="H396" s="335"/>
      <c r="I396" s="335"/>
      <c r="J396" s="384"/>
      <c r="K396" s="384"/>
      <c r="L396" s="63"/>
      <c r="M396" s="63"/>
      <c r="N396" s="342"/>
      <c r="O396" s="342"/>
      <c r="P396" s="342"/>
      <c r="Q396" s="342"/>
      <c r="R396" s="342"/>
      <c r="S396" s="342"/>
      <c r="T396" s="342"/>
      <c r="U396" s="474"/>
    </row>
    <row r="397" spans="1:21" ht="12.75">
      <c r="A397" s="408"/>
      <c r="B397" s="408"/>
      <c r="C397" s="333"/>
      <c r="D397" s="408"/>
      <c r="E397" s="333"/>
      <c r="F397" s="333"/>
      <c r="G397" s="335"/>
      <c r="H397" s="335"/>
      <c r="I397" s="335"/>
      <c r="J397" s="384"/>
      <c r="K397" s="384"/>
      <c r="L397" s="387"/>
      <c r="M397" s="387"/>
      <c r="N397" s="335"/>
      <c r="O397" s="335"/>
      <c r="P397" s="335"/>
      <c r="Q397" s="335"/>
      <c r="R397" s="335"/>
      <c r="S397" s="335"/>
      <c r="T397" s="335"/>
      <c r="U397" s="346"/>
    </row>
    <row r="398" spans="1:21" ht="12.75">
      <c r="A398" s="408"/>
      <c r="B398" s="408"/>
      <c r="C398" s="333"/>
      <c r="D398" s="408"/>
      <c r="E398" s="333"/>
      <c r="F398" s="333"/>
      <c r="G398" s="335"/>
      <c r="H398" s="335"/>
      <c r="I398" s="335"/>
      <c r="J398" s="384"/>
      <c r="K398" s="384"/>
      <c r="L398" s="387"/>
      <c r="M398" s="387"/>
      <c r="N398" s="335"/>
      <c r="O398" s="335"/>
      <c r="P398" s="335"/>
      <c r="Q398" s="335"/>
      <c r="R398" s="335"/>
      <c r="S398" s="335"/>
      <c r="T398" s="335"/>
      <c r="U398" s="346"/>
    </row>
    <row r="399" spans="1:21" ht="12.75">
      <c r="A399" s="408"/>
      <c r="B399" s="408"/>
      <c r="C399" s="333"/>
      <c r="D399" s="408"/>
      <c r="E399" s="333"/>
      <c r="F399" s="333"/>
      <c r="G399" s="335"/>
      <c r="H399" s="335"/>
      <c r="I399" s="335"/>
      <c r="J399" s="384"/>
      <c r="K399" s="384"/>
      <c r="L399" s="387"/>
      <c r="M399" s="387"/>
      <c r="N399" s="335"/>
      <c r="O399" s="335"/>
      <c r="P399" s="335"/>
      <c r="Q399" s="335"/>
      <c r="R399" s="335"/>
      <c r="S399" s="335"/>
      <c r="T399" s="335"/>
      <c r="U399" s="346"/>
    </row>
    <row r="400" spans="1:21" ht="12.75">
      <c r="A400" s="335"/>
      <c r="B400" s="335"/>
      <c r="C400" s="335"/>
      <c r="D400" s="335"/>
      <c r="E400" s="335"/>
      <c r="F400" s="335"/>
      <c r="G400" s="335"/>
      <c r="H400" s="335"/>
      <c r="I400" s="335"/>
      <c r="J400" s="384"/>
      <c r="K400" s="384"/>
      <c r="L400" s="387"/>
      <c r="M400" s="387"/>
      <c r="N400" s="335"/>
      <c r="O400" s="335"/>
      <c r="P400" s="335"/>
      <c r="Q400" s="335"/>
      <c r="R400" s="335"/>
      <c r="S400" s="335"/>
      <c r="T400" s="335"/>
      <c r="U400" s="335"/>
    </row>
    <row r="401" spans="1:21" ht="12.75">
      <c r="A401" s="335"/>
      <c r="B401" s="335"/>
      <c r="C401" s="335"/>
      <c r="D401" s="335"/>
      <c r="E401" s="335"/>
      <c r="F401" s="335"/>
      <c r="G401" s="335"/>
      <c r="H401" s="335"/>
      <c r="I401" s="335"/>
      <c r="J401" s="384"/>
      <c r="K401" s="384"/>
      <c r="L401" s="387"/>
      <c r="M401" s="387"/>
      <c r="N401" s="335"/>
      <c r="O401" s="335"/>
      <c r="P401" s="335"/>
      <c r="Q401" s="335"/>
      <c r="R401" s="335"/>
      <c r="S401" s="335"/>
      <c r="T401" s="335"/>
      <c r="U401" s="335"/>
    </row>
    <row r="402" spans="1:21" ht="12.75">
      <c r="A402" s="335"/>
      <c r="B402" s="335"/>
      <c r="C402" s="335"/>
      <c r="D402" s="335"/>
      <c r="E402" s="335"/>
      <c r="F402" s="335"/>
      <c r="G402" s="335"/>
      <c r="H402" s="335"/>
      <c r="I402" s="335"/>
      <c r="J402" s="384"/>
      <c r="K402" s="384"/>
      <c r="L402" s="387"/>
      <c r="M402" s="387"/>
      <c r="N402" s="335"/>
      <c r="O402" s="335"/>
      <c r="P402" s="335"/>
      <c r="Q402" s="335"/>
      <c r="R402" s="335"/>
      <c r="S402" s="335"/>
      <c r="T402" s="335"/>
      <c r="U402" s="335"/>
    </row>
    <row r="403" spans="1:21" ht="12.75">
      <c r="A403" s="335"/>
      <c r="B403" s="335"/>
      <c r="C403" s="335"/>
      <c r="D403" s="335"/>
      <c r="E403" s="335"/>
      <c r="F403" s="335"/>
      <c r="G403" s="335"/>
      <c r="H403" s="335"/>
      <c r="I403" s="335"/>
      <c r="J403" s="384"/>
      <c r="K403" s="384"/>
      <c r="L403" s="387"/>
      <c r="M403" s="387"/>
      <c r="N403" s="335"/>
      <c r="O403" s="335"/>
      <c r="P403" s="335"/>
      <c r="Q403" s="335"/>
      <c r="R403" s="335"/>
      <c r="S403" s="335"/>
      <c r="T403" s="335"/>
      <c r="U403" s="335"/>
    </row>
    <row r="404" spans="1:21" ht="12.75">
      <c r="A404" s="408"/>
      <c r="B404" s="408"/>
      <c r="C404" s="333"/>
      <c r="D404" s="408"/>
      <c r="E404" s="333"/>
      <c r="F404" s="333"/>
      <c r="G404" s="335"/>
      <c r="H404" s="335"/>
      <c r="I404" s="335"/>
      <c r="J404" s="384"/>
      <c r="K404" s="384"/>
      <c r="L404" s="342"/>
      <c r="M404" s="342"/>
      <c r="N404" s="335"/>
      <c r="O404" s="335"/>
      <c r="P404" s="335"/>
      <c r="Q404" s="335"/>
      <c r="R404" s="335"/>
      <c r="S404" s="335"/>
      <c r="T404" s="335"/>
      <c r="U404" s="346"/>
    </row>
    <row r="405" spans="1:21" ht="12.75">
      <c r="A405" s="408"/>
      <c r="B405" s="408"/>
      <c r="C405" s="333"/>
      <c r="D405" s="408"/>
      <c r="E405" s="333"/>
      <c r="F405" s="333"/>
      <c r="G405" s="335"/>
      <c r="H405" s="335"/>
      <c r="I405" s="335"/>
      <c r="J405" s="384"/>
      <c r="K405" s="384"/>
      <c r="L405" s="342"/>
      <c r="M405" s="342"/>
      <c r="N405" s="335"/>
      <c r="O405" s="335"/>
      <c r="P405" s="335"/>
      <c r="Q405" s="335"/>
      <c r="R405" s="335"/>
      <c r="S405" s="335"/>
      <c r="T405" s="335"/>
      <c r="U405" s="346"/>
    </row>
    <row r="406" spans="1:21" ht="12.75">
      <c r="A406" s="408"/>
      <c r="B406" s="408"/>
      <c r="C406" s="333"/>
      <c r="D406" s="408"/>
      <c r="E406" s="333"/>
      <c r="F406" s="333"/>
      <c r="G406" s="335"/>
      <c r="H406" s="335"/>
      <c r="I406" s="335"/>
      <c r="J406" s="384"/>
      <c r="K406" s="384"/>
      <c r="L406" s="342"/>
      <c r="M406" s="342"/>
      <c r="N406" s="335"/>
      <c r="O406" s="335"/>
      <c r="P406" s="335"/>
      <c r="Q406" s="335"/>
      <c r="R406" s="335"/>
      <c r="S406" s="335"/>
      <c r="T406" s="335"/>
      <c r="U406" s="346"/>
    </row>
    <row r="407" spans="1:21" ht="12.75">
      <c r="A407" s="408"/>
      <c r="B407" s="408"/>
      <c r="C407" s="333"/>
      <c r="D407" s="408"/>
      <c r="E407" s="333"/>
      <c r="F407" s="333"/>
      <c r="G407" s="335"/>
      <c r="H407" s="335"/>
      <c r="I407" s="335"/>
      <c r="J407" s="384"/>
      <c r="K407" s="384"/>
      <c r="L407" s="342"/>
      <c r="M407" s="342"/>
      <c r="N407" s="335"/>
      <c r="O407" s="335"/>
      <c r="P407" s="335"/>
      <c r="Q407" s="335"/>
      <c r="R407" s="335"/>
      <c r="S407" s="335"/>
      <c r="T407" s="335"/>
      <c r="U407" s="346"/>
    </row>
    <row r="408" spans="1:21" ht="12.75">
      <c r="A408" s="408"/>
      <c r="B408" s="408"/>
      <c r="C408" s="333"/>
      <c r="D408" s="408"/>
      <c r="E408" s="333"/>
      <c r="F408" s="333"/>
      <c r="G408" s="335"/>
      <c r="H408" s="335"/>
      <c r="I408" s="335"/>
      <c r="J408" s="384"/>
      <c r="K408" s="384"/>
      <c r="L408" s="342"/>
      <c r="M408" s="342"/>
      <c r="N408" s="335"/>
      <c r="O408" s="335"/>
      <c r="P408" s="335"/>
      <c r="Q408" s="335"/>
      <c r="R408" s="335"/>
      <c r="S408" s="335"/>
      <c r="T408" s="335"/>
      <c r="U408" s="346"/>
    </row>
    <row r="409" spans="1:21" ht="12.75">
      <c r="A409" s="408"/>
      <c r="B409" s="408"/>
      <c r="C409" s="333"/>
      <c r="D409" s="408"/>
      <c r="E409" s="333"/>
      <c r="F409" s="333"/>
      <c r="G409" s="335"/>
      <c r="H409" s="335"/>
      <c r="I409" s="335"/>
      <c r="J409" s="384"/>
      <c r="K409" s="384"/>
      <c r="L409" s="342"/>
      <c r="M409" s="342"/>
      <c r="N409" s="335"/>
      <c r="O409" s="335"/>
      <c r="P409" s="335"/>
      <c r="Q409" s="335"/>
      <c r="R409" s="335"/>
      <c r="S409" s="335"/>
      <c r="T409" s="335"/>
      <c r="U409" s="346"/>
    </row>
    <row r="410" spans="1:21" ht="12.75">
      <c r="A410" s="408"/>
      <c r="B410" s="408"/>
      <c r="C410" s="333"/>
      <c r="D410" s="408"/>
      <c r="E410" s="333"/>
      <c r="F410" s="333"/>
      <c r="G410" s="335"/>
      <c r="H410" s="335"/>
      <c r="I410" s="335"/>
      <c r="J410" s="384"/>
      <c r="K410" s="384"/>
      <c r="L410" s="342"/>
      <c r="M410" s="342"/>
      <c r="N410" s="335"/>
      <c r="O410" s="335"/>
      <c r="P410" s="335"/>
      <c r="Q410" s="335"/>
      <c r="R410" s="335"/>
      <c r="S410" s="335"/>
      <c r="T410" s="335"/>
      <c r="U410" s="346"/>
    </row>
    <row r="411" spans="1:21" ht="12.75">
      <c r="A411" s="408"/>
      <c r="B411" s="408"/>
      <c r="C411" s="333"/>
      <c r="D411" s="408"/>
      <c r="E411" s="333"/>
      <c r="F411" s="333"/>
      <c r="G411" s="335"/>
      <c r="H411" s="335"/>
      <c r="I411" s="335"/>
      <c r="J411" s="384"/>
      <c r="K411" s="384"/>
      <c r="L411" s="342"/>
      <c r="M411" s="342"/>
      <c r="N411" s="335"/>
      <c r="O411" s="335"/>
      <c r="P411" s="335"/>
      <c r="Q411" s="335"/>
      <c r="R411" s="335"/>
      <c r="S411" s="335"/>
      <c r="T411" s="335"/>
      <c r="U411" s="346"/>
    </row>
    <row r="412" spans="1:21" ht="12.75">
      <c r="A412" s="408"/>
      <c r="B412" s="408"/>
      <c r="C412" s="333"/>
      <c r="D412" s="408"/>
      <c r="E412" s="333"/>
      <c r="F412" s="333"/>
      <c r="G412" s="335"/>
      <c r="H412" s="335"/>
      <c r="I412" s="335"/>
      <c r="J412" s="384"/>
      <c r="K412" s="384"/>
      <c r="L412" s="342"/>
      <c r="M412" s="342"/>
      <c r="N412" s="335"/>
      <c r="O412" s="335"/>
      <c r="P412" s="335"/>
      <c r="Q412" s="335"/>
      <c r="R412" s="335"/>
      <c r="S412" s="335"/>
      <c r="T412" s="335"/>
      <c r="U412" s="346"/>
    </row>
    <row r="413" spans="1:21" ht="12.75">
      <c r="A413" s="408"/>
      <c r="B413" s="408"/>
      <c r="C413" s="333"/>
      <c r="D413" s="408"/>
      <c r="E413" s="333"/>
      <c r="F413" s="333"/>
      <c r="G413" s="335"/>
      <c r="H413" s="335"/>
      <c r="I413" s="335"/>
      <c r="J413" s="384"/>
      <c r="K413" s="384"/>
      <c r="L413" s="342"/>
      <c r="M413" s="342"/>
      <c r="N413" s="335"/>
      <c r="O413" s="335"/>
      <c r="P413" s="335"/>
      <c r="Q413" s="335"/>
      <c r="R413" s="335"/>
      <c r="S413" s="335"/>
      <c r="T413" s="335"/>
      <c r="U413" s="346"/>
    </row>
    <row r="414" spans="1:21" ht="12.75">
      <c r="A414" s="408"/>
      <c r="B414" s="408"/>
      <c r="C414" s="333"/>
      <c r="D414" s="408"/>
      <c r="E414" s="333"/>
      <c r="F414" s="333"/>
      <c r="G414" s="335"/>
      <c r="H414" s="335"/>
      <c r="I414" s="335"/>
      <c r="J414" s="384"/>
      <c r="K414" s="384"/>
      <c r="L414" s="342"/>
      <c r="M414" s="342"/>
      <c r="N414" s="335"/>
      <c r="O414" s="335"/>
      <c r="P414" s="335"/>
      <c r="Q414" s="335"/>
      <c r="R414" s="335"/>
      <c r="S414" s="335"/>
      <c r="T414" s="335"/>
      <c r="U414" s="346"/>
    </row>
    <row r="415" spans="1:21" ht="12.75">
      <c r="A415" s="408"/>
      <c r="B415" s="408"/>
      <c r="C415" s="333"/>
      <c r="D415" s="408"/>
      <c r="E415" s="333"/>
      <c r="F415" s="333"/>
      <c r="G415" s="335"/>
      <c r="H415" s="335"/>
      <c r="I415" s="335"/>
      <c r="J415" s="384"/>
      <c r="K415" s="384"/>
      <c r="L415" s="342"/>
      <c r="M415" s="342"/>
      <c r="N415" s="335"/>
      <c r="O415" s="335"/>
      <c r="P415" s="335"/>
      <c r="Q415" s="335"/>
      <c r="R415" s="335"/>
      <c r="S415" s="335"/>
      <c r="T415" s="335"/>
      <c r="U415" s="346"/>
    </row>
    <row r="416" spans="1:21" ht="12.75">
      <c r="A416" s="408"/>
      <c r="B416" s="408"/>
      <c r="C416" s="333"/>
      <c r="D416" s="408"/>
      <c r="E416" s="333"/>
      <c r="F416" s="333"/>
      <c r="G416" s="335"/>
      <c r="H416" s="335"/>
      <c r="I416" s="335"/>
      <c r="J416" s="384"/>
      <c r="K416" s="384"/>
      <c r="L416" s="342"/>
      <c r="M416" s="342"/>
      <c r="N416" s="335"/>
      <c r="O416" s="335"/>
      <c r="P416" s="335"/>
      <c r="Q416" s="335"/>
      <c r="R416" s="335"/>
      <c r="S416" s="335"/>
      <c r="T416" s="335"/>
      <c r="U416" s="346"/>
    </row>
    <row r="417" spans="1:21" ht="12.75">
      <c r="A417" s="408"/>
      <c r="B417" s="408"/>
      <c r="C417" s="333"/>
      <c r="D417" s="408"/>
      <c r="E417" s="333"/>
      <c r="F417" s="333"/>
      <c r="G417" s="335"/>
      <c r="H417" s="335"/>
      <c r="I417" s="335"/>
      <c r="J417" s="384"/>
      <c r="K417" s="384"/>
      <c r="L417" s="342"/>
      <c r="M417" s="342"/>
      <c r="N417" s="335"/>
      <c r="O417" s="335"/>
      <c r="P417" s="335"/>
      <c r="Q417" s="335"/>
      <c r="R417" s="335"/>
      <c r="S417" s="335"/>
      <c r="T417" s="335"/>
      <c r="U417" s="346"/>
    </row>
    <row r="418" spans="1:21" ht="12.75">
      <c r="A418" s="408"/>
      <c r="B418" s="408"/>
      <c r="C418" s="333"/>
      <c r="D418" s="408"/>
      <c r="E418" s="333"/>
      <c r="F418" s="333"/>
      <c r="G418" s="335"/>
      <c r="H418" s="335"/>
      <c r="I418" s="335"/>
      <c r="J418" s="384"/>
      <c r="K418" s="384"/>
      <c r="L418" s="342"/>
      <c r="M418" s="342"/>
      <c r="N418" s="335"/>
      <c r="O418" s="335"/>
      <c r="P418" s="335"/>
      <c r="Q418" s="335"/>
      <c r="R418" s="335"/>
      <c r="S418" s="335"/>
      <c r="T418" s="335"/>
      <c r="U418" s="346"/>
    </row>
    <row r="419" spans="1:21" ht="12.75">
      <c r="A419" s="408"/>
      <c r="B419" s="408"/>
      <c r="C419" s="333"/>
      <c r="D419" s="408"/>
      <c r="E419" s="333"/>
      <c r="F419" s="333"/>
      <c r="G419" s="335"/>
      <c r="H419" s="335"/>
      <c r="I419" s="335"/>
      <c r="J419" s="384"/>
      <c r="K419" s="384"/>
      <c r="L419" s="342"/>
      <c r="M419" s="342"/>
      <c r="N419" s="335"/>
      <c r="O419" s="335"/>
      <c r="P419" s="335"/>
      <c r="Q419" s="335"/>
      <c r="R419" s="335"/>
      <c r="S419" s="335"/>
      <c r="T419" s="335"/>
      <c r="U419" s="346"/>
    </row>
    <row r="420" spans="1:21" ht="12.75">
      <c r="A420" s="408"/>
      <c r="B420" s="408"/>
      <c r="C420" s="333"/>
      <c r="D420" s="408"/>
      <c r="E420" s="333"/>
      <c r="F420" s="333"/>
      <c r="G420" s="335"/>
      <c r="H420" s="335"/>
      <c r="I420" s="335"/>
      <c r="J420" s="384"/>
      <c r="K420" s="384"/>
      <c r="L420" s="342"/>
      <c r="M420" s="342"/>
      <c r="N420" s="335"/>
      <c r="O420" s="335"/>
      <c r="P420" s="335"/>
      <c r="Q420" s="335"/>
      <c r="R420" s="335"/>
      <c r="S420" s="335"/>
      <c r="T420" s="335"/>
      <c r="U420" s="346"/>
    </row>
    <row r="421" spans="1:21" ht="12.75">
      <c r="A421" s="408"/>
      <c r="B421" s="408"/>
      <c r="C421" s="333"/>
      <c r="D421" s="408"/>
      <c r="E421" s="333"/>
      <c r="F421" s="333"/>
      <c r="G421" s="335"/>
      <c r="H421" s="335"/>
      <c r="I421" s="335"/>
      <c r="J421" s="384"/>
      <c r="K421" s="384"/>
      <c r="L421" s="342"/>
      <c r="M421" s="342"/>
      <c r="N421" s="335"/>
      <c r="O421" s="335"/>
      <c r="P421" s="335"/>
      <c r="Q421" s="335"/>
      <c r="R421" s="335"/>
      <c r="S421" s="335"/>
      <c r="T421" s="335"/>
      <c r="U421" s="346"/>
    </row>
    <row r="422" spans="1:21" ht="12.75">
      <c r="A422" s="408"/>
      <c r="B422" s="408"/>
      <c r="C422" s="333"/>
      <c r="D422" s="408"/>
      <c r="E422" s="333"/>
      <c r="F422" s="333"/>
      <c r="G422" s="335"/>
      <c r="H422" s="335"/>
      <c r="I422" s="335"/>
      <c r="J422" s="384"/>
      <c r="K422" s="384"/>
      <c r="L422" s="342"/>
      <c r="M422" s="342"/>
      <c r="N422" s="335"/>
      <c r="O422" s="335"/>
      <c r="P422" s="335"/>
      <c r="Q422" s="335"/>
      <c r="R422" s="335"/>
      <c r="S422" s="335"/>
      <c r="T422" s="335"/>
      <c r="U422" s="346"/>
    </row>
    <row r="423" spans="1:21" ht="12.75">
      <c r="A423" s="408"/>
      <c r="B423" s="408"/>
      <c r="C423" s="333"/>
      <c r="D423" s="408"/>
      <c r="E423" s="333"/>
      <c r="F423" s="333"/>
      <c r="G423" s="335"/>
      <c r="H423" s="335"/>
      <c r="I423" s="335"/>
      <c r="J423" s="384"/>
      <c r="K423" s="384"/>
      <c r="L423" s="342"/>
      <c r="M423" s="342"/>
      <c r="N423" s="335"/>
      <c r="O423" s="335"/>
      <c r="P423" s="335"/>
      <c r="Q423" s="335"/>
      <c r="R423" s="335"/>
      <c r="S423" s="335"/>
      <c r="T423" s="335"/>
      <c r="U423" s="346"/>
    </row>
    <row r="424" spans="1:21" ht="12.75">
      <c r="A424" s="408"/>
      <c r="B424" s="408"/>
      <c r="C424" s="333"/>
      <c r="D424" s="408"/>
      <c r="E424" s="333"/>
      <c r="F424" s="333"/>
      <c r="G424" s="335"/>
      <c r="H424" s="335"/>
      <c r="I424" s="335"/>
      <c r="J424" s="384"/>
      <c r="K424" s="384"/>
      <c r="L424" s="342"/>
      <c r="M424" s="342"/>
      <c r="N424" s="335"/>
      <c r="O424" s="335"/>
      <c r="P424" s="335"/>
      <c r="Q424" s="335"/>
      <c r="R424" s="335"/>
      <c r="S424" s="335"/>
      <c r="T424" s="335"/>
      <c r="U424" s="346"/>
    </row>
    <row r="425" spans="1:21" ht="12.75">
      <c r="A425" s="408"/>
      <c r="B425" s="408"/>
      <c r="C425" s="333"/>
      <c r="D425" s="408"/>
      <c r="E425" s="333"/>
      <c r="F425" s="333"/>
      <c r="G425" s="335"/>
      <c r="H425" s="335"/>
      <c r="I425" s="335"/>
      <c r="J425" s="384"/>
      <c r="K425" s="384"/>
      <c r="L425" s="342"/>
      <c r="M425" s="342"/>
      <c r="N425" s="335"/>
      <c r="O425" s="335"/>
      <c r="P425" s="335"/>
      <c r="Q425" s="335"/>
      <c r="R425" s="335"/>
      <c r="S425" s="335"/>
      <c r="T425" s="335"/>
      <c r="U425" s="346"/>
    </row>
    <row r="426" spans="1:21" ht="12.75">
      <c r="A426" s="408"/>
      <c r="B426" s="408"/>
      <c r="C426" s="333"/>
      <c r="D426" s="408"/>
      <c r="E426" s="333"/>
      <c r="F426" s="333"/>
      <c r="G426" s="335"/>
      <c r="H426" s="335"/>
      <c r="I426" s="335"/>
      <c r="J426" s="384"/>
      <c r="K426" s="384"/>
      <c r="L426" s="342"/>
      <c r="M426" s="342"/>
      <c r="N426" s="335"/>
      <c r="O426" s="335"/>
      <c r="P426" s="335"/>
      <c r="Q426" s="335"/>
      <c r="R426" s="335"/>
      <c r="S426" s="335"/>
      <c r="T426" s="335"/>
      <c r="U426" s="346"/>
    </row>
    <row r="427" spans="1:21" ht="12.75">
      <c r="A427" s="408"/>
      <c r="B427" s="408"/>
      <c r="C427" s="333"/>
      <c r="D427" s="408"/>
      <c r="E427" s="333"/>
      <c r="F427" s="333"/>
      <c r="G427" s="335"/>
      <c r="H427" s="335"/>
      <c r="I427" s="335"/>
      <c r="J427" s="384"/>
      <c r="K427" s="384"/>
      <c r="L427" s="342"/>
      <c r="M427" s="342"/>
      <c r="N427" s="335"/>
      <c r="O427" s="335"/>
      <c r="P427" s="335"/>
      <c r="Q427" s="335"/>
      <c r="R427" s="335"/>
      <c r="S427" s="335"/>
      <c r="T427" s="335"/>
      <c r="U427" s="346"/>
    </row>
    <row r="428" spans="1:21" ht="12.75">
      <c r="A428" s="408"/>
      <c r="B428" s="408"/>
      <c r="C428" s="333"/>
      <c r="D428" s="408"/>
      <c r="E428" s="333"/>
      <c r="F428" s="333"/>
      <c r="G428" s="335"/>
      <c r="H428" s="335"/>
      <c r="I428" s="335"/>
      <c r="J428" s="384"/>
      <c r="K428" s="384"/>
      <c r="L428" s="342"/>
      <c r="M428" s="342"/>
      <c r="N428" s="335"/>
      <c r="O428" s="335"/>
      <c r="P428" s="335"/>
      <c r="Q428" s="335"/>
      <c r="R428" s="335"/>
      <c r="S428" s="335"/>
      <c r="T428" s="335"/>
      <c r="U428" s="346"/>
    </row>
    <row r="429" spans="1:21" ht="12.75">
      <c r="A429" s="408"/>
      <c r="B429" s="408"/>
      <c r="C429" s="333"/>
      <c r="D429" s="408"/>
      <c r="E429" s="333"/>
      <c r="F429" s="333"/>
      <c r="G429" s="335"/>
      <c r="H429" s="335"/>
      <c r="I429" s="335"/>
      <c r="J429" s="384"/>
      <c r="K429" s="384"/>
      <c r="L429" s="342"/>
      <c r="M429" s="342"/>
      <c r="N429" s="335"/>
      <c r="O429" s="335"/>
      <c r="P429" s="335"/>
      <c r="Q429" s="335"/>
      <c r="R429" s="335"/>
      <c r="S429" s="335"/>
      <c r="T429" s="335"/>
      <c r="U429" s="346"/>
    </row>
    <row r="430" spans="1:21" ht="12.75">
      <c r="A430" s="335"/>
      <c r="B430" s="335"/>
      <c r="C430" s="335"/>
      <c r="D430" s="335"/>
      <c r="E430" s="335"/>
      <c r="F430" s="335"/>
      <c r="G430" s="335"/>
      <c r="H430" s="335"/>
      <c r="I430" s="335"/>
      <c r="J430" s="384"/>
      <c r="K430" s="384"/>
      <c r="L430" s="387"/>
      <c r="M430" s="387"/>
      <c r="N430" s="335"/>
      <c r="O430" s="335"/>
      <c r="P430" s="335"/>
      <c r="Q430" s="335"/>
      <c r="R430" s="335"/>
      <c r="S430" s="335"/>
      <c r="T430" s="335"/>
      <c r="U430" s="335"/>
    </row>
    <row r="431" spans="1:21" ht="12.75">
      <c r="A431" s="335"/>
      <c r="B431" s="335"/>
      <c r="C431" s="335"/>
      <c r="D431" s="335"/>
      <c r="E431" s="335"/>
      <c r="F431" s="335"/>
      <c r="G431" s="335"/>
      <c r="H431" s="335"/>
      <c r="I431" s="335"/>
      <c r="J431" s="384"/>
      <c r="K431" s="384"/>
      <c r="L431" s="387"/>
      <c r="M431" s="387"/>
      <c r="N431" s="335"/>
      <c r="O431" s="335"/>
      <c r="P431" s="335"/>
      <c r="Q431" s="335"/>
      <c r="R431" s="335"/>
      <c r="S431" s="335"/>
      <c r="T431" s="335"/>
      <c r="U431" s="335"/>
    </row>
    <row r="432" spans="1:21" ht="12.75">
      <c r="A432" s="408"/>
      <c r="B432" s="408"/>
      <c r="C432" s="333"/>
      <c r="D432" s="408"/>
      <c r="E432" s="333"/>
      <c r="F432" s="333"/>
      <c r="G432" s="335"/>
      <c r="H432" s="335"/>
      <c r="I432" s="335"/>
      <c r="J432" s="384"/>
      <c r="K432" s="384"/>
      <c r="L432" s="342"/>
      <c r="M432" s="342"/>
      <c r="N432" s="335"/>
      <c r="O432" s="335"/>
      <c r="P432" s="335"/>
      <c r="Q432" s="335"/>
      <c r="R432" s="335"/>
      <c r="S432" s="335"/>
      <c r="T432" s="335"/>
      <c r="U432" s="346"/>
    </row>
    <row r="433" spans="1:21" ht="12.75">
      <c r="A433" s="335"/>
      <c r="B433" s="335"/>
      <c r="C433" s="335"/>
      <c r="D433" s="335"/>
      <c r="E433" s="335"/>
      <c r="F433" s="335"/>
      <c r="G433" s="335"/>
      <c r="H433" s="335"/>
      <c r="I433" s="335"/>
      <c r="J433" s="384"/>
      <c r="K433" s="384"/>
      <c r="L433" s="387"/>
      <c r="M433" s="387"/>
      <c r="N433" s="335"/>
      <c r="O433" s="335"/>
      <c r="P433" s="335"/>
      <c r="Q433" s="335"/>
      <c r="R433" s="335"/>
      <c r="S433" s="335"/>
      <c r="T433" s="335"/>
      <c r="U433" s="335"/>
    </row>
    <row r="434" spans="1:21" ht="12.75">
      <c r="A434" s="408"/>
      <c r="B434" s="408"/>
      <c r="C434" s="333"/>
      <c r="D434" s="408"/>
      <c r="E434" s="333"/>
      <c r="F434" s="333"/>
      <c r="G434" s="335"/>
      <c r="H434" s="335"/>
      <c r="I434" s="335"/>
      <c r="J434" s="384"/>
      <c r="K434" s="384"/>
      <c r="L434" s="342"/>
      <c r="M434" s="342"/>
      <c r="N434" s="335"/>
      <c r="O434" s="335"/>
      <c r="P434" s="335"/>
      <c r="Q434" s="335"/>
      <c r="R434" s="335"/>
      <c r="S434" s="335"/>
      <c r="T434" s="335"/>
      <c r="U434" s="346"/>
    </row>
    <row r="435" spans="1:21" ht="12.75">
      <c r="A435" s="408"/>
      <c r="B435" s="408"/>
      <c r="C435" s="333"/>
      <c r="D435" s="408"/>
      <c r="E435" s="333"/>
      <c r="F435" s="333"/>
      <c r="G435" s="335"/>
      <c r="H435" s="335"/>
      <c r="I435" s="335"/>
      <c r="J435" s="384"/>
      <c r="K435" s="384"/>
      <c r="L435" s="342"/>
      <c r="M435" s="342"/>
      <c r="N435" s="335"/>
      <c r="O435" s="335"/>
      <c r="P435" s="335"/>
      <c r="Q435" s="335"/>
      <c r="R435" s="335"/>
      <c r="S435" s="335"/>
      <c r="T435" s="335"/>
      <c r="U435" s="346"/>
    </row>
    <row r="436" spans="1:21" ht="12.75">
      <c r="A436" s="408"/>
      <c r="B436" s="408"/>
      <c r="C436" s="333"/>
      <c r="D436" s="408"/>
      <c r="E436" s="333"/>
      <c r="F436" s="333"/>
      <c r="G436" s="335"/>
      <c r="H436" s="335"/>
      <c r="I436" s="335"/>
      <c r="J436" s="384"/>
      <c r="K436" s="384"/>
      <c r="L436" s="342"/>
      <c r="M436" s="342"/>
      <c r="N436" s="335"/>
      <c r="O436" s="335"/>
      <c r="P436" s="335"/>
      <c r="Q436" s="335"/>
      <c r="R436" s="335"/>
      <c r="S436" s="335"/>
      <c r="T436" s="335"/>
      <c r="U436" s="346"/>
    </row>
    <row r="437" spans="1:21" ht="12.75">
      <c r="A437" s="408"/>
      <c r="B437" s="408"/>
      <c r="C437" s="333"/>
      <c r="D437" s="408"/>
      <c r="E437" s="333"/>
      <c r="F437" s="333"/>
      <c r="G437" s="335"/>
      <c r="H437" s="335"/>
      <c r="I437" s="335"/>
      <c r="J437" s="384"/>
      <c r="K437" s="384"/>
      <c r="L437" s="342"/>
      <c r="M437" s="342"/>
      <c r="N437" s="335"/>
      <c r="O437" s="335"/>
      <c r="P437" s="335"/>
      <c r="Q437" s="335"/>
      <c r="R437" s="335"/>
      <c r="S437" s="335"/>
      <c r="T437" s="335"/>
      <c r="U437" s="346"/>
    </row>
  </sheetData>
  <sheetProtection/>
  <mergeCells count="338">
    <mergeCell ref="H2:P2"/>
    <mergeCell ref="M4:U4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2:I22"/>
    <mergeCell ref="G21:I21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1:I51"/>
    <mergeCell ref="G52:I52"/>
    <mergeCell ref="G53:I53"/>
    <mergeCell ref="G50:I50"/>
    <mergeCell ref="G54:I54"/>
    <mergeCell ref="G56:I56"/>
    <mergeCell ref="G57:I57"/>
    <mergeCell ref="G58:I58"/>
    <mergeCell ref="G59:I59"/>
    <mergeCell ref="G60:I60"/>
    <mergeCell ref="G61:I61"/>
    <mergeCell ref="G62:I62"/>
    <mergeCell ref="G64:I6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G74:H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10:I110"/>
    <mergeCell ref="G104:I104"/>
    <mergeCell ref="G105:I105"/>
    <mergeCell ref="G106:I106"/>
    <mergeCell ref="G107:I107"/>
    <mergeCell ref="G108:I108"/>
    <mergeCell ref="G109:I109"/>
    <mergeCell ref="G111:I111"/>
    <mergeCell ref="G112:I112"/>
    <mergeCell ref="G113:I113"/>
    <mergeCell ref="G114:I114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2:I132"/>
    <mergeCell ref="G133:I133"/>
    <mergeCell ref="G134:I134"/>
    <mergeCell ref="G135:I135"/>
    <mergeCell ref="G137:I137"/>
    <mergeCell ref="G138:I138"/>
    <mergeCell ref="G155:I155"/>
    <mergeCell ref="G156:I156"/>
    <mergeCell ref="G157:I157"/>
    <mergeCell ref="G158:I158"/>
    <mergeCell ref="G139:I139"/>
    <mergeCell ref="G141:I141"/>
    <mergeCell ref="G142:I142"/>
    <mergeCell ref="G145:I145"/>
    <mergeCell ref="G146:I146"/>
    <mergeCell ref="G147:I147"/>
    <mergeCell ref="G159:I159"/>
    <mergeCell ref="G161:I161"/>
    <mergeCell ref="G162:I162"/>
    <mergeCell ref="G163:I163"/>
    <mergeCell ref="G165:I165"/>
    <mergeCell ref="G148:I148"/>
    <mergeCell ref="G150:I150"/>
    <mergeCell ref="G151:I151"/>
    <mergeCell ref="G152:I152"/>
    <mergeCell ref="G154:I154"/>
    <mergeCell ref="G166:I166"/>
    <mergeCell ref="G167:I167"/>
    <mergeCell ref="G169:I169"/>
    <mergeCell ref="G170:I170"/>
    <mergeCell ref="G171:I171"/>
    <mergeCell ref="G172:I172"/>
    <mergeCell ref="G173:I173"/>
    <mergeCell ref="G175:I175"/>
    <mergeCell ref="G176:I176"/>
    <mergeCell ref="G177:I177"/>
    <mergeCell ref="G178:I178"/>
    <mergeCell ref="G179:I179"/>
    <mergeCell ref="G180:I180"/>
    <mergeCell ref="G181:I181"/>
    <mergeCell ref="G182:I182"/>
    <mergeCell ref="G183:I183"/>
    <mergeCell ref="G184:I184"/>
    <mergeCell ref="G185:I185"/>
    <mergeCell ref="G187:I187"/>
    <mergeCell ref="G188:I188"/>
    <mergeCell ref="G190:I190"/>
    <mergeCell ref="G191:I191"/>
    <mergeCell ref="G193:I193"/>
    <mergeCell ref="G194:I194"/>
    <mergeCell ref="G195:I195"/>
    <mergeCell ref="G196:I196"/>
    <mergeCell ref="G197:H197"/>
    <mergeCell ref="G199:I199"/>
    <mergeCell ref="G200:I200"/>
    <mergeCell ref="G201:I201"/>
    <mergeCell ref="G202:I202"/>
    <mergeCell ref="G203:I203"/>
    <mergeCell ref="G204:I204"/>
    <mergeCell ref="G205:I205"/>
    <mergeCell ref="G206:I206"/>
    <mergeCell ref="G207:I207"/>
    <mergeCell ref="G208:I208"/>
    <mergeCell ref="G209:I209"/>
    <mergeCell ref="G210:I210"/>
    <mergeCell ref="G211:I211"/>
    <mergeCell ref="G212:I212"/>
    <mergeCell ref="G213:I213"/>
    <mergeCell ref="G214:I214"/>
    <mergeCell ref="G215:I215"/>
    <mergeCell ref="G216:I216"/>
    <mergeCell ref="G222:I222"/>
    <mergeCell ref="G224:I224"/>
    <mergeCell ref="G225:I225"/>
    <mergeCell ref="G226:I226"/>
    <mergeCell ref="G228:I228"/>
    <mergeCell ref="G229:I229"/>
    <mergeCell ref="G230:I230"/>
    <mergeCell ref="G231:I231"/>
    <mergeCell ref="G232:I232"/>
    <mergeCell ref="G233:I233"/>
    <mergeCell ref="G234:I234"/>
    <mergeCell ref="G235:I235"/>
    <mergeCell ref="G236:I236"/>
    <mergeCell ref="G237:I237"/>
    <mergeCell ref="G238:I238"/>
    <mergeCell ref="G239:I239"/>
    <mergeCell ref="G240:H240"/>
    <mergeCell ref="G241:I241"/>
    <mergeCell ref="G242:I242"/>
    <mergeCell ref="G243:I243"/>
    <mergeCell ref="G244:I244"/>
    <mergeCell ref="G245:I245"/>
    <mergeCell ref="G246:I246"/>
    <mergeCell ref="G247:I247"/>
    <mergeCell ref="G248:I248"/>
    <mergeCell ref="G249:I249"/>
    <mergeCell ref="G251:I251"/>
    <mergeCell ref="G252:I252"/>
    <mergeCell ref="G253:I253"/>
    <mergeCell ref="G254:I254"/>
    <mergeCell ref="G255:I255"/>
    <mergeCell ref="G257:I257"/>
    <mergeCell ref="G258:I258"/>
    <mergeCell ref="G259:I259"/>
    <mergeCell ref="G256:I256"/>
    <mergeCell ref="G260:I260"/>
    <mergeCell ref="G262:I262"/>
    <mergeCell ref="G264:I264"/>
    <mergeCell ref="G265:I265"/>
    <mergeCell ref="G266:I266"/>
    <mergeCell ref="G269:H269"/>
    <mergeCell ref="G272:I272"/>
    <mergeCell ref="G273:I273"/>
    <mergeCell ref="G275:I275"/>
    <mergeCell ref="G276:I276"/>
    <mergeCell ref="G277:I277"/>
    <mergeCell ref="G278:I278"/>
    <mergeCell ref="G289:I289"/>
    <mergeCell ref="G290:I290"/>
    <mergeCell ref="G281:I281"/>
    <mergeCell ref="G282:I282"/>
    <mergeCell ref="G283:H283"/>
    <mergeCell ref="G284:I284"/>
    <mergeCell ref="G285:I285"/>
    <mergeCell ref="G287:I287"/>
    <mergeCell ref="G297:I297"/>
    <mergeCell ref="G298:I298"/>
    <mergeCell ref="G299:I299"/>
    <mergeCell ref="G300:I300"/>
    <mergeCell ref="G292:I292"/>
    <mergeCell ref="G293:I293"/>
    <mergeCell ref="G294:H294"/>
    <mergeCell ref="G295:I295"/>
    <mergeCell ref="G296:I296"/>
    <mergeCell ref="G301:I301"/>
    <mergeCell ref="G302:I302"/>
    <mergeCell ref="G303:I303"/>
    <mergeCell ref="G305:I305"/>
    <mergeCell ref="G306:I306"/>
    <mergeCell ref="G304:I304"/>
    <mergeCell ref="G318:I318"/>
    <mergeCell ref="G307:I307"/>
    <mergeCell ref="G308:I308"/>
    <mergeCell ref="G309:I309"/>
    <mergeCell ref="G310:I310"/>
    <mergeCell ref="G311:I311"/>
    <mergeCell ref="G312:I312"/>
    <mergeCell ref="G319:I319"/>
    <mergeCell ref="G321:I321"/>
    <mergeCell ref="G322:I322"/>
    <mergeCell ref="G323:I323"/>
    <mergeCell ref="G324:I324"/>
    <mergeCell ref="G313:I313"/>
    <mergeCell ref="G314:I314"/>
    <mergeCell ref="G315:I315"/>
    <mergeCell ref="G316:I316"/>
    <mergeCell ref="G317:I317"/>
    <mergeCell ref="G325:I325"/>
    <mergeCell ref="G326:I326"/>
    <mergeCell ref="G327:I327"/>
    <mergeCell ref="G328:I328"/>
    <mergeCell ref="G329:I329"/>
    <mergeCell ref="G330:I330"/>
    <mergeCell ref="G331:I331"/>
    <mergeCell ref="G332:I332"/>
    <mergeCell ref="G334:I334"/>
    <mergeCell ref="G335:I335"/>
    <mergeCell ref="G336:I336"/>
    <mergeCell ref="G337:I337"/>
    <mergeCell ref="G338:I338"/>
    <mergeCell ref="G339:I339"/>
    <mergeCell ref="G340:I340"/>
    <mergeCell ref="G341:I341"/>
    <mergeCell ref="G342:I342"/>
    <mergeCell ref="G343:I343"/>
    <mergeCell ref="G344:I344"/>
    <mergeCell ref="G345:I345"/>
    <mergeCell ref="G346:I346"/>
    <mergeCell ref="G347:I347"/>
    <mergeCell ref="G348:I348"/>
    <mergeCell ref="G349:I349"/>
    <mergeCell ref="G350:I350"/>
    <mergeCell ref="G351:I351"/>
    <mergeCell ref="G352:I352"/>
    <mergeCell ref="G353:I353"/>
    <mergeCell ref="G354:I354"/>
    <mergeCell ref="G355:I355"/>
    <mergeCell ref="G356:I356"/>
    <mergeCell ref="G357:I357"/>
    <mergeCell ref="G358:I358"/>
    <mergeCell ref="G359:I359"/>
    <mergeCell ref="G374:I374"/>
    <mergeCell ref="G360:I360"/>
    <mergeCell ref="G361:I361"/>
    <mergeCell ref="G362:I362"/>
    <mergeCell ref="G363:I363"/>
    <mergeCell ref="G365:I365"/>
    <mergeCell ref="G368:I368"/>
    <mergeCell ref="G377:I377"/>
    <mergeCell ref="G379:I379"/>
    <mergeCell ref="G381:I381"/>
    <mergeCell ref="G382:I382"/>
    <mergeCell ref="G378:I378"/>
    <mergeCell ref="G380:I380"/>
    <mergeCell ref="G375:I375"/>
    <mergeCell ref="A389:I393"/>
    <mergeCell ref="G369:I369"/>
    <mergeCell ref="G370:I370"/>
    <mergeCell ref="G371:I371"/>
    <mergeCell ref="G372:H372"/>
    <mergeCell ref="G373:I373"/>
    <mergeCell ref="G383:I383"/>
    <mergeCell ref="G386:I386"/>
    <mergeCell ref="A387:I38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Userr</cp:lastModifiedBy>
  <cp:lastPrinted>2022-05-30T09:09:36Z</cp:lastPrinted>
  <dcterms:created xsi:type="dcterms:W3CDTF">2006-09-18T16:16:27Z</dcterms:created>
  <dcterms:modified xsi:type="dcterms:W3CDTF">2022-05-30T09:10:10Z</dcterms:modified>
  <cp:category/>
  <cp:version/>
  <cp:contentType/>
  <cp:contentStatus/>
</cp:coreProperties>
</file>