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70" firstSheet="2" activeTab="2"/>
  </bookViews>
  <sheets>
    <sheet name="Rashodi-2021" sheetId="1" state="hidden" r:id="rId1"/>
    <sheet name="rash.po nam." sheetId="2" state="hidden" r:id="rId2"/>
    <sheet name="Rashodi-2021(2)Odl." sheetId="3" r:id="rId3"/>
    <sheet name="Prihodi-2021" sheetId="4" state="hidden" r:id="rId4"/>
    <sheet name="prihodi 2" sheetId="5" state="hidden" r:id="rId5"/>
    <sheet name="SUf.i def.- NOVO" sheetId="6" state="hidden" r:id="rId6"/>
    <sheet name="Struktura programa" sheetId="7" state="hidden" r:id="rId7"/>
    <sheet name="Rash.po funkcijama" sheetId="8" state="hidden" r:id="rId8"/>
    <sheet name="Sheet1" sheetId="9" state="hidden" r:id="rId9"/>
  </sheets>
  <externalReferences>
    <externalReference r:id="rId12"/>
    <externalReference r:id="rId13"/>
  </externalReferences>
  <definedNames>
    <definedName name="_xlfn.IFERROR" hidden="1">#NAME?</definedName>
    <definedName name="ljkl">'[1]Расх по функц. '!$F$139</definedName>
    <definedName name="_xlnm.Print_Area" localSheetId="3">'Prihodi-2021'!$A$1:$O$156</definedName>
    <definedName name="_xlnm.Print_Area" localSheetId="1">'rash.po nam.'!$A$1:$J$93</definedName>
    <definedName name="_xlnm.Print_Area" localSheetId="0">'Rashodi-2021'!$A$1:$W$507</definedName>
    <definedName name="_xlnm.Print_Area" localSheetId="2">'Rashodi-2021(2)Odl.'!$A$1:$X$388</definedName>
    <definedName name="_xlnm.Print_Titles" localSheetId="0">'Rashodi-2021'!$6:$6</definedName>
    <definedName name="_xlnm.Print_Titles" localSheetId="2">'Rashodi-2021(2)Odl.'!$6:$6</definedName>
    <definedName name="Ukupno_funkcionalna">'[1]Расх по функц. '!$F$139</definedName>
    <definedName name="Ukupno_izdaci">'[1]По основ. нам.'!$F$86</definedName>
  </definedNames>
  <calcPr fullCalcOnLoad="1"/>
</workbook>
</file>

<file path=xl/sharedStrings.xml><?xml version="1.0" encoding="utf-8"?>
<sst xmlns="http://schemas.openxmlformats.org/spreadsheetml/2006/main" count="2540" uniqueCount="1588">
  <si>
    <t>Програм 5.  Развој пољопривреде</t>
  </si>
  <si>
    <t>Програм 6.  Заштита животне средине</t>
  </si>
  <si>
    <t>Програм 7.  Путна инфраструктура</t>
  </si>
  <si>
    <t>Програм 8.  Предшколско васпитање</t>
  </si>
  <si>
    <t>Програм 9.  Основно образовање</t>
  </si>
  <si>
    <t>Програм 10. Средње образовање</t>
  </si>
  <si>
    <t>Програм 11.  Социјална 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</si>
  <si>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</si>
  <si>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</si>
  <si>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</si>
  <si>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</si>
  <si>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Структ-ура %</t>
  </si>
  <si>
    <t>Сопствени и други приходи</t>
  </si>
  <si>
    <t>Укупна средства</t>
  </si>
  <si>
    <t>1</t>
  </si>
  <si>
    <t>Средства из буџета</t>
  </si>
  <si>
    <t>01</t>
  </si>
  <si>
    <t>Mатеријал за потребе одбране</t>
  </si>
  <si>
    <t>04</t>
  </si>
  <si>
    <t>07</t>
  </si>
  <si>
    <t>06</t>
  </si>
  <si>
    <t>090</t>
  </si>
  <si>
    <t>040</t>
  </si>
  <si>
    <t>Број конта</t>
  </si>
  <si>
    <t>В Р С Т А   Р А С Х О Д А</t>
  </si>
  <si>
    <t>УКУПНО</t>
  </si>
  <si>
    <t>РАСХОДИ ЗА ЗАПОСЛЕНЕ</t>
  </si>
  <si>
    <t>Плате и додаци запослених</t>
  </si>
  <si>
    <t>Социјални доприноси</t>
  </si>
  <si>
    <t>Накнаде у натури</t>
  </si>
  <si>
    <t>Социјална давања запосленима</t>
  </si>
  <si>
    <t>Накнаде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</si>
  <si>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</si>
  <si>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</si>
  <si>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</si>
  <si>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</si>
  <si>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</si>
  <si>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попр.и одрж.(усл.и матер).</t>
  </si>
  <si>
    <t>Материјал</t>
  </si>
  <si>
    <t>Употреба основних средстава</t>
  </si>
  <si>
    <t>ОТПЛАТА КАМАТА</t>
  </si>
  <si>
    <t>Отплата домаћих камата</t>
  </si>
  <si>
    <t>ДОНАЦИЈЕ  И  ТРАНСФЕРИ</t>
  </si>
  <si>
    <t>Трансф. осталим нивоима власти</t>
  </si>
  <si>
    <t>Накнаде за социјалну заштиту</t>
  </si>
  <si>
    <t>ОСТАЛИ РАСХОДИ</t>
  </si>
  <si>
    <t>Дотације невладином организац.</t>
  </si>
  <si>
    <t>Порези,обав.таксе и казне</t>
  </si>
  <si>
    <t>Средства резерве</t>
  </si>
  <si>
    <t>ОСНОВНА СРЕДСТВА</t>
  </si>
  <si>
    <t>Зграде и грађевински објекти</t>
  </si>
  <si>
    <t>Машина и опрема</t>
  </si>
  <si>
    <t>731+732</t>
  </si>
  <si>
    <t>48+49</t>
  </si>
  <si>
    <t>група конта</t>
  </si>
  <si>
    <t>ВРСТА ПРИХОДА</t>
  </si>
  <si>
    <t>Приходи Буџета                                               извор финансирања: 01</t>
  </si>
  <si>
    <t>Порези</t>
  </si>
  <si>
    <t>Донације и трансфери</t>
  </si>
  <si>
    <t>Други приходи</t>
  </si>
  <si>
    <t>Сопствени приходи корисника                        извор финансирања: 04</t>
  </si>
  <si>
    <t>Донације и трансфери од међунар.организације                                       извор финансирања: 06</t>
  </si>
  <si>
    <t>Донације и трасфери                                       извор финансирања: 07</t>
  </si>
  <si>
    <t xml:space="preserve">Донације и трасфери </t>
  </si>
  <si>
    <t>УКУПНО ЗА ИЗВОР 01:</t>
  </si>
  <si>
    <t>УКУПНО ЗА ИЗВОР 04:</t>
  </si>
  <si>
    <t>УКУПНО ЗА ИЗВОР 06:</t>
  </si>
  <si>
    <t>УКУПНО ЗА ИЗВОР 07:</t>
  </si>
  <si>
    <t>760</t>
  </si>
  <si>
    <t>980</t>
  </si>
  <si>
    <t>АДМИНИСТ. ТРАНСФ. ИЗ БУЏЕТА</t>
  </si>
  <si>
    <t>ПРАВА ИЗ СОЦ. ОСИГУРАЊА</t>
  </si>
  <si>
    <t>Новч.казне по реш. судова</t>
  </si>
  <si>
    <t>1.1</t>
  </si>
  <si>
    <t>Земљиште</t>
  </si>
  <si>
    <t>Накн.штете нанете од стране држ.орг.</t>
  </si>
  <si>
    <t>130</t>
  </si>
  <si>
    <t>О П И С</t>
  </si>
  <si>
    <t>СКУПШТИНА ОПШТИНЕ</t>
  </si>
  <si>
    <t>Социјални доприноси на терет послодавца</t>
  </si>
  <si>
    <t>Дотације невладиним организ.-политичке странке</t>
  </si>
  <si>
    <t xml:space="preserve">ПРЕДСЕДНИК ОПШТИНЕ </t>
  </si>
  <si>
    <t>Порези, обавезне таксе и казне</t>
  </si>
  <si>
    <t>Машине и опрема</t>
  </si>
  <si>
    <t>Стална резерва</t>
  </si>
  <si>
    <t>Текућа резерва</t>
  </si>
  <si>
    <t>ОПШТИНСКО ВЕЋЕ</t>
  </si>
  <si>
    <t>Услуге по уговору-за унапређивање родне равноправности</t>
  </si>
  <si>
    <t>Услуге јавног здравства</t>
  </si>
  <si>
    <t>ОПШТИНСКА УПРАВА</t>
  </si>
  <si>
    <t>Опште услуге</t>
  </si>
  <si>
    <t>Текуће поправке и одржавање</t>
  </si>
  <si>
    <t>Новчане казне и пенали</t>
  </si>
  <si>
    <t>Накнада штете нанете од стране државних органа</t>
  </si>
  <si>
    <t>Породица и деца</t>
  </si>
  <si>
    <t>ПУ "РАДОСТ"</t>
  </si>
  <si>
    <t>Предшколско образовање</t>
  </si>
  <si>
    <t>Основно образовање</t>
  </si>
  <si>
    <t>413 Накнаде у натури</t>
  </si>
  <si>
    <t>415 Накнаде за запослене</t>
  </si>
  <si>
    <t>421 Стални трошкови</t>
  </si>
  <si>
    <t>422 Трошкови путовања ученика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</si>
  <si>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</si>
  <si>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</si>
  <si>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</si>
  <si>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</si>
  <si>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>482 Порези, обавезне таксе и казне</t>
  </si>
  <si>
    <t>512 Машине и опрема</t>
  </si>
  <si>
    <t xml:space="preserve">Средње образовање </t>
  </si>
  <si>
    <t>415 Накнада за запослене</t>
  </si>
  <si>
    <t>Образовање некласификовано на другом месту</t>
  </si>
  <si>
    <t>Социјална заштита некласификована на другом месту</t>
  </si>
  <si>
    <t>411 Плате и додаци запослених</t>
  </si>
  <si>
    <t>412 Социјални доприноси на терет послодавца</t>
  </si>
  <si>
    <t>Зграде и грађ.објекти</t>
  </si>
  <si>
    <t>Стамбени развој</t>
  </si>
  <si>
    <t>Развој заједнице</t>
  </si>
  <si>
    <t>МЕСНЕ ЗАЈЕДНИЦЕ</t>
  </si>
  <si>
    <t>МЗ ЧОКА</t>
  </si>
  <si>
    <t>Остале делатности</t>
  </si>
  <si>
    <t>МЗ ПАДЕЈ</t>
  </si>
  <si>
    <t>Текуће поправке објеката</t>
  </si>
  <si>
    <t>Дотације осталим непроф.институцијама</t>
  </si>
  <si>
    <t>МЗ ОСТОЈИЋЕВО</t>
  </si>
  <si>
    <t>МЗ САНАД</t>
  </si>
  <si>
    <t>МЗ ЦРНА БАРА</t>
  </si>
  <si>
    <t>МЗ ВРБИЦА</t>
  </si>
  <si>
    <t>МЗ ЈАЗОВО</t>
  </si>
  <si>
    <t xml:space="preserve">Стални трошкови </t>
  </si>
  <si>
    <t>УКУПНО:</t>
  </si>
  <si>
    <t>РАЗДЕО</t>
  </si>
  <si>
    <t>ГЛАВА</t>
  </si>
  <si>
    <t>ФУНКЦИЈА</t>
  </si>
  <si>
    <t>Екон. класиф.</t>
  </si>
  <si>
    <t>Општина Чока</t>
  </si>
  <si>
    <t>Општинска управа</t>
  </si>
  <si>
    <t>ИЗВОР Ф.</t>
  </si>
  <si>
    <t>КЛАСА</t>
  </si>
  <si>
    <t>ГРУПА</t>
  </si>
  <si>
    <t>СИНТЕТИКА</t>
  </si>
  <si>
    <t>АНАЛИТ.</t>
  </si>
  <si>
    <t>СУБАНА</t>
  </si>
  <si>
    <t>ОПИС</t>
  </si>
  <si>
    <t>Приходи из буџета</t>
  </si>
  <si>
    <t>ТЕКУЋИ ПРИХОДИ</t>
  </si>
  <si>
    <t>ПОРЕЗ НА ДОХОДАК, ДОБИТ И КАПИТАЛНЕ ДОБИТКЕ</t>
  </si>
  <si>
    <t>Порези на доходак и капиталне добитке које плаћају физичка лица</t>
  </si>
  <si>
    <t>Порез на зараде</t>
  </si>
  <si>
    <t>ПОРЕЗ НА ФОНД ЗАРАДА</t>
  </si>
  <si>
    <t>Порез на фонд зарада</t>
  </si>
  <si>
    <t>ПОРЕЗ НА ИМОВИНУ</t>
  </si>
  <si>
    <t>Периодични порези на непокретности</t>
  </si>
  <si>
    <t>Порези на наслеђе и поклон</t>
  </si>
  <si>
    <t>Порез на наслеђе и поклон</t>
  </si>
  <si>
    <t>Порези на финансијске и капиталне трансакције</t>
  </si>
  <si>
    <t>ПОРЕЗ НА ДОБРА И УСЛУГЕ</t>
  </si>
  <si>
    <t>Порези на појединачне услуге</t>
  </si>
  <si>
    <t>Комунална такса за коришћење рекламних паноа</t>
  </si>
  <si>
    <t>Средства за противпожарну заштиту</t>
  </si>
  <si>
    <t>Порези на употребу добара и на дозволу да се добра употребљавају или делатности обав.</t>
  </si>
  <si>
    <t>Накнада за коришћење добара од општег интереса</t>
  </si>
  <si>
    <t>ДРУГИ ПОРЕЗИ</t>
  </si>
  <si>
    <t>Други порези које искључиво плаћају предузећа, односно предузетници</t>
  </si>
  <si>
    <t>ТРАНСФЕРИ ОД ДРУГИХ НИВОА ВЛАСТИ</t>
  </si>
  <si>
    <t>Текући трансфери од других нивоа власти</t>
  </si>
  <si>
    <t>Дотације орг. из области заштите животне средине</t>
  </si>
  <si>
    <t xml:space="preserve">ПРОГРАМ 3: ЛОКАЛНИ ЕКОНОМСКИ РАЗВОЈ
</t>
  </si>
  <si>
    <t>Дотације орг.за локални економски развој</t>
  </si>
  <si>
    <t>Економски посл.некласиф.на другом месту</t>
  </si>
  <si>
    <t>Учешће капитала у дом.нефим.јавним пред,</t>
  </si>
  <si>
    <t>Услуге културе</t>
  </si>
  <si>
    <t>Услуге рекреације и спорта</t>
  </si>
  <si>
    <t>Улична расвета</t>
  </si>
  <si>
    <t>Ненаменски трансфер од АП Војводина у корист нивоа општина</t>
  </si>
  <si>
    <t>ПРИХОДИ ОД ИМОВИНЕ</t>
  </si>
  <si>
    <t>Камате</t>
  </si>
  <si>
    <t>Закуп непроизведене имовине</t>
  </si>
  <si>
    <t>Накнада за коришћење минералних сировина</t>
  </si>
  <si>
    <t>Накнада за коришћење простора и грађевинског земљишта</t>
  </si>
  <si>
    <t>ПРИХОДИ ОД ПРОДАЈЕ ДОБАРА И УСЛУГА</t>
  </si>
  <si>
    <t>Таксе</t>
  </si>
  <si>
    <t>НОВЧАНЕ КАЗНЕ И ОДУЗЕТА ИМОВИНСКА КОРИСТ</t>
  </si>
  <si>
    <t>Приходи од новчаних казни за прекршаје</t>
  </si>
  <si>
    <t>Приходи од новчаних казни за прекршаје у корист нивоа општина</t>
  </si>
  <si>
    <t>ДОБРОВОЉНИ ТРАНСФЕРИ ОД ФИЗИЧКИХ И ПРАВНИХ ЛИЦА</t>
  </si>
  <si>
    <t>Текући добровољни трансфери од физичких и правних лица</t>
  </si>
  <si>
    <t>Текући добровољни трансфери од физичких и правних лица у корист нивоа општина</t>
  </si>
  <si>
    <t>Капит.добровољни трансф.од физич.и прав.лица</t>
  </si>
  <si>
    <t>МЕШОВИТИ И НЕОДРЕЂЕНИ ПРИХОДИ</t>
  </si>
  <si>
    <t>Мешовити и неодређени приходи</t>
  </si>
  <si>
    <t>Примања од продаје домаћих акција и осталог капитала</t>
  </si>
  <si>
    <t>Примања од продаје домаћих акција и осталог капитала у корист нивоа општина</t>
  </si>
  <si>
    <t xml:space="preserve">Сопствени приходи </t>
  </si>
  <si>
    <t>Донације од међународних организација</t>
  </si>
  <si>
    <t>ДОНАЦИЈЕ ОД МЕЂУНАРОДНИХ ОРГАНИЗАЦИЈА</t>
  </si>
  <si>
    <t>Донације од осталих нивоа власти</t>
  </si>
  <si>
    <t>УКУПНО ЗА ИЗВОР 01-ПРИХОДИ ИЗ БУЏЕТА</t>
  </si>
  <si>
    <t>УКУПНО ЗА ИЗВОР 04</t>
  </si>
  <si>
    <t>УКУПНО ЗА ИЗВОР 06</t>
  </si>
  <si>
    <t>УКУПНО ЗА ИЗВОР 07</t>
  </si>
  <si>
    <t>Награде запосленима</t>
  </si>
  <si>
    <t>416 Награде запосленима</t>
  </si>
  <si>
    <t xml:space="preserve">Социјална давања запосленима- отпремнине                  </t>
  </si>
  <si>
    <t>Социјална давања</t>
  </si>
  <si>
    <t>Набавка пољопривредног земљишта</t>
  </si>
  <si>
    <t>Порез на приходе од осигурања лица</t>
  </si>
  <si>
    <t>Приходи општинских органа управе</t>
  </si>
  <si>
    <t>Споредне продаје добара и услуга које врше државне нетржишне јединице</t>
  </si>
  <si>
    <t>Приходи од новчаних казни за саобраћајне прекршаје</t>
  </si>
  <si>
    <t>Нематеријална имовина (књиге)</t>
  </si>
  <si>
    <t xml:space="preserve">422 Трошкови путовања </t>
  </si>
  <si>
    <t xml:space="preserve">Пољопривреда </t>
  </si>
  <si>
    <t>Пратећи трошкови задуживања</t>
  </si>
  <si>
    <t>Остале дотације и трансфери</t>
  </si>
  <si>
    <t>Култивисана имовина</t>
  </si>
  <si>
    <t>Нематеријална имовина</t>
  </si>
  <si>
    <r>
      <t>К</t>
    </r>
    <r>
      <rPr>
        <i/>
        <sz val="10"/>
        <color indexed="8"/>
        <rFont val="Arial"/>
        <family val="2"/>
      </rPr>
      <t>апит.добровољни трансф.од физич.и прав.лица</t>
    </r>
  </si>
  <si>
    <t>ДОБРОВ.ТАНСФЕРИ ОД ФИЗИЧКИХ И ПРАВНИХ ЛИЦА</t>
  </si>
  <si>
    <t>Порези, обавезне таксе и казне (по програму)</t>
  </si>
  <si>
    <t>Стални трошкови (по програму)</t>
  </si>
  <si>
    <t>414 Социјална давања запосленима</t>
  </si>
  <si>
    <t>511 Зграде и грађ.објекти</t>
  </si>
  <si>
    <t>Пројекат:  Сред.за решавање стамб.потреба и др.програме за интеграцију избеглица</t>
  </si>
  <si>
    <t>13</t>
  </si>
  <si>
    <t>УКУПНО ЗА ИЗВОР 13</t>
  </si>
  <si>
    <t>Нераспоређени вишак прихода 
из ранијих година</t>
  </si>
  <si>
    <t>Неутрошена средства донација
 из претх.година</t>
  </si>
  <si>
    <t>Нераспоређени вишак прихода и примања из ранијих година</t>
  </si>
  <si>
    <t>ОБРАЧУН СУФИЦИТА / ДЕФИЦИТА СА РАЧУНОМ ФИНАНСИРАЊА</t>
  </si>
  <si>
    <t>Образац 3.</t>
  </si>
  <si>
    <t>Опис</t>
  </si>
  <si>
    <t>Износ</t>
  </si>
  <si>
    <t>А. РАЧУН ПРИХОДА И ПРИМАЊА, РАСХОДА И ИЗДАТАКА</t>
  </si>
  <si>
    <t>1. Укупни приходи и примања од продаје нефинансијске имовине (кл. 7+8)</t>
  </si>
  <si>
    <t>1.1. ТЕКУЋИ ПРИХОДИ (класа 7)  у чему:</t>
  </si>
  <si>
    <t>1.2. ПРИМАЊА ОД ПРОДАЈЕ НЕФИНАНСИЈСКЕ ИМОВИНЕ (класа 8)</t>
  </si>
  <si>
    <t>2. Укупни расходи и издаци за набавку нефинансијске имовине (кл. 4+5)</t>
  </si>
  <si>
    <t>2.1. ТЕКУЋИ РАСХОДИ (класа 4) у чему:</t>
  </si>
  <si>
    <t>2.2. ИЗДАЦИ ЗА НАБАВКУ НЕФИНАНСИЈСКЕ ИМОВИНЕ (класа 5) у чему:</t>
  </si>
  <si>
    <t>БУЏЕТСКИ СУФИЦИТ / ДЕФИЦИТ (кл. 7+8) - (кл. 4+5)</t>
  </si>
  <si>
    <t>Издаци за набавку финансијске имовине (у циљу спровођења јавних политика) категорија 62</t>
  </si>
  <si>
    <t>Примања од продаје финансијске имовине (категорија 92 осим 9211, 9221, 9219, 9227, 9228)</t>
  </si>
  <si>
    <t>УКУПАН ФИСКАЛНИ СУФИЦИТ / ДЕФИЦИТ (7+8) - (4+5) +(92-62)</t>
  </si>
  <si>
    <t>Б. РАЧУН ФИНАНСИРАЊА</t>
  </si>
  <si>
    <t>Неутрошена средства из претходних година</t>
  </si>
  <si>
    <t>НЕТО ФИНАНСИРАЊЕ</t>
  </si>
  <si>
    <t>Шифра  економ.
класифик.</t>
  </si>
  <si>
    <t>Порески приходи</t>
  </si>
  <si>
    <t>1.</t>
  </si>
  <si>
    <t>Порези на доходак, добит и капит.добитке</t>
  </si>
  <si>
    <t>Порези на имовину</t>
  </si>
  <si>
    <t>1.3</t>
  </si>
  <si>
    <t>Порези на добра и услуге</t>
  </si>
  <si>
    <t>1.4</t>
  </si>
  <si>
    <t>Други порези</t>
  </si>
  <si>
    <t>2.</t>
  </si>
  <si>
    <t>Непорески приходи</t>
  </si>
  <si>
    <t>Од тога наплаћене камате</t>
  </si>
  <si>
    <t>3.</t>
  </si>
  <si>
    <t>Донације</t>
  </si>
  <si>
    <t xml:space="preserve">4. </t>
  </si>
  <si>
    <t>Трансфери</t>
  </si>
  <si>
    <t>Расходи за запослене</t>
  </si>
  <si>
    <t>Коришћење роба и услуга</t>
  </si>
  <si>
    <t>Отплата камата</t>
  </si>
  <si>
    <t>4.</t>
  </si>
  <si>
    <t>Субвенције</t>
  </si>
  <si>
    <t>5.</t>
  </si>
  <si>
    <t>Права из социј.осигурања</t>
  </si>
  <si>
    <t>6.</t>
  </si>
  <si>
    <t>Остали расходи</t>
  </si>
  <si>
    <t>7.</t>
  </si>
  <si>
    <t>8.</t>
  </si>
  <si>
    <t>7+8</t>
  </si>
  <si>
    <t>4+5</t>
  </si>
  <si>
    <t xml:space="preserve">Примања од задуживања </t>
  </si>
  <si>
    <t xml:space="preserve">Издаци за отплату главнице дуга </t>
  </si>
  <si>
    <t>Машине и опрема - за потребе одбране</t>
  </si>
  <si>
    <t>160</t>
  </si>
  <si>
    <t xml:space="preserve">КУЛТУРНО-ОБРАЗОВНИ ЦЕНТАР ЧОКА                  </t>
  </si>
  <si>
    <t>Остале тек.дот. по закону-испл.за инвалиде</t>
  </si>
  <si>
    <t>050</t>
  </si>
  <si>
    <t>Позиција - МТ</t>
  </si>
  <si>
    <t>Програмска 
класификација</t>
  </si>
  <si>
    <t>0602</t>
  </si>
  <si>
    <t>ПРОГРАМ 15 ЛОКАЛНА САМОУПРАВА</t>
  </si>
  <si>
    <t>0602-0001</t>
  </si>
  <si>
    <t>0602-0010</t>
  </si>
  <si>
    <t>2001-0001</t>
  </si>
  <si>
    <t>2002-0001</t>
  </si>
  <si>
    <t>2003</t>
  </si>
  <si>
    <t>2002</t>
  </si>
  <si>
    <t>2001</t>
  </si>
  <si>
    <t>2003-0001</t>
  </si>
  <si>
    <t>1201</t>
  </si>
  <si>
    <t>1201-0001</t>
  </si>
  <si>
    <t>0901</t>
  </si>
  <si>
    <t>0901-0001</t>
  </si>
  <si>
    <t>ПРОГРАМ 11 СОЦИЈАЛНА И ДЕЧИЈА ЗАШТИТА</t>
  </si>
  <si>
    <t>1801</t>
  </si>
  <si>
    <t>1801-0001</t>
  </si>
  <si>
    <t>1101</t>
  </si>
  <si>
    <t>0602-0002</t>
  </si>
  <si>
    <t>0901-0005</t>
  </si>
  <si>
    <t>423</t>
  </si>
  <si>
    <t>0901-0006</t>
  </si>
  <si>
    <t>1301</t>
  </si>
  <si>
    <t>ПРОГРАМ 14 РАЗВОЈ СПОРТА И ОМЛАДИНЕ</t>
  </si>
  <si>
    <t>1301-0001</t>
  </si>
  <si>
    <t>1201-0002</t>
  </si>
  <si>
    <t>0101</t>
  </si>
  <si>
    <t>0101-0001</t>
  </si>
  <si>
    <t>0101-0002</t>
  </si>
  <si>
    <t>ПРОГРАМ 6: ЗАШТИТА ЖИВОТНЕ СРЕДИНЕ</t>
  </si>
  <si>
    <t>0401</t>
  </si>
  <si>
    <t>0401-0001</t>
  </si>
  <si>
    <t>1101-0001</t>
  </si>
  <si>
    <t>0701</t>
  </si>
  <si>
    <t>0701-0002</t>
  </si>
  <si>
    <t>ПРОГРАМ 2: КОМУНАЛНА ДЕЛАТНОСТ</t>
  </si>
  <si>
    <t xml:space="preserve">Функционисање локалне самоуправе </t>
  </si>
  <si>
    <t>Функционисање основних школа</t>
  </si>
  <si>
    <t>Функционисање средњих школа</t>
  </si>
  <si>
    <t>Функционисање локалних установа културе</t>
  </si>
  <si>
    <t>Подршка локалним спортским организацијама, удружењима и савезима</t>
  </si>
  <si>
    <t>Функционисање установа примарне здравствене заштите</t>
  </si>
  <si>
    <t>Управљање комуналним отпадом</t>
  </si>
  <si>
    <t>Водоснабдевање</t>
  </si>
  <si>
    <t xml:space="preserve">Пројекат:  Подршка спровођењу пројеката локалне самоуптаве, НВО, привредних и друштвених организација </t>
  </si>
  <si>
    <t>3</t>
  </si>
  <si>
    <t>4</t>
  </si>
  <si>
    <t>Заштита животне средине некласификована на другом месту</t>
  </si>
  <si>
    <t>ЗДРАВСТВО</t>
  </si>
  <si>
    <t>Фармацеутски производи</t>
  </si>
  <si>
    <t>Остали медицински производи</t>
  </si>
  <si>
    <t>Терапеутска помагала и опрема</t>
  </si>
  <si>
    <t>Опште медицинске услуге</t>
  </si>
  <si>
    <t>Специјализоване медицинске услуге</t>
  </si>
  <si>
    <t>Стоматолошке услуге</t>
  </si>
  <si>
    <t>Парамедицинске услуге</t>
  </si>
  <si>
    <t>Опште болничке услуге</t>
  </si>
  <si>
    <t>Специјализоване болничке услуге</t>
  </si>
  <si>
    <t>Услуге медицинских центара и породилишта</t>
  </si>
  <si>
    <t>РЕКРЕАЦИЈА, СПОРТ, КУЛТУРА И ВЕРЕ</t>
  </si>
  <si>
    <t>Рекреација, спорт, култура и вере, некласификовано на другом месту</t>
  </si>
  <si>
    <t>ОБРАЗОВАЊЕ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</si>
  <si>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</si>
  <si>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</si>
  <si>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</si>
  <si>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Основно образовање са средњом школом и домом ученика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</si>
  <si>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</si>
  <si>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</si>
  <si>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</si>
  <si>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</si>
  <si>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</si>
  <si>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 - први степен</t>
  </si>
  <si>
    <t>СОЦИЈАЛНА ЗАШТИТА</t>
  </si>
  <si>
    <t>ОПШТЕ ЈАВНЕ УСЛУГЕ</t>
  </si>
  <si>
    <t>Извршни и законодавни органи</t>
  </si>
  <si>
    <t>Финансијски и фискални послови</t>
  </si>
  <si>
    <t>Спољни послови</t>
  </si>
  <si>
    <t>Економска помоћ земљама у развоју и земљама у транзицији</t>
  </si>
  <si>
    <t>Економска помоћ преко међународних организација</t>
  </si>
  <si>
    <t>Опште кадровске услуге</t>
  </si>
  <si>
    <t>Опште услуге планирања и статистике</t>
  </si>
  <si>
    <t>Остале опште услуге</t>
  </si>
  <si>
    <t>Трансфери општег карактера између различитих нивоа власти</t>
  </si>
  <si>
    <t>ЈАВНИ РЕД И БЕЗБЕДНОСТ</t>
  </si>
  <si>
    <t>ЕКОНОМСКИ ПОСЛОВИ</t>
  </si>
  <si>
    <t>Општи економски и комерцијални послови</t>
  </si>
  <si>
    <t>Општи послови по питању рада</t>
  </si>
  <si>
    <t>Пољопривреда</t>
  </si>
  <si>
    <t>Шумарство</t>
  </si>
  <si>
    <t>Лов и риболов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</si>
  <si>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</si>
  <si>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</si>
  <si>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</si>
  <si>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</si>
  <si>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</si>
  <si>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Остала енергија</t>
  </si>
  <si>
    <t>Ископавање минералних ресурса, изузев минералних горива</t>
  </si>
  <si>
    <t>Производња</t>
  </si>
  <si>
    <t>Изградња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</si>
  <si>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</si>
  <si>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</si>
  <si>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</si>
  <si>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</si>
  <si>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</si>
  <si>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</si>
  <si>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</si>
  <si>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</si>
  <si>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</si>
  <si>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Истраживање и развој - Општи економски и комерцијални послови и послови по питању рада</t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</si>
  <si>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</si>
  <si>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</si>
  <si>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</si>
  <si>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</si>
  <si>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</si>
  <si>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</si>
  <si>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Економски послови некласификовани на другом месту</t>
  </si>
  <si>
    <t>ЗАШТИТА ЖИВОТНЕ СРЕДИНЕ</t>
  </si>
  <si>
    <t>912</t>
  </si>
  <si>
    <t>Средства из осталих извора</t>
  </si>
  <si>
    <t>Структура         %</t>
  </si>
  <si>
    <t>410</t>
  </si>
  <si>
    <t>420</t>
  </si>
  <si>
    <t>421</t>
  </si>
  <si>
    <t>430</t>
  </si>
  <si>
    <t>440</t>
  </si>
  <si>
    <t>450</t>
  </si>
  <si>
    <t>460</t>
  </si>
  <si>
    <t>470</t>
  </si>
  <si>
    <t>480</t>
  </si>
  <si>
    <t>510</t>
  </si>
  <si>
    <t>540</t>
  </si>
  <si>
    <t>610</t>
  </si>
  <si>
    <t>620</t>
  </si>
  <si>
    <t>452</t>
  </si>
  <si>
    <t xml:space="preserve">       ОПШТИ ДЕО  -   ФУНКЦИОНАЛНА КЛАСИФИКАЦИЈА РАСХОДА</t>
  </si>
  <si>
    <t>Функциje</t>
  </si>
  <si>
    <t xml:space="preserve">Функционална класификација </t>
  </si>
  <si>
    <t>010</t>
  </si>
  <si>
    <t>Болест и инвалидност;</t>
  </si>
  <si>
    <t>020</t>
  </si>
  <si>
    <t>Старост;</t>
  </si>
  <si>
    <t>030</t>
  </si>
  <si>
    <t>Корисници породичне пензије;</t>
  </si>
  <si>
    <t>Породица и деца;</t>
  </si>
  <si>
    <t>Незапосленост;</t>
  </si>
  <si>
    <t>060</t>
  </si>
  <si>
    <t>Становање;</t>
  </si>
  <si>
    <t>070</t>
  </si>
  <si>
    <t>Социјална помоћ угроженом становништву некласификована на другом месту;</t>
  </si>
  <si>
    <t>080</t>
  </si>
  <si>
    <t>Социјална заштита - истраживање и развој;</t>
  </si>
  <si>
    <t>100</t>
  </si>
  <si>
    <t>110</t>
  </si>
  <si>
    <t>Извршни и законодавни органи, финансијски и фискални послови и спољни послови;</t>
  </si>
  <si>
    <t>111</t>
  </si>
  <si>
    <t>112</t>
  </si>
  <si>
    <t>113</t>
  </si>
  <si>
    <t>120</t>
  </si>
  <si>
    <t>Економска помоћ иностранству;</t>
  </si>
  <si>
    <t>121</t>
  </si>
  <si>
    <t>122</t>
  </si>
  <si>
    <t>Опште услуге;</t>
  </si>
  <si>
    <t>131</t>
  </si>
  <si>
    <t>132</t>
  </si>
  <si>
    <t>133</t>
  </si>
  <si>
    <t>140</t>
  </si>
  <si>
    <t>Основно истраживање;</t>
  </si>
  <si>
    <t>150</t>
  </si>
  <si>
    <t>Опште јавне услуге - истраживање и развој;</t>
  </si>
  <si>
    <t>Опште јавне услуге некласификоване на другом месту;</t>
  </si>
  <si>
    <t>170</t>
  </si>
  <si>
    <t>Трансакције јавног дуга;</t>
  </si>
  <si>
    <t>180</t>
  </si>
  <si>
    <t>300</t>
  </si>
  <si>
    <t>310</t>
  </si>
  <si>
    <t>Услуге полиције;</t>
  </si>
  <si>
    <t>320</t>
  </si>
  <si>
    <t>Услуге противпожарне заштите;</t>
  </si>
  <si>
    <t>330</t>
  </si>
  <si>
    <t>Судови;</t>
  </si>
  <si>
    <t>340</t>
  </si>
  <si>
    <t>Затвори;</t>
  </si>
  <si>
    <t>350</t>
  </si>
  <si>
    <t>Јавни ред и безбедност - истраживање и развој;</t>
  </si>
  <si>
    <t>360</t>
  </si>
  <si>
    <t>Јавни ред и безбедност некласификован на другом месту</t>
  </si>
  <si>
    <t>400</t>
  </si>
  <si>
    <t>Општи економски и комерцијални послови и послови по питању рада;</t>
  </si>
  <si>
    <t>411</t>
  </si>
  <si>
    <t>412</t>
  </si>
  <si>
    <t>Пољопривреда, шумарство, лов и риболов;</t>
  </si>
  <si>
    <t>422</t>
  </si>
  <si>
    <t>Гориво и енергија;</t>
  </si>
  <si>
    <t>431</t>
  </si>
  <si>
    <t>432</t>
  </si>
  <si>
    <t>433</t>
  </si>
  <si>
    <t>434</t>
  </si>
  <si>
    <t>435</t>
  </si>
  <si>
    <t>436</t>
  </si>
  <si>
    <t>Рударство, производња и изградња;</t>
  </si>
  <si>
    <t>441</t>
  </si>
  <si>
    <t>442</t>
  </si>
  <si>
    <t>443</t>
  </si>
  <si>
    <t>Саобраћај;</t>
  </si>
  <si>
    <t>451</t>
  </si>
  <si>
    <t>453</t>
  </si>
  <si>
    <t>454</t>
  </si>
  <si>
    <t>455</t>
  </si>
  <si>
    <t>Комуникације;</t>
  </si>
  <si>
    <t>Остале делатности;</t>
  </si>
  <si>
    <t>471</t>
  </si>
  <si>
    <t>472</t>
  </si>
  <si>
    <t>473</t>
  </si>
  <si>
    <t>474</t>
  </si>
  <si>
    <t>Економски послови - истраживање и развој;</t>
  </si>
  <si>
    <t>481</t>
  </si>
  <si>
    <t>482</t>
  </si>
  <si>
    <t>483</t>
  </si>
  <si>
    <t>484</t>
  </si>
  <si>
    <t>485</t>
  </si>
  <si>
    <t>486</t>
  </si>
  <si>
    <t>487</t>
  </si>
  <si>
    <t>490</t>
  </si>
  <si>
    <t>500</t>
  </si>
  <si>
    <t>Управљање отпадом;</t>
  </si>
  <si>
    <t>530</t>
  </si>
  <si>
    <t>Смањење загађености;</t>
  </si>
  <si>
    <t>Заштита биљног и животињског света и крајолика;</t>
  </si>
  <si>
    <t>550</t>
  </si>
  <si>
    <t>Заштита животне средине - истраживање и развој;</t>
  </si>
  <si>
    <t>560</t>
  </si>
  <si>
    <t>600</t>
  </si>
  <si>
    <t>ПОСЛОВИ СТАНОВАЊА И ЗАЈЕДНИЦЕ</t>
  </si>
  <si>
    <t>Стамбени развој;</t>
  </si>
  <si>
    <t>Развој заједнице;</t>
  </si>
  <si>
    <t>630</t>
  </si>
  <si>
    <t>Водоснабдевање;</t>
  </si>
  <si>
    <t>640</t>
  </si>
  <si>
    <t>Улична расвета;</t>
  </si>
  <si>
    <t>650</t>
  </si>
  <si>
    <t>Послови становања и заједнице - истраживање и развој;</t>
  </si>
  <si>
    <t>710</t>
  </si>
  <si>
    <t>Медицински производи, помагала и опрема;</t>
  </si>
  <si>
    <t>711</t>
  </si>
  <si>
    <t>712</t>
  </si>
  <si>
    <t>713</t>
  </si>
  <si>
    <t>720</t>
  </si>
  <si>
    <t>Ванболничке услуге;</t>
  </si>
  <si>
    <t>721</t>
  </si>
  <si>
    <t>722</t>
  </si>
  <si>
    <t>723</t>
  </si>
  <si>
    <t>724</t>
  </si>
  <si>
    <t>730</t>
  </si>
  <si>
    <t>Болничке услуге;</t>
  </si>
  <si>
    <t>731</t>
  </si>
  <si>
    <t>732</t>
  </si>
  <si>
    <t>733</t>
  </si>
  <si>
    <t>734</t>
  </si>
  <si>
    <t>Услуге домова за негу и опоравак</t>
  </si>
  <si>
    <t>740</t>
  </si>
  <si>
    <t>Услуге јавног здравства;</t>
  </si>
  <si>
    <t>750</t>
  </si>
  <si>
    <t>Здравство - истраживање и развој;</t>
  </si>
  <si>
    <t>Здравство некласификовано на другом месту.</t>
  </si>
  <si>
    <t>800</t>
  </si>
  <si>
    <t>810</t>
  </si>
  <si>
    <t>Услуге рекреације и спорта;</t>
  </si>
  <si>
    <t>820</t>
  </si>
  <si>
    <t>Услуге културе;</t>
  </si>
  <si>
    <t>830</t>
  </si>
  <si>
    <t>Услуге емитовања и штампања;</t>
  </si>
  <si>
    <t>840</t>
  </si>
  <si>
    <t>Верске и остале услуге заједнице;</t>
  </si>
  <si>
    <t>850</t>
  </si>
  <si>
    <t>Рекреација, спорт, култура и вере - истраживање и развој;</t>
  </si>
  <si>
    <t>860</t>
  </si>
  <si>
    <t>900</t>
  </si>
  <si>
    <t>910</t>
  </si>
  <si>
    <t>Предшколско и основно образовање;</t>
  </si>
  <si>
    <t>911</t>
  </si>
  <si>
    <t>913</t>
  </si>
  <si>
    <t>914</t>
  </si>
  <si>
    <t>915</t>
  </si>
  <si>
    <t>916</t>
  </si>
  <si>
    <t>920</t>
  </si>
  <si>
    <t>Средње образовање;</t>
  </si>
  <si>
    <t>921</t>
  </si>
  <si>
    <t>922</t>
  </si>
  <si>
    <t>923</t>
  </si>
  <si>
    <t>930</t>
  </si>
  <si>
    <t>Више образовање;</t>
  </si>
  <si>
    <t>931</t>
  </si>
  <si>
    <t>932</t>
  </si>
  <si>
    <t>940</t>
  </si>
  <si>
    <t>Високо образовање;</t>
  </si>
  <si>
    <t>941</t>
  </si>
  <si>
    <t>942</t>
  </si>
  <si>
    <t>Високо образовање - други степен</t>
  </si>
  <si>
    <t>950</t>
  </si>
  <si>
    <t>Образовање које није дефинисано нивоом;</t>
  </si>
  <si>
    <t>960</t>
  </si>
  <si>
    <t>Помоћне услуге образовању;</t>
  </si>
  <si>
    <t>970</t>
  </si>
  <si>
    <t>Образовање - истраживање и развој;</t>
  </si>
  <si>
    <t>Укупна јавна средства</t>
  </si>
  <si>
    <t>Уређивање, одржавање и коришћење пијацa</t>
  </si>
  <si>
    <t>2003-П28</t>
  </si>
  <si>
    <t>2003-П29</t>
  </si>
  <si>
    <t>2003-П30</t>
  </si>
  <si>
    <t>2001-П30</t>
  </si>
  <si>
    <t>0901-П1</t>
  </si>
  <si>
    <t>0901-П2</t>
  </si>
  <si>
    <t>0901-П3</t>
  </si>
  <si>
    <t>0901-П4</t>
  </si>
  <si>
    <t>0901-П5</t>
  </si>
  <si>
    <t>0901-П6</t>
  </si>
  <si>
    <t>0901-П7</t>
  </si>
  <si>
    <t>0901-П8</t>
  </si>
  <si>
    <t>0901-П9</t>
  </si>
  <si>
    <t>0901-П10</t>
  </si>
  <si>
    <t>0901-П11</t>
  </si>
  <si>
    <t>0901-П12</t>
  </si>
  <si>
    <t>0901-П13</t>
  </si>
  <si>
    <t>0901-П14</t>
  </si>
  <si>
    <t>0901-П15</t>
  </si>
  <si>
    <t>0901-П16</t>
  </si>
  <si>
    <t>0901-П17</t>
  </si>
  <si>
    <t>0901-П18</t>
  </si>
  <si>
    <t>0901-П19</t>
  </si>
  <si>
    <t>0901-П20</t>
  </si>
  <si>
    <t>0901-П21</t>
  </si>
  <si>
    <t>0901-П22</t>
  </si>
  <si>
    <t>0901-П23</t>
  </si>
  <si>
    <t>0901-П24</t>
  </si>
  <si>
    <t>0901-П25</t>
  </si>
  <si>
    <t>0901-П26</t>
  </si>
  <si>
    <t>0901-П27</t>
  </si>
  <si>
    <t>0901-П28</t>
  </si>
  <si>
    <t>0901-П29</t>
  </si>
  <si>
    <t>0901-П30</t>
  </si>
  <si>
    <t>1801-П2</t>
  </si>
  <si>
    <t>1801-П3</t>
  </si>
  <si>
    <t>1801-П4</t>
  </si>
  <si>
    <t>1801-П5</t>
  </si>
  <si>
    <t>1801-П6</t>
  </si>
  <si>
    <t>1801-П7</t>
  </si>
  <si>
    <t>1801-П8</t>
  </si>
  <si>
    <t>1801-П9</t>
  </si>
  <si>
    <t>1801-П10</t>
  </si>
  <si>
    <t>1801-П11</t>
  </si>
  <si>
    <t>1801-П12</t>
  </si>
  <si>
    <t>1801-П13</t>
  </si>
  <si>
    <t>1801-П14</t>
  </si>
  <si>
    <t>1801-П15</t>
  </si>
  <si>
    <t>1801-П16</t>
  </si>
  <si>
    <t>1801-П17</t>
  </si>
  <si>
    <t>1801-П18</t>
  </si>
  <si>
    <t>1801-П19</t>
  </si>
  <si>
    <t>1801-П20</t>
  </si>
  <si>
    <t>1801-П21</t>
  </si>
  <si>
    <t>1801-П22</t>
  </si>
  <si>
    <t>1801-П23</t>
  </si>
  <si>
    <t>1801-П24</t>
  </si>
  <si>
    <t>1801-П25</t>
  </si>
  <si>
    <t>1801-П26</t>
  </si>
  <si>
    <t>1801-П27</t>
  </si>
  <si>
    <t>1801-П28</t>
  </si>
  <si>
    <t>1801-П29</t>
  </si>
  <si>
    <t>1801-П30</t>
  </si>
  <si>
    <t>1201-П3</t>
  </si>
  <si>
    <t>1201-П4</t>
  </si>
  <si>
    <t>1201-П5</t>
  </si>
  <si>
    <t>1201-П6</t>
  </si>
  <si>
    <t>1201-П7</t>
  </si>
  <si>
    <t>1201-П8</t>
  </si>
  <si>
    <t>1201-П9</t>
  </si>
  <si>
    <t>1201-П10</t>
  </si>
  <si>
    <t>1201-П11</t>
  </si>
  <si>
    <t>1201-П12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</si>
  <si>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</si>
  <si>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</si>
  <si>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</si>
  <si>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</si>
  <si>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</si>
  <si>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</si>
  <si>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</si>
  <si>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</si>
  <si>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</si>
  <si>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</si>
  <si>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</si>
  <si>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1201-П24</t>
  </si>
  <si>
    <t>1201-П25</t>
  </si>
  <si>
    <t>1201-П26</t>
  </si>
  <si>
    <t>1201-П27</t>
  </si>
  <si>
    <t>1201-П28</t>
  </si>
  <si>
    <t>1201-П29</t>
  </si>
  <si>
    <t>1201-П30</t>
  </si>
  <si>
    <t>1201-П31</t>
  </si>
  <si>
    <t>1201-П32</t>
  </si>
  <si>
    <t>1201-П33</t>
  </si>
  <si>
    <t>1201-П34</t>
  </si>
  <si>
    <t>1201-П35</t>
  </si>
  <si>
    <t>1201-П36</t>
  </si>
  <si>
    <t>1201-П37</t>
  </si>
  <si>
    <t>1201-П38</t>
  </si>
  <si>
    <t>1201-П39</t>
  </si>
  <si>
    <t>1201-П40</t>
  </si>
  <si>
    <t>1201-П41</t>
  </si>
  <si>
    <t>1201-П42</t>
  </si>
  <si>
    <t>1201-П43</t>
  </si>
  <si>
    <t>1201-П44</t>
  </si>
  <si>
    <t>1201-П45</t>
  </si>
  <si>
    <t>1201-П46</t>
  </si>
  <si>
    <t>1201-П47</t>
  </si>
  <si>
    <t>1201-П48</t>
  </si>
  <si>
    <t>1201-П49</t>
  </si>
  <si>
    <t>1201-П50</t>
  </si>
  <si>
    <t>1301-П1</t>
  </si>
  <si>
    <t>1301-П2</t>
  </si>
  <si>
    <t>1301-П3</t>
  </si>
  <si>
    <t>1301-П4</t>
  </si>
  <si>
    <t>1301-П5</t>
  </si>
  <si>
    <t>1301-П6</t>
  </si>
  <si>
    <t>1301-П7</t>
  </si>
  <si>
    <t>1301-П8</t>
  </si>
  <si>
    <t>1301-П9</t>
  </si>
  <si>
    <t>1301-П10</t>
  </si>
  <si>
    <t>1301-П11</t>
  </si>
  <si>
    <t>1301-П12</t>
  </si>
  <si>
    <t>1301-П13</t>
  </si>
  <si>
    <t>1301-П14</t>
  </si>
  <si>
    <t>1301-П15</t>
  </si>
  <si>
    <t>1301-П16</t>
  </si>
  <si>
    <t>1301-П17</t>
  </si>
  <si>
    <t>1301-П18</t>
  </si>
  <si>
    <t>1301-П19</t>
  </si>
  <si>
    <t>1301-П20</t>
  </si>
  <si>
    <t>1301-П21</t>
  </si>
  <si>
    <t>1301-П22</t>
  </si>
  <si>
    <t>1301-П23</t>
  </si>
  <si>
    <t>1301-П24</t>
  </si>
  <si>
    <t>1301-П25</t>
  </si>
  <si>
    <t>1301-П26</t>
  </si>
  <si>
    <t>1301-П27</t>
  </si>
  <si>
    <t>1301-П28</t>
  </si>
  <si>
    <t>1301-П29</t>
  </si>
  <si>
    <t>1301-П30</t>
  </si>
  <si>
    <t>1301-П31</t>
  </si>
  <si>
    <t>1301-П32</t>
  </si>
  <si>
    <t>1301-П33</t>
  </si>
  <si>
    <t>1301-П34</t>
  </si>
  <si>
    <t>1301-П35</t>
  </si>
  <si>
    <t>1301-П36</t>
  </si>
  <si>
    <t>1301-П37</t>
  </si>
  <si>
    <t>1301-П38</t>
  </si>
  <si>
    <t>1301-П39</t>
  </si>
  <si>
    <t>1301-П40</t>
  </si>
  <si>
    <t>1301-П41</t>
  </si>
  <si>
    <t>1301-П42</t>
  </si>
  <si>
    <t>1301-П43</t>
  </si>
  <si>
    <t>1301-П44</t>
  </si>
  <si>
    <t>1301-П45</t>
  </si>
  <si>
    <t>1301-П46</t>
  </si>
  <si>
    <t>1301-П47</t>
  </si>
  <si>
    <t>1301-П48</t>
  </si>
  <si>
    <t>1301-П49</t>
  </si>
  <si>
    <t>1301-П50</t>
  </si>
  <si>
    <t>0602-П1</t>
  </si>
  <si>
    <t>0602-П3</t>
  </si>
  <si>
    <t>0602-П4</t>
  </si>
  <si>
    <t>0602-П6</t>
  </si>
  <si>
    <t>0602-П7</t>
  </si>
  <si>
    <t>0602-П8</t>
  </si>
  <si>
    <t>0602-П9</t>
  </si>
  <si>
    <t>0602-П10</t>
  </si>
  <si>
    <t>0602-П11</t>
  </si>
  <si>
    <t>0602-П12</t>
  </si>
  <si>
    <t>0602-П13</t>
  </si>
  <si>
    <t>0602-П14</t>
  </si>
  <si>
    <t>0602-П15</t>
  </si>
  <si>
    <t>0602-П16</t>
  </si>
  <si>
    <t>0602-П17</t>
  </si>
  <si>
    <t>0602-П18</t>
  </si>
  <si>
    <t>0602-П19</t>
  </si>
  <si>
    <t>0602-П20</t>
  </si>
  <si>
    <t>0602-П21</t>
  </si>
  <si>
    <t>0602-П22</t>
  </si>
  <si>
    <t>0602-П23</t>
  </si>
  <si>
    <t>0602-П24</t>
  </si>
  <si>
    <t>0602-П25</t>
  </si>
  <si>
    <t>0602-П26</t>
  </si>
  <si>
    <t>0602-П27</t>
  </si>
  <si>
    <t>0602-П28</t>
  </si>
  <si>
    <t>0602-П29</t>
  </si>
  <si>
    <t>0602-П30</t>
  </si>
  <si>
    <t>0602-П31</t>
  </si>
  <si>
    <t>0602-П32</t>
  </si>
  <si>
    <t>0602-П33</t>
  </si>
  <si>
    <t>0602-П34</t>
  </si>
  <si>
    <t>0602-П35</t>
  </si>
  <si>
    <t>0602-П36</t>
  </si>
  <si>
    <t>0602-П37</t>
  </si>
  <si>
    <t>0602-П38</t>
  </si>
  <si>
    <t>0602-П39</t>
  </si>
  <si>
    <t>0602-П40</t>
  </si>
  <si>
    <t>0602-П41</t>
  </si>
  <si>
    <t>0602-П42</t>
  </si>
  <si>
    <t>0602-П43</t>
  </si>
  <si>
    <t>0602-П44</t>
  </si>
  <si>
    <t>0602-П45</t>
  </si>
  <si>
    <t>0602-П46</t>
  </si>
  <si>
    <t>0602-П47</t>
  </si>
  <si>
    <t>0602-П48</t>
  </si>
  <si>
    <t>0602-П49</t>
  </si>
  <si>
    <t>0602-П50</t>
  </si>
  <si>
    <t>0602-П51</t>
  </si>
  <si>
    <t>0602-П52</t>
  </si>
  <si>
    <t>0602-П53</t>
  </si>
  <si>
    <t>0602-П54</t>
  </si>
  <si>
    <t>0602-П55</t>
  </si>
  <si>
    <t>0602-П56</t>
  </si>
  <si>
    <t>0602-П57</t>
  </si>
  <si>
    <t>0602-П58</t>
  </si>
  <si>
    <t>0602-П59</t>
  </si>
  <si>
    <t>0602-П60</t>
  </si>
  <si>
    <t>0602-П61</t>
  </si>
  <si>
    <t>0602-П62</t>
  </si>
  <si>
    <t>0602-П63</t>
  </si>
  <si>
    <t>0602-П64</t>
  </si>
  <si>
    <t>0602-П65</t>
  </si>
  <si>
    <t>0602-П66</t>
  </si>
  <si>
    <t>0602-П67</t>
  </si>
  <si>
    <t>0602-П68</t>
  </si>
  <si>
    <t>0602-П69</t>
  </si>
  <si>
    <t>0602-П70</t>
  </si>
  <si>
    <t>1501</t>
  </si>
  <si>
    <t>1502</t>
  </si>
  <si>
    <t>Шифра</t>
  </si>
  <si>
    <t xml:space="preserve">       ОПШТИ ДЕО - ПРОГРАМСКА КЛАСИФИКАЦИЈА РАСХОДА</t>
  </si>
  <si>
    <t>Програм</t>
  </si>
  <si>
    <t>2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</si>
  <si>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</si>
  <si>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</si>
  <si>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</si>
  <si>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</si>
  <si>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</si>
  <si>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</si>
  <si>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</si>
  <si>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</si>
  <si>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0601-0007</t>
  </si>
  <si>
    <t>0601-0011</t>
  </si>
  <si>
    <t>0601-0013</t>
  </si>
  <si>
    <t>Ауто-такси превоз путника</t>
  </si>
  <si>
    <t>1501-0001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</si>
  <si>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</si>
  <si>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</si>
  <si>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</si>
  <si>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</si>
  <si>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</si>
  <si>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</si>
  <si>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Управљање развојем туризма</t>
  </si>
  <si>
    <t>Туристичка промоција</t>
  </si>
  <si>
    <t>0401-0003</t>
  </si>
  <si>
    <t>Праћење квалитета елемената животне средине</t>
  </si>
  <si>
    <t>0401-0004</t>
  </si>
  <si>
    <t>Управљање саобраћајном инфраструктуром</t>
  </si>
  <si>
    <t>1502-0001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</si>
  <si>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</si>
  <si>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</si>
  <si>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</si>
  <si>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</si>
  <si>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1301-0003</t>
  </si>
  <si>
    <t>Одржавање спортске инфраструктуре</t>
  </si>
  <si>
    <t>Функционисање локалне самоуправе и градских општина</t>
  </si>
  <si>
    <t>0602-0003</t>
  </si>
  <si>
    <t>Управљање јавним дугом</t>
  </si>
  <si>
    <t>0602-0004</t>
  </si>
  <si>
    <t>0602-0005</t>
  </si>
  <si>
    <t>0602-0007</t>
  </si>
  <si>
    <t>0602-0009</t>
  </si>
  <si>
    <t>Правна помоћ</t>
  </si>
  <si>
    <t>0701-0001</t>
  </si>
  <si>
    <t>Остале некретнина и опреме</t>
  </si>
  <si>
    <t xml:space="preserve"> Програмска активност/  Пројекат</t>
  </si>
  <si>
    <t>Назив</t>
  </si>
  <si>
    <t xml:space="preserve">УКУПНИ ПРОГРАМСКИ ЈАВНИ РАСХОДИ </t>
  </si>
  <si>
    <t>Надлежан орган/особа</t>
  </si>
  <si>
    <t>1502-0002</t>
  </si>
  <si>
    <t>1101-0002</t>
  </si>
  <si>
    <t>1101-П1</t>
  </si>
  <si>
    <t>1101-П2</t>
  </si>
  <si>
    <t>1101-П3</t>
  </si>
  <si>
    <t>1101-П4</t>
  </si>
  <si>
    <t>1101-П5</t>
  </si>
  <si>
    <t>1101-П6</t>
  </si>
  <si>
    <t>1101-П7</t>
  </si>
  <si>
    <t>1101-П8</t>
  </si>
  <si>
    <t>1101-П9</t>
  </si>
  <si>
    <t>1101-П10</t>
  </si>
  <si>
    <t>1101-П11</t>
  </si>
  <si>
    <t>1101-П12</t>
  </si>
  <si>
    <t>1101-П13</t>
  </si>
  <si>
    <t>1101-П14</t>
  </si>
  <si>
    <t>1101-П15</t>
  </si>
  <si>
    <t>1101-П16</t>
  </si>
  <si>
    <t>1101-П17</t>
  </si>
  <si>
    <t>1101-П18</t>
  </si>
  <si>
    <t>1101-П19</t>
  </si>
  <si>
    <t>1101-П20</t>
  </si>
  <si>
    <t>1101-П21</t>
  </si>
  <si>
    <t>1101-П22</t>
  </si>
  <si>
    <t>1101-П23</t>
  </si>
  <si>
    <t>1101-П24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</si>
  <si>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</si>
  <si>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</si>
  <si>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</si>
  <si>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</si>
  <si>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</si>
  <si>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</si>
  <si>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</si>
  <si>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</si>
  <si>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</si>
  <si>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</si>
  <si>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0601-П12</t>
  </si>
  <si>
    <t>0601-П13</t>
  </si>
  <si>
    <t>0601-П14</t>
  </si>
  <si>
    <t>0601-П15</t>
  </si>
  <si>
    <t>0601-П16</t>
  </si>
  <si>
    <t>0601-П17</t>
  </si>
  <si>
    <t>0601-П18</t>
  </si>
  <si>
    <t>0601-П19</t>
  </si>
  <si>
    <t>0601-П20</t>
  </si>
  <si>
    <t>0601-П21</t>
  </si>
  <si>
    <t>0601-П22</t>
  </si>
  <si>
    <t>0601-П23</t>
  </si>
  <si>
    <t>0601-П24</t>
  </si>
  <si>
    <t>0601-П25</t>
  </si>
  <si>
    <t>0601-П26</t>
  </si>
  <si>
    <t>0601-П27</t>
  </si>
  <si>
    <t>0601-П28</t>
  </si>
  <si>
    <t>0601-П29</t>
  </si>
  <si>
    <t>0601-П30</t>
  </si>
  <si>
    <t>0601-П31</t>
  </si>
  <si>
    <t>0601-П32</t>
  </si>
  <si>
    <t>0601-П33</t>
  </si>
  <si>
    <t>0601-П34</t>
  </si>
  <si>
    <t>0601-П35</t>
  </si>
  <si>
    <t>0601-П36</t>
  </si>
  <si>
    <t>0601-П37</t>
  </si>
  <si>
    <t>0601-П38</t>
  </si>
  <si>
    <t>0601-П39</t>
  </si>
  <si>
    <t>0601-П40</t>
  </si>
  <si>
    <t>0601-П41</t>
  </si>
  <si>
    <t>0601-П42</t>
  </si>
  <si>
    <t>0601-П43</t>
  </si>
  <si>
    <t>0601-П44</t>
  </si>
  <si>
    <t>0601-П45</t>
  </si>
  <si>
    <t>0601-П46</t>
  </si>
  <si>
    <t>0601-П47</t>
  </si>
  <si>
    <t>0601-П48</t>
  </si>
  <si>
    <t>0601-П49</t>
  </si>
  <si>
    <t>0601-П50</t>
  </si>
  <si>
    <t>1501-П4</t>
  </si>
  <si>
    <t>1501-П5</t>
  </si>
  <si>
    <t>1501-П6</t>
  </si>
  <si>
    <t>1501-П7</t>
  </si>
  <si>
    <t>1501-П8</t>
  </si>
  <si>
    <t>1501-П9</t>
  </si>
  <si>
    <t>1501-П10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</si>
  <si>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</si>
  <si>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</si>
  <si>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</si>
  <si>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</si>
  <si>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</si>
  <si>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</si>
  <si>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</si>
  <si>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</si>
  <si>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</si>
  <si>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1501-П20</t>
  </si>
  <si>
    <t>1501-П21</t>
  </si>
  <si>
    <t>1501-П22</t>
  </si>
  <si>
    <t>1501-П23</t>
  </si>
  <si>
    <t>1501-П24</t>
  </si>
  <si>
    <t>1502-П1</t>
  </si>
  <si>
    <t>1502-П2</t>
  </si>
  <si>
    <t>1502-П3</t>
  </si>
  <si>
    <t>1502-П4</t>
  </si>
  <si>
    <t>1502-П5</t>
  </si>
  <si>
    <t>1502-П6</t>
  </si>
  <si>
    <t>1502-П7</t>
  </si>
  <si>
    <t>1502-П8</t>
  </si>
  <si>
    <t>1502-П9</t>
  </si>
  <si>
    <t>1502-П10</t>
  </si>
  <si>
    <t>1502-П11</t>
  </si>
  <si>
    <t>1502-П12</t>
  </si>
  <si>
    <t>1502-П13</t>
  </si>
  <si>
    <t>1502-П14</t>
  </si>
  <si>
    <t>1502-П15</t>
  </si>
  <si>
    <t>1502-П16</t>
  </si>
  <si>
    <t>1502-П17</t>
  </si>
  <si>
    <t>1502-П18</t>
  </si>
  <si>
    <t>1502-П19</t>
  </si>
  <si>
    <t>1502-П20</t>
  </si>
  <si>
    <t>1502-П21</t>
  </si>
  <si>
    <t>1502-П22</t>
  </si>
  <si>
    <t>1502-П23</t>
  </si>
  <si>
    <t>1502-П24</t>
  </si>
  <si>
    <t>0101-П1</t>
  </si>
  <si>
    <t>0101-П2</t>
  </si>
  <si>
    <t>0101-П3</t>
  </si>
  <si>
    <t>0101-П4</t>
  </si>
  <si>
    <t>0101-П5</t>
  </si>
  <si>
    <t>0101-П6</t>
  </si>
  <si>
    <t>0101-П7</t>
  </si>
  <si>
    <t>0101-П8</t>
  </si>
  <si>
    <t>0101-П9</t>
  </si>
  <si>
    <t>0101-П10</t>
  </si>
  <si>
    <t>0101-П11</t>
  </si>
  <si>
    <t>0101-П12</t>
  </si>
  <si>
    <t>0101-П13</t>
  </si>
  <si>
    <t>0101-П14</t>
  </si>
  <si>
    <t>0101-П15</t>
  </si>
  <si>
    <t>0101-П16</t>
  </si>
  <si>
    <t>0401-П1</t>
  </si>
  <si>
    <t>0401-П2</t>
  </si>
  <si>
    <t>0401-П3</t>
  </si>
  <si>
    <t>0401-П4</t>
  </si>
  <si>
    <t>0401-П5</t>
  </si>
  <si>
    <t>0401-П6</t>
  </si>
  <si>
    <t>0401-П7</t>
  </si>
  <si>
    <t>0401-П8</t>
  </si>
  <si>
    <t>0401-П9</t>
  </si>
  <si>
    <t>0401-П10</t>
  </si>
  <si>
    <t>0401-П11</t>
  </si>
  <si>
    <t>0401-П12</t>
  </si>
  <si>
    <t>0401-П13</t>
  </si>
  <si>
    <t>0401-П14</t>
  </si>
  <si>
    <t>0401-П15</t>
  </si>
  <si>
    <t>0701-П1</t>
  </si>
  <si>
    <t>0701-П2</t>
  </si>
  <si>
    <t>0701-П3</t>
  </si>
  <si>
    <t>0701-П4</t>
  </si>
  <si>
    <t>0701-П5</t>
  </si>
  <si>
    <t>0701-П6</t>
  </si>
  <si>
    <t>0701-П7</t>
  </si>
  <si>
    <t>0701-П8</t>
  </si>
  <si>
    <t>0701-П9</t>
  </si>
  <si>
    <t>0701-П10</t>
  </si>
  <si>
    <t>0701-П11</t>
  </si>
  <si>
    <t>0701-П12</t>
  </si>
  <si>
    <t>0701-П13</t>
  </si>
  <si>
    <t>0701-П14</t>
  </si>
  <si>
    <t>0701-П15</t>
  </si>
  <si>
    <t>0701-П16</t>
  </si>
  <si>
    <t>0701-П17</t>
  </si>
  <si>
    <t>0701-П18</t>
  </si>
  <si>
    <t>0701-П19</t>
  </si>
  <si>
    <t>0701-П20</t>
  </si>
  <si>
    <t>0701-П21</t>
  </si>
  <si>
    <t>0701-П22</t>
  </si>
  <si>
    <t>0701-П23</t>
  </si>
  <si>
    <t>0701-П24</t>
  </si>
  <si>
    <t>0701-П25</t>
  </si>
  <si>
    <t>0701-П26</t>
  </si>
  <si>
    <t>0701-П27</t>
  </si>
  <si>
    <t>0701-П28</t>
  </si>
  <si>
    <t>0701-П29</t>
  </si>
  <si>
    <t>0701-П30</t>
  </si>
  <si>
    <t>0701-П31</t>
  </si>
  <si>
    <t>0701-П32</t>
  </si>
  <si>
    <t>0701-П33</t>
  </si>
  <si>
    <t>0701-П34</t>
  </si>
  <si>
    <t>0701-П35</t>
  </si>
  <si>
    <t>0701-П36</t>
  </si>
  <si>
    <t>0701-П37</t>
  </si>
  <si>
    <t>0701-П38</t>
  </si>
  <si>
    <t>0701-П39</t>
  </si>
  <si>
    <t>0701-П40</t>
  </si>
  <si>
    <t>0701-П41</t>
  </si>
  <si>
    <t>0701-П42</t>
  </si>
  <si>
    <t>0701-П43</t>
  </si>
  <si>
    <t>0701-П44</t>
  </si>
  <si>
    <t>0701-П45</t>
  </si>
  <si>
    <t>0701-П46</t>
  </si>
  <si>
    <t>0701-П47</t>
  </si>
  <si>
    <t>0701-П48</t>
  </si>
  <si>
    <t>0701-П49</t>
  </si>
  <si>
    <t>0701-П50</t>
  </si>
  <si>
    <t>2001-П1</t>
  </si>
  <si>
    <t>2001-П2</t>
  </si>
  <si>
    <t>2001-П3</t>
  </si>
  <si>
    <t>2001-П4</t>
  </si>
  <si>
    <t>2001-П5</t>
  </si>
  <si>
    <t>2001-П6</t>
  </si>
  <si>
    <t>2001-П7</t>
  </si>
  <si>
    <t>2001-П8</t>
  </si>
  <si>
    <t>2001-П9</t>
  </si>
  <si>
    <t>2001-П10</t>
  </si>
  <si>
    <t>2001-П11</t>
  </si>
  <si>
    <t>2001-П12</t>
  </si>
  <si>
    <t>2001-П13</t>
  </si>
  <si>
    <t>2001-П14</t>
  </si>
  <si>
    <t>2001-П15</t>
  </si>
  <si>
    <t>2001-П16</t>
  </si>
  <si>
    <t>2001-П17</t>
  </si>
  <si>
    <t>2001-П18</t>
  </si>
  <si>
    <t>2001-П19</t>
  </si>
  <si>
    <t>2001-П20</t>
  </si>
  <si>
    <t>2001-П21</t>
  </si>
  <si>
    <t>2001-П22</t>
  </si>
  <si>
    <t>2001-П23</t>
  </si>
  <si>
    <t>2001-П24</t>
  </si>
  <si>
    <t>2001-П25</t>
  </si>
  <si>
    <t>2001-П26</t>
  </si>
  <si>
    <t>2001-П27</t>
  </si>
  <si>
    <t>2001-П28</t>
  </si>
  <si>
    <t>2001-П29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</si>
  <si>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</si>
  <si>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</si>
  <si>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</si>
  <si>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</si>
  <si>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</si>
  <si>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</si>
  <si>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</si>
  <si>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</si>
  <si>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2002-П9</t>
  </si>
  <si>
    <t>2002-П10</t>
  </si>
  <si>
    <t>2002-П11</t>
  </si>
  <si>
    <t>2002-П12</t>
  </si>
  <si>
    <t>2002-П13</t>
  </si>
  <si>
    <t>2002-П14</t>
  </si>
  <si>
    <t>2002-П15</t>
  </si>
  <si>
    <t>2002-П16</t>
  </si>
  <si>
    <t>2002-П17</t>
  </si>
  <si>
    <t>2002-П18</t>
  </si>
  <si>
    <t>2002-П19</t>
  </si>
  <si>
    <t>2002-П20</t>
  </si>
  <si>
    <t>2002-П21</t>
  </si>
  <si>
    <t>2002-П22</t>
  </si>
  <si>
    <t>2002-П23</t>
  </si>
  <si>
    <t>2002-П24</t>
  </si>
  <si>
    <t>2002-П25</t>
  </si>
  <si>
    <t>2002-П26</t>
  </si>
  <si>
    <t>2002-П27</t>
  </si>
  <si>
    <t>2002-П28</t>
  </si>
  <si>
    <t>2002-П29</t>
  </si>
  <si>
    <t>2002-П30</t>
  </si>
  <si>
    <t>2003-П1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</si>
  <si>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</si>
  <si>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</si>
  <si>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</si>
  <si>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</si>
  <si>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</si>
  <si>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</si>
  <si>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</si>
  <si>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</si>
  <si>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</si>
  <si>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2003-П11</t>
  </si>
  <si>
    <t>2003-П12</t>
  </si>
  <si>
    <t>2003-П13</t>
  </si>
  <si>
    <t>2003-П14</t>
  </si>
  <si>
    <t>2003-П15</t>
  </si>
  <si>
    <t>2003-П16</t>
  </si>
  <si>
    <t>2003-П17</t>
  </si>
  <si>
    <t>2003-П18</t>
  </si>
  <si>
    <t>2003-П19</t>
  </si>
  <si>
    <t>2003-П20</t>
  </si>
  <si>
    <t>2003-П21</t>
  </si>
  <si>
    <t>2003-П22</t>
  </si>
  <si>
    <t>2003-П23</t>
  </si>
  <si>
    <t>2003-П24</t>
  </si>
  <si>
    <t>2003-П25</t>
  </si>
  <si>
    <t>2003-П26</t>
  </si>
  <si>
    <t>2003-П27</t>
  </si>
  <si>
    <t>Канцеларија за младе</t>
  </si>
  <si>
    <t>Заштитник грађана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</si>
  <si>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</si>
  <si>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</si>
  <si>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</si>
  <si>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</si>
  <si>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465 Остале дотације и трансфери</t>
  </si>
  <si>
    <t>422 Трошкови путовања</t>
  </si>
  <si>
    <t>ОУ</t>
  </si>
  <si>
    <t>ОУ и КОЦ</t>
  </si>
  <si>
    <t>КОЦ</t>
  </si>
  <si>
    <t xml:space="preserve">Пројекат: Подршка спровођењу пројеката локалне самоуптаве, НВО, привредних и друштвених организација </t>
  </si>
  <si>
    <t>НАБАВКА ФИНАНСИЈСКЕ ИМОВИНЕ</t>
  </si>
  <si>
    <t>1.5</t>
  </si>
  <si>
    <t>9.</t>
  </si>
  <si>
    <t xml:space="preserve">Нематеријална имовина </t>
  </si>
  <si>
    <t>Приходи  од имов.полиса осиг.општина</t>
  </si>
  <si>
    <t>Приходи од имовине који припада имаоцима полиса осигурања</t>
  </si>
  <si>
    <t>Судови</t>
  </si>
  <si>
    <t>Ukupni rashodi:</t>
  </si>
  <si>
    <t>Ukupni prihodi:</t>
  </si>
  <si>
    <t>16</t>
  </si>
  <si>
    <t>УКУПНО ЗА ИЗВОР 16</t>
  </si>
  <si>
    <t>Приходи:</t>
  </si>
  <si>
    <t>Машине и опрема - за ванредне ситуације</t>
  </si>
  <si>
    <t>Текуће поправке и одрж.-громобрани код МК</t>
  </si>
  <si>
    <t>ИЗВОРИ 04+06+07+13+15+16</t>
  </si>
  <si>
    <t>5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</si>
  <si>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</si>
  <si>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411+412</t>
  </si>
  <si>
    <t>poreski prihodi</t>
  </si>
  <si>
    <t>pol.stranke:</t>
  </si>
  <si>
    <t>fin.kampanje:</t>
  </si>
  <si>
    <t>UKUPNO ZA POL. PARTIJE</t>
  </si>
  <si>
    <t>фисклал. дефицит</t>
  </si>
  <si>
    <t>Родитељски динар за ваннаставне активности</t>
  </si>
  <si>
    <t>Родитељски динар за 
ваннаставне активности</t>
  </si>
  <si>
    <t>74</t>
  </si>
  <si>
    <t>ОПШТИНСКО  ПРАВОБРАНИЛАШТВО</t>
  </si>
  <si>
    <t>Извршни и законодавни органи, фин. и фиск.посл.
 и спољ.послови</t>
  </si>
  <si>
    <t>ПРОГРАМ 16 ПОЛИТИЧКИ СИСТЕМ ЛС</t>
  </si>
  <si>
    <t>2101</t>
  </si>
  <si>
    <t>2101-0001</t>
  </si>
  <si>
    <t>Функционисање Скупштине</t>
  </si>
  <si>
    <t>Програм 16.  Политички систем ЛС</t>
  </si>
  <si>
    <t>2101--0002</t>
  </si>
  <si>
    <t>Функционисање извршних органа</t>
  </si>
  <si>
    <t>2101-0002</t>
  </si>
  <si>
    <t>Текућа буџетска резерва</t>
  </si>
  <si>
    <t>Стална буџетска резерва</t>
  </si>
  <si>
    <t>0602-0014</t>
  </si>
  <si>
    <t>5.2</t>
  </si>
  <si>
    <t>Функционисање ОШ "Јован Поповић"</t>
  </si>
  <si>
    <t>Функционисање ОШ "Др.Тихомир Остојић"</t>
  </si>
  <si>
    <t>Функционисање ОШ "Серво Михаљ"</t>
  </si>
  <si>
    <t>Функционисање Хем.прехрамбене средње школе</t>
  </si>
  <si>
    <t>Функционисање установа примарне здравствене заштите -Дом здравља Чока</t>
  </si>
  <si>
    <t>ПУ "Радост"</t>
  </si>
  <si>
    <t>ПЛАН ЗА  ИЗВОР ФИН. 
06</t>
  </si>
  <si>
    <t>ПЛАН ЗА ИЗВОР ФИН.
 07</t>
  </si>
  <si>
    <t>ПЛАН ЗА  ИЗВОР ФИН. 
13</t>
  </si>
  <si>
    <t xml:space="preserve">ПЛАН ЗА. ИЗВОР ФИН.
 15 </t>
  </si>
  <si>
    <t>ПЛАН ЗА  ИЗВОР ФИН. 16</t>
  </si>
  <si>
    <t>Извршни и законодавни органи, фин. и фиск.посл. 
и спољ.послови</t>
  </si>
  <si>
    <t>1201-0004</t>
  </si>
  <si>
    <t>Оставривање и унапређивање јавног интереса у области јавног информисања</t>
  </si>
  <si>
    <t>ПРОГРАМ 13: РАЗВОЈ КУЛТУРЕ И ИНФОРМИСАЊА</t>
  </si>
  <si>
    <t>Услуге емитовања и штампања</t>
  </si>
  <si>
    <t>Подршка деци и породица са децом</t>
  </si>
  <si>
    <t>Подршка реализацији програма Црвеног крста</t>
  </si>
  <si>
    <t>ПРОГРАМ 12  ЗДРАВСТВЕНА ЗАШТИТА</t>
  </si>
  <si>
    <t>Програм 12.  Здравствена заштита</t>
  </si>
  <si>
    <t>1801-0002</t>
  </si>
  <si>
    <t>Мртвозорство</t>
  </si>
  <si>
    <t>ПРОГРАМ 5: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</si>
  <si>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</si>
  <si>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</si>
  <si>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</si>
  <si>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Управљање заштитом животне средине</t>
  </si>
  <si>
    <t>Управљање  отпадом</t>
  </si>
  <si>
    <t>Заштита жив.средине некласиф.на другом месту</t>
  </si>
  <si>
    <t>Одржавање јавних зелених површина</t>
  </si>
  <si>
    <t>Зоохигијена</t>
  </si>
  <si>
    <t>1102-0001</t>
  </si>
  <si>
    <t>1102-0002</t>
  </si>
  <si>
    <t>1102-0003</t>
  </si>
  <si>
    <t>1102-0008</t>
  </si>
  <si>
    <t>1102-0004</t>
  </si>
  <si>
    <t>1102</t>
  </si>
  <si>
    <t>Програм 1. Урбанизам и просторно планирање</t>
  </si>
  <si>
    <t>Просторно и урбанистичко планирање</t>
  </si>
  <si>
    <t>Мере активне политике запошљавања</t>
  </si>
  <si>
    <t>1101-0003</t>
  </si>
  <si>
    <t>Управљањем грађевинским земљиштем</t>
  </si>
  <si>
    <t>0501</t>
  </si>
  <si>
    <t>0501-0001</t>
  </si>
  <si>
    <t>0602-П-1</t>
  </si>
  <si>
    <t>Цивилна одбрана</t>
  </si>
  <si>
    <t>Заштита биљног и жив.света и крајолика</t>
  </si>
  <si>
    <t>200</t>
  </si>
  <si>
    <t>ОДБРАНА</t>
  </si>
  <si>
    <t>220</t>
  </si>
  <si>
    <t>Цивилна заштита</t>
  </si>
  <si>
    <t>ПРОГРАМ 15 ОПШТЕ УСЛУГЕ ЛОК.САМОУПРАВЕ</t>
  </si>
  <si>
    <t>Општинско правобранилаштво</t>
  </si>
  <si>
    <t>Функционисање нац.савета национал.мањина</t>
  </si>
  <si>
    <t>Управљање у ванредним ситуацијама</t>
  </si>
  <si>
    <t>ПРОГРАМ 9 ОСНОВНО ОБРАЗОВАЊЕ И ВАСПИТАЊЕ</t>
  </si>
  <si>
    <t>ПРОГРАМ 10 СРЕДЊЕ ОБРАЗОВАЊЕ И ВАСПИТАЊЕ</t>
  </si>
  <si>
    <t>Одржавање чист.на површ.јавне намене -  ЈКП Чока</t>
  </si>
  <si>
    <t>1501-П-5</t>
  </si>
  <si>
    <t>ПРОГРАМ 8 ПРЕДШКОЛСКО ВАСПИТАЊЕ И ОБРАЗ.</t>
  </si>
  <si>
    <t>ПРОГРАМ 13 РАЗВОЈ КУЛТУРЕ И ИНФОРМИСАЊА</t>
  </si>
  <si>
    <t>Пројекат:Унапређење безбедности саобраћаја у 2017.години</t>
  </si>
  <si>
    <t>Програм 13.  Развој културе и информисања</t>
  </si>
  <si>
    <t>Јачање културне продукције и уметничког стваралаштва</t>
  </si>
  <si>
    <t>Програм 9.  Основно образовање и васпитање</t>
  </si>
  <si>
    <t>Програм 10. Средње образовање и васпитање</t>
  </si>
  <si>
    <t>Подршка за спровођење пољопривредне политике у лок. зај.</t>
  </si>
  <si>
    <t xml:space="preserve">Управљање заштитом животне средине </t>
  </si>
  <si>
    <t>Програм 17.  Енерг. ефикас. и обновљиви извори енергије</t>
  </si>
  <si>
    <t>Функционисање лок.установа културе</t>
  </si>
  <si>
    <t>Управљање грађевинским земљиштем</t>
  </si>
  <si>
    <t>ЈКП</t>
  </si>
  <si>
    <t>Центар за соц.рад</t>
  </si>
  <si>
    <t>ОШ "Ј.Поповић"
ОШ "С.Михаљ" и
 ОШ "Т.Остојић"</t>
  </si>
  <si>
    <t>Јачање културне продукције и умет.стваралаш.</t>
  </si>
  <si>
    <t>Дот.орг.за обав.соц.осиг.</t>
  </si>
  <si>
    <t>Приходи од продаје добара и услуга</t>
  </si>
  <si>
    <t>Приходи од продаје добара и услуга у корист нивоа општина</t>
  </si>
  <si>
    <t>Капитални трансф.од других нивоа власти</t>
  </si>
  <si>
    <t xml:space="preserve">ОУ </t>
  </si>
  <si>
    <t>Дом здравља</t>
  </si>
  <si>
    <t>Оставривање и унапр. јавног интереса у области јавног инф.</t>
  </si>
  <si>
    <t>Пројекат: Сред.за реш.стамб.потреба и
 др.прог.за интег.избег.</t>
  </si>
  <si>
    <t>СО</t>
  </si>
  <si>
    <t>О.Веће и Председ.</t>
  </si>
  <si>
    <t>Хем.прех.средња шк.</t>
  </si>
  <si>
    <t>083</t>
  </si>
  <si>
    <t>084</t>
  </si>
  <si>
    <t>5.1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</si>
  <si>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</si>
  <si>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</si>
  <si>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</si>
  <si>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</si>
  <si>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</si>
  <si>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</si>
  <si>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</si>
  <si>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</si>
  <si>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 xml:space="preserve">СУБВЕНЦИЈЕ </t>
  </si>
  <si>
    <t>Субвенције јав.нефинансијским пред.</t>
  </si>
  <si>
    <t>Спец.усл.(одрж.пруж.прелаза)</t>
  </si>
  <si>
    <t>Спец.усл.(зимско одржавање)</t>
  </si>
  <si>
    <t>Приходи од продаје доб. и усл. или закупа од стране трж. орг.</t>
  </si>
  <si>
    <t>ПРИМАЊА ОД ПРОДАЈЕ НЕФИНАСИЈСКЕ ИМОВИНЕ</t>
  </si>
  <si>
    <t>Примања од продаје непокретностиу корист нивоа општина</t>
  </si>
  <si>
    <t>81</t>
  </si>
  <si>
    <t>Примања од продаје непокретности</t>
  </si>
  <si>
    <t>УКУПНО ЗА ИЗВОР 13:</t>
  </si>
  <si>
    <t>УКУПНО ЗА ИЗВОР 16:</t>
  </si>
  <si>
    <t>ПЛАН ЗА  ИЗВОР ФИН. 
04</t>
  </si>
  <si>
    <t>ПЛАН ЗА 2019.Г.</t>
  </si>
  <si>
    <t>Текуће донације од међ.организација</t>
  </si>
  <si>
    <t>Текуће донације од међ.организација у корист нивоа општина</t>
  </si>
  <si>
    <t>Једнократне помоћи и др.облици помоћи -Центар за социјални рад</t>
  </si>
  <si>
    <t>Једнократне помоћи и др.облици помоћи</t>
  </si>
  <si>
    <t>Дневне услуге у заједници</t>
  </si>
  <si>
    <t>Дневне услуге у заједници - Организ.јединица Центра за социјални рад</t>
  </si>
  <si>
    <t xml:space="preserve">Управљање/одржавање јавним осветљењем </t>
  </si>
  <si>
    <t>Управљање/одржавање јавним осветљењем</t>
  </si>
  <si>
    <t>Управљање и снабдевање водом за пиће</t>
  </si>
  <si>
    <t>Енергетски менаџмент</t>
  </si>
  <si>
    <t>Подшка економском развоју и промоцији предузетништва</t>
  </si>
  <si>
    <t>Програм 7.  Организ.саобаћ.и саобр.инфраструк.</t>
  </si>
  <si>
    <t>Управљање и одржавање саоб.инфраструк.</t>
  </si>
  <si>
    <t>Управљање и одржавање саобраћајне инфраструктуре</t>
  </si>
  <si>
    <t>Функц. и остваривање  предш.васп.и образ.</t>
  </si>
  <si>
    <t>Функц. и остваривање  предш.васп.и образ</t>
  </si>
  <si>
    <t>Јачање културне продукције и умет.стварал.</t>
  </si>
  <si>
    <t>Функционисање месних заједница</t>
  </si>
  <si>
    <t>ПРОГРАМ 15 ОПШТЕ УСЛУГЕ ЛОКАЛНЕ САМОУР.</t>
  </si>
  <si>
    <t>ПЛАН ЗА 2021.Г.</t>
  </si>
  <si>
    <t>483 Новчане казне и пенали</t>
  </si>
  <si>
    <t>Подршка деци и породици са децом</t>
  </si>
  <si>
    <t>Спец.усл.(кошење банкина)</t>
  </si>
  <si>
    <t>Спец.усл.(постављање сигнализација)</t>
  </si>
  <si>
    <t>Текуће попр.и одрж.-крпљење ударних рупа</t>
  </si>
  <si>
    <t>Тек. поп.и одрж. (тротоари, клупе,. и др)</t>
  </si>
  <si>
    <t xml:space="preserve">ПРОГРАМ 1: СТАНОВАЊЕ, УРБАНИЗАМ И ПРОСТОРНО ПЛАНИРАЊЕ
</t>
  </si>
  <si>
    <t>Управљање отпадним водама</t>
  </si>
  <si>
    <t>520</t>
  </si>
  <si>
    <t>Упраљање отпадним водама</t>
  </si>
  <si>
    <t>Приходи од имовине који припада имаоцима полисе осигурања општина</t>
  </si>
  <si>
    <t xml:space="preserve">Приходи од имовине који припада имаоцима полисе осигурања </t>
  </si>
  <si>
    <t>Накнада по основу конверзије права коришћ.у право својине у корист Републике</t>
  </si>
  <si>
    <t>ПЛАН ЗА  ИЗВОР ФИН.: 01</t>
  </si>
  <si>
    <t>ПЛАН ЗА  ИЗВОР ФИН.: 04</t>
  </si>
  <si>
    <t>ПЛАН ЗА  ИЗВОР ФИН.: 06</t>
  </si>
  <si>
    <t>ПЛАН ЗА  ИЗВОР ФИН.: 07</t>
  </si>
  <si>
    <t>ПЛАН ЗА  ИЗВОР ФИН.: 13</t>
  </si>
  <si>
    <t>ПЛАН ЗА  ИЗВОР ФИН.: 16</t>
  </si>
  <si>
    <t>ПРОГРАМ 7: ОРГАНИЗ. САОБ.И САОБ.ИНФРАСТ.</t>
  </si>
  <si>
    <t>515 Нематеријална имовина</t>
  </si>
  <si>
    <t>Унапређење привредног и инвестиционог амбијента</t>
  </si>
  <si>
    <t>Дотације удружењима грађана</t>
  </si>
  <si>
    <t>ПРИМАЊА ОД ПРОДАЈЕ ЗЕМЉИШТА</t>
  </si>
  <si>
    <t>Примања од продаје земљишта</t>
  </si>
  <si>
    <t>Примања од продаје земљишта у корист нивоа општина</t>
  </si>
  <si>
    <t>Текући трансф.од других нивоа власти</t>
  </si>
  <si>
    <t>Меморандумске ставке за рефундацију расхода из претх.године</t>
  </si>
  <si>
    <t>Спец.усл.(набавка знакова)</t>
  </si>
  <si>
    <t>УКУПАН ПЛАН ЗА 2021.</t>
  </si>
  <si>
    <t>Услуге по уговору - накнада за одборнике</t>
  </si>
  <si>
    <t xml:space="preserve">Услуге по уговору - комисије </t>
  </si>
  <si>
    <t>Услуге по уговору - комисије</t>
  </si>
  <si>
    <t>Услуге по уговору - међународна сарадња</t>
  </si>
  <si>
    <t>Услуге по уговору - обука у вези послова одбране</t>
  </si>
  <si>
    <t>Услуге по уговору - средства за рад интерресорне комисије</t>
  </si>
  <si>
    <t>Услуге по уговору  - услуге ревизије</t>
  </si>
  <si>
    <t>Накнаде за соц.заштиту из буџета -дошколовавање запослених</t>
  </si>
  <si>
    <t>Дотац,невладиним орг -чланарине</t>
  </si>
  <si>
    <t>Услуге по уговору -учешће и предфин.прој.</t>
  </si>
  <si>
    <t>Материјал - учешће и предфин.прој</t>
  </si>
  <si>
    <t>Стални трошкови-учешће и предфин.прој.</t>
  </si>
  <si>
    <t>Транф.ост. нивоима власти - средства за едукацију</t>
  </si>
  <si>
    <t>Услуге по уговору - семинари, обука и израда плана за ван. сит.</t>
  </si>
  <si>
    <t>Специјализоване услуге -финан.припр.и реаг.у ванред.ситуацијама</t>
  </si>
  <si>
    <t>421 Стални трошкови - днев.усл. у лок.зај.</t>
  </si>
  <si>
    <t>423 Услуге по уговору - днев.усл. у лок.зај.</t>
  </si>
  <si>
    <t>425 Текуће поправке и одржавање - днев.усл. у лок.зај.</t>
  </si>
  <si>
    <t>426 Материјал - днев.усл. у лок.зај.</t>
  </si>
  <si>
    <t>512 Машине и опрема - днев.усл. у лок.зај.</t>
  </si>
  <si>
    <t>426 Материјал - мед. и лаб.</t>
  </si>
  <si>
    <t>Специјализоване услуге - мртвозорство</t>
  </si>
  <si>
    <t xml:space="preserve">Услуге по уговору - пољочуварска служба </t>
  </si>
  <si>
    <t>Материјал - пољочув. и противг.служ.(по програму)</t>
  </si>
  <si>
    <t>Материјал -поступак издав.у зак.и комас. (по програму)</t>
  </si>
  <si>
    <t>Субвенције јавним нефин,пред.- за уређ.канала.(по програму)</t>
  </si>
  <si>
    <t>Субвенције јавним нефин,пред - средства за рурални развој</t>
  </si>
  <si>
    <t>Специјализоване услуге -геодетске усл.(по програму)</t>
  </si>
  <si>
    <t>Специјализоване услуге -испитивање  земљишта (по програму)</t>
  </si>
  <si>
    <t>Специјализоване услуге - спр.прог.ком.Чока.(по програму)</t>
  </si>
  <si>
    <t>Специјализовне услуге - сузбијање комараца</t>
  </si>
  <si>
    <t>Текуће поправке и одржавање канализације</t>
  </si>
  <si>
    <t>Усл.по уговору - уклањ. угин.животиња</t>
  </si>
  <si>
    <t>Накн.за соц.заш.из буџета-грађ.материјал</t>
  </si>
  <si>
    <t>Накн.за соц.заш.из буџета-наб.сеоских кућа</t>
  </si>
  <si>
    <t>Пратећи трошкови задуживања - казне</t>
  </si>
  <si>
    <t xml:space="preserve">Услуге по уговору - информисање јавности </t>
  </si>
  <si>
    <t xml:space="preserve">Дотација невладиним организацијама - Црвеном крсту </t>
  </si>
  <si>
    <t>Накнаде за соц.заштиту из буџета - Народна кухиња</t>
  </si>
  <si>
    <t>Накнаде за соц.заштиту из буџета-исхрана и смештај ученика</t>
  </si>
  <si>
    <t>Накнаде за соц.заштиту из буџета-једокр.помоћ за породиље</t>
  </si>
  <si>
    <t>Накнаде за соц.заштиту из буџета-пакетићи</t>
  </si>
  <si>
    <t>Накнаде за соц.заштиту из буџета- за образовање, културу, науку</t>
  </si>
  <si>
    <t>472 Накнаде за соц.заштиту из буџета - у случају смрти</t>
  </si>
  <si>
    <t xml:space="preserve">511 Зграде и грађ.обј.-капитално одржавање </t>
  </si>
  <si>
    <t>414 Социјална давања запосленима-помоћ у медицинском лечењу</t>
  </si>
  <si>
    <t>Дотације невладиним орг.-спортским организацијама</t>
  </si>
  <si>
    <t>Дотације невлад.орг.- традиц. црквама и верским заједницама</t>
  </si>
  <si>
    <t>Дотације невлад.орг.- удружењима грађана из области културе</t>
  </si>
  <si>
    <t>Услуге по уговору - накнада за заменика пред.Скупштине</t>
  </si>
  <si>
    <t>Услуге по уговору - накнада за чланове Општинског већа</t>
  </si>
  <si>
    <t>Зграде и грађ.обј. (кап.одрж.улица)</t>
  </si>
  <si>
    <t>472 Накнаде за соц.заштиту из буџета - за становање и живот</t>
  </si>
  <si>
    <t>472 Накнаде за соц.заштиту из буџета - једнократна помоћ</t>
  </si>
  <si>
    <t>Накнаде за соц.заштиту из буџета - превоз ученика сред.школа</t>
  </si>
  <si>
    <t>Спец.усл.-санац.технич.биолош.регулат.деград.прост.</t>
  </si>
  <si>
    <t>Специј. услуге -  одрж. зелених повр. (кошење, одрж.)</t>
  </si>
  <si>
    <t>Специј. услуге -  одрж. зелених повр. (орезивање дрвећа)</t>
  </si>
  <si>
    <t>Зграде и грађ.обј. (кап.одржав. улица)</t>
  </si>
  <si>
    <t>Остале дотације и трансфери - средства за одржавање железнице</t>
  </si>
  <si>
    <t>Оптплата домаћих камата</t>
  </si>
  <si>
    <t>ПРОГРАМ 17: ЕНЕРГЕТСКА ЕФИКАСНОСТ И ОБНОВЉИВИ ИЗВОРИ ЕНЕРГИЈЕ</t>
  </si>
  <si>
    <t>511 Зграде и грађ.обј.</t>
  </si>
  <si>
    <t>Специјализовне услуге - Фонд за заштиту живот. средине</t>
  </si>
  <si>
    <t>Спец. Усл. -рад. на обнови прем. грађ.реона у Чоки</t>
  </si>
  <si>
    <t xml:space="preserve">Зграде и грађ.обј.-пројектно планирање </t>
  </si>
  <si>
    <t xml:space="preserve">512 Машине и опрема </t>
  </si>
  <si>
    <t>Дотац.орг.са обавезно соц.осигурање - средства активне мере 
запошљавања-Буџетски фонд</t>
  </si>
  <si>
    <t>082</t>
  </si>
  <si>
    <t>168</t>
  </si>
  <si>
    <t>169</t>
  </si>
  <si>
    <t>171</t>
  </si>
  <si>
    <t>Финансирање Спортског савеза општине Чока</t>
  </si>
  <si>
    <t>Дотац.невл.орг.-сред.за заштиту од пожара(Општ.ватр.сав. и др.)</t>
  </si>
  <si>
    <t>Зграде и грађ.обј.-набавка непокретности</t>
  </si>
  <si>
    <t>Порез на приходе од самосталних делатности који се плаћа према стварно оствареном нето приходу</t>
  </si>
  <si>
    <t xml:space="preserve">Порез на прих. од сам.дел. који се плаћа према паушалу одређ.нето приходу  </t>
  </si>
  <si>
    <t xml:space="preserve">Порез на прих. од сам.дел. који се плаћа према стварно оств.прих.самоопорез.  </t>
  </si>
  <si>
    <t>Порез на прих.од давања у закуп покр.ствари</t>
  </si>
  <si>
    <t>Порез на земљиште</t>
  </si>
  <si>
    <t xml:space="preserve">Самодопринос према зарадама зап.на тер.општ.  </t>
  </si>
  <si>
    <t xml:space="preserve">Самодопринос  из прих.земљорадника  </t>
  </si>
  <si>
    <t>Самодопринос из прих.лица која се баве сам.дел.</t>
  </si>
  <si>
    <t>Порез на остале приходе</t>
  </si>
  <si>
    <t>Порез на приходе проф.спортиста</t>
  </si>
  <si>
    <t>Порез на имовину од физичких лица</t>
  </si>
  <si>
    <t>Порез на имовину од правних лица</t>
  </si>
  <si>
    <t>Порез на пренос апсолутних права код продаје стеч.дужника</t>
  </si>
  <si>
    <t>Боравишна такса</t>
  </si>
  <si>
    <t>Посебна накнада за заштиту и унапређење животне средине</t>
  </si>
  <si>
    <t>Комунална такса за истицање фирме на пословном простору</t>
  </si>
  <si>
    <t>Текући наменски трансф.од Републике</t>
  </si>
  <si>
    <t xml:space="preserve">Текући наменски трансф.од АПВ </t>
  </si>
  <si>
    <t>Капитални трансф.од Републике у корист нивоа општина</t>
  </si>
  <si>
    <t>Капитални трансфери од АП Војводина у корист нивоа општина</t>
  </si>
  <si>
    <t xml:space="preserve">Приходи буџета општине од камата на средства буџета </t>
  </si>
  <si>
    <t xml:space="preserve">Накнада за коришћење пољопривр. земљишта </t>
  </si>
  <si>
    <t>Накнада за коришћење шума и шумског земљишта</t>
  </si>
  <si>
    <t>Накнада за коришћење градског грађевинског земљишта</t>
  </si>
  <si>
    <t>Допринос за уређивање грађевинског земљишта</t>
  </si>
  <si>
    <t>Приходи од давања у узакуп, односно од коришћења непокретности у др.свој.</t>
  </si>
  <si>
    <t>Накнада по основу конверзије права коришћ.у право својине у корист нив.општ.</t>
  </si>
  <si>
    <t>Приходи остварени по основу пруж. услуга боравка деце у пред.уст.у кор.опш.</t>
  </si>
  <si>
    <t>Општинске административне таксе</t>
  </si>
  <si>
    <t>Такса за озакоњење објеката у корист нивоа општина</t>
  </si>
  <si>
    <t xml:space="preserve">Приходи индиректних корисника буџетских средстава који се оствар.дод.акт. </t>
  </si>
  <si>
    <t>Остали приходи у корист нивоа општина</t>
  </si>
  <si>
    <t>Део добити ЈП, према одлуци управног одбора ЈП у корист нивоа општина</t>
  </si>
  <si>
    <t>Закупнина за стан у општинској својини у корист нивоа општине</t>
  </si>
  <si>
    <t>Примања од отплате станова у корист нивоа општина</t>
  </si>
  <si>
    <t>ПЛАН ЗА ИЗВОР ФИН.:
15</t>
  </si>
  <si>
    <t>Приходи од продаје доб. и усл. или закупа од стране трж. орг.у кор.нивоа опш.</t>
  </si>
  <si>
    <t>Тек.попр. и одржавање - уређ.атарских пут.и отресишта (по прог)</t>
  </si>
  <si>
    <t>Накнаде за соц.заштиту из буџета-једнократне помоћи-поп.полит.</t>
  </si>
  <si>
    <t>Зграде и грађ.обј. (прој.пл.-Мост на Злат., ПДР за Бан.магист.,ПДР за траседр.пута2ареда104 на делуБ.Аран.Ц.Бара и др.)</t>
  </si>
  <si>
    <t xml:space="preserve">Зграде и грађевински објекти </t>
  </si>
  <si>
    <t xml:space="preserve">Приходи од давања у закуп ,односно на коришћење непокретности у општинској својини </t>
  </si>
  <si>
    <t>Накнада за коришћење дрвета</t>
  </si>
  <si>
    <t>1801-П-1</t>
  </si>
  <si>
    <t>Машине и опрема (ултразвук)</t>
  </si>
  <si>
    <t>054A</t>
  </si>
  <si>
    <t>Услуге по уговору- бесплатна правна помоћ</t>
  </si>
  <si>
    <t>Комунална такса за истицање и исписивање фирме ван пословног простора, на објектима и просторијама који припадају општини</t>
  </si>
  <si>
    <t xml:space="preserve">Комунална такса за држање моторних друмских и прикључних возила осим пољоп.машина возила  и машина </t>
  </si>
  <si>
    <t xml:space="preserve">Порез на пренос апсолутних права на непокретности </t>
  </si>
  <si>
    <t xml:space="preserve">Порез на пренос апсолутних права на полов.мот.возилима </t>
  </si>
  <si>
    <t>Пројекат:Реализац.рачун.и језич.курсева</t>
  </si>
  <si>
    <t>УКУПАН ПЛАН ЗА 2022.</t>
  </si>
  <si>
    <t>ПЛАН ЗА 2022.Г.</t>
  </si>
  <si>
    <t>Спец.усл.(обележавање саобраћ.сигнал.хориз.)</t>
  </si>
  <si>
    <t>Текуће поправке и одрж. -водовод у Падеју и у Остојићево</t>
  </si>
  <si>
    <t>Зграде и грађ.обј.-док.легал.бун. у Падеју, елаб. 
за санит.заш.зону за бун. у нас.Чока, елаб. подзем.вода</t>
  </si>
  <si>
    <t>Специј.усл.-хем.бак.анал.воде,хидрод.тест.,евид.вода</t>
  </si>
  <si>
    <t>Енергетски менанџмент</t>
  </si>
  <si>
    <t>Субвенције јавним нефин.пр.Регион.деп. ДОО Суб.-текућ.расх.</t>
  </si>
  <si>
    <t>Накнаде за социјалну заштиту-једнократне помоћи</t>
  </si>
  <si>
    <t>НАЦРТ</t>
  </si>
  <si>
    <t>Набавка остале некретнине о опрема</t>
  </si>
  <si>
    <t>Дотација невлад.орг.-Саветима националних мањина</t>
  </si>
  <si>
    <t>Машине и опрема .(по програму-рачунар,штампач)</t>
  </si>
  <si>
    <t>Спецализоване услуге (дерат.хемиј.зашт.)</t>
  </si>
  <si>
    <t>Спец.услуге -укл.неадек.одлож.отпад.изн.смећаЈазово</t>
  </si>
  <si>
    <t>Текуће поправке и одрж.уређ.јавне повр.(атм.кан.и ост.)</t>
  </si>
  <si>
    <t>ПЛАН</t>
  </si>
  <si>
    <t>ИЗВРШЕЊЕ ДО 02.09.2020</t>
  </si>
  <si>
    <t xml:space="preserve">Одржавање чист.на површ.јавне намене </t>
  </si>
  <si>
    <t>Накнада за промену намене пољопривредног земљишта</t>
  </si>
  <si>
    <t>Накнада од емисије SO2, NO2, прешкастих материја и одложеног отпада</t>
  </si>
  <si>
    <t>Накнада за коришћење јавне површине у пословне и друге сврхе</t>
  </si>
  <si>
    <t>УКУПАН ПЛАН ЗА 2023.</t>
  </si>
  <si>
    <t>ПЛАН РАСХОДА БУЏЕТА ОПШТИНЕ ЧОКА ЗА 2021, СА ПРОЈЕКЦИЈАМА ЗА 2022. И 2023.ГОДИНУ</t>
  </si>
  <si>
    <t>0701-005</t>
  </si>
  <si>
    <t xml:space="preserve"> Унапређење безбедности саобраћаја</t>
  </si>
  <si>
    <t>0701-0005</t>
  </si>
  <si>
    <t>Унапређење безбедности саобраћаја</t>
  </si>
  <si>
    <t>Опште јавне услуге некласификоване на другом месту</t>
  </si>
  <si>
    <t>Субвенције приватним предузећима</t>
  </si>
  <si>
    <t>013</t>
  </si>
  <si>
    <t xml:space="preserve">ПЛАН ПРИХОДА  БУЏЕТА ОПШТИНЕ ЧОКА ЗА  2021. СА ПРОЈЕКЦИЈАМА ЗА  2022. и за 2023. ГОДИНУ </t>
  </si>
  <si>
    <t>ПЛАН ЗА 2023.Г.</t>
  </si>
  <si>
    <t>ПЛАН            2020</t>
  </si>
  <si>
    <t>Материјал-избори</t>
  </si>
  <si>
    <t>Услуге по уговору-избори</t>
  </si>
  <si>
    <t>У</t>
  </si>
  <si>
    <t>Матријал-избори</t>
  </si>
  <si>
    <t>485 Накнада штете за повр. или штету нанету од ст.др.орг</t>
  </si>
  <si>
    <t>Субвенције за ЈКП Чока</t>
  </si>
  <si>
    <t>Специјализоване услуге - трош.руш.обј.</t>
  </si>
  <si>
    <t>0602-00010</t>
  </si>
  <si>
    <t xml:space="preserve">Тек.попр.и одржавање - насип.лом.црепа и греб.асфалта </t>
  </si>
  <si>
    <t>Спецализоване услуге (хватање паса и приврем.збрињ.)</t>
  </si>
  <si>
    <t>075</t>
  </si>
  <si>
    <t>076</t>
  </si>
  <si>
    <t>078</t>
  </si>
  <si>
    <t>077</t>
  </si>
  <si>
    <t>079</t>
  </si>
  <si>
    <t>081</t>
  </si>
  <si>
    <t>162</t>
  </si>
  <si>
    <t>163</t>
  </si>
  <si>
    <t>164</t>
  </si>
  <si>
    <t>243</t>
  </si>
  <si>
    <t>244</t>
  </si>
  <si>
    <t>245</t>
  </si>
  <si>
    <t>Зграде и грађ. објекти- пројектно планирање</t>
  </si>
  <si>
    <t>Набавка остале некретнине</t>
  </si>
  <si>
    <t xml:space="preserve">Функционисање ОШ </t>
  </si>
  <si>
    <t>УКУПАН ПЛАН БУЏЕТА ЗА 2021.Г.</t>
  </si>
  <si>
    <t>УКУПНИ ПРИХОДИ ЗА 2021. годину:</t>
  </si>
  <si>
    <t>ПЛАН ЗА 2021.ГОД.</t>
  </si>
  <si>
    <t>2. РАСХОДИ ПО ОСНОВНИМ НАМЕНАМА БУЏЕТА ОПШТИНЕ ЧОКА ЗА 2021. година</t>
  </si>
  <si>
    <t>014</t>
  </si>
  <si>
    <t>Текуће поправке и одрж. -водоводa</t>
  </si>
  <si>
    <t>ПЛАН   ЗА ИЗВОР ФИН.                   01</t>
  </si>
  <si>
    <t>159</t>
  </si>
  <si>
    <t>161</t>
  </si>
  <si>
    <t>165</t>
  </si>
  <si>
    <t>166</t>
  </si>
  <si>
    <t>167</t>
  </si>
  <si>
    <t>228</t>
  </si>
  <si>
    <t>229</t>
  </si>
  <si>
    <t>230</t>
  </si>
  <si>
    <t>011A</t>
  </si>
  <si>
    <t>012А</t>
  </si>
  <si>
    <t>042А</t>
  </si>
  <si>
    <t>306А</t>
  </si>
  <si>
    <t>306Б</t>
  </si>
  <si>
    <t>317А</t>
  </si>
  <si>
    <t>317Б</t>
  </si>
  <si>
    <t>215A</t>
  </si>
  <si>
    <t>171A</t>
  </si>
  <si>
    <t>176А</t>
  </si>
  <si>
    <t>512 Машине опрема</t>
  </si>
  <si>
    <t>006A</t>
  </si>
  <si>
    <t>Стални трошкови-избори</t>
  </si>
  <si>
    <t>УКУПАН ПЛАН ЗА 2021.Г.</t>
  </si>
  <si>
    <t>ПЛАН            2021                     01</t>
  </si>
  <si>
    <t>211A</t>
  </si>
  <si>
    <t>Зграде и грађевински објекти-Изград. зелене пијаце у Падеју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</si>
</sst>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??,???,??0.00"/>
    <numFmt numFmtId="173" formatCode="?,???,??0.00"/>
    <numFmt numFmtId="174" formatCode="???"/>
    <numFmt numFmtId="175" formatCode="000"/>
    <numFmt numFmtId="176" formatCode="???,??0.00"/>
    <numFmt numFmtId="177" formatCode="??,??0.00"/>
    <numFmt numFmtId="178" formatCode="???,???,??0.00"/>
    <numFmt numFmtId="179" formatCode="#,##0.00;[Red]#,##0.00"/>
    <numFmt numFmtId="180" formatCode="?"/>
    <numFmt numFmtId="181" formatCode="????"/>
    <numFmt numFmtId="182" formatCode="?????"/>
    <numFmt numFmtId="183" formatCode="??????"/>
    <numFmt numFmtId="184" formatCode="_-* #,##0\ _d_i_n_._-;\-* #,##0\ _d_i_n_._-;_-* &quot;-&quot;\ _d_i_n_._-;_-@_-"/>
    <numFmt numFmtId="185" formatCode="_(* #,##0.00_);_(* \(#,##0.00\);_(* \-??_);_(@_)"/>
    <numFmt numFmtId="186" formatCode="_-* #,##0.00\ _D_i_n_._-;\-* #,##0.00\ _D_i_n_._-;_-* \-??\ _D_i_n_._-;_-@_-"/>
    <numFmt numFmtId="187" formatCode="0.00000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9"/>
      <color indexed="8"/>
      <name val="Calibri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85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45" applyFont="1" applyBorder="1">
      <alignment/>
      <protection/>
    </xf>
    <xf numFmtId="0" fontId="0" fillId="0" borderId="16" xfId="45" applyFont="1" applyFill="1" applyBorder="1" applyAlignment="1">
      <alignment/>
      <protection/>
    </xf>
    <xf numFmtId="0" fontId="6" fillId="0" borderId="17" xfId="45" applyFont="1" applyBorder="1">
      <alignment/>
      <protection/>
    </xf>
    <xf numFmtId="0" fontId="6" fillId="0" borderId="0" xfId="0" applyFont="1" applyAlignment="1">
      <alignment/>
    </xf>
    <xf numFmtId="0" fontId="4" fillId="0" borderId="17" xfId="45" applyFont="1" applyBorder="1">
      <alignment/>
      <protection/>
    </xf>
    <xf numFmtId="0" fontId="7" fillId="0" borderId="17" xfId="45" applyFont="1" applyBorder="1">
      <alignment/>
      <protection/>
    </xf>
    <xf numFmtId="0" fontId="0" fillId="0" borderId="17" xfId="45" applyFont="1" applyBorder="1">
      <alignment/>
      <protection/>
    </xf>
    <xf numFmtId="0" fontId="0" fillId="0" borderId="17" xfId="45" applyFont="1" applyFill="1" applyBorder="1">
      <alignment/>
      <protection/>
    </xf>
    <xf numFmtId="179" fontId="4" fillId="0" borderId="18" xfId="45" applyNumberFormat="1" applyFont="1" applyBorder="1" applyAlignment="1">
      <alignment horizontal="right" vertical="top"/>
      <protection/>
    </xf>
    <xf numFmtId="179" fontId="0" fillId="0" borderId="18" xfId="45" applyNumberFormat="1" applyFont="1" applyBorder="1">
      <alignment/>
      <protection/>
    </xf>
    <xf numFmtId="0" fontId="4" fillId="0" borderId="19" xfId="45" applyFont="1" applyBorder="1">
      <alignment/>
      <protection/>
    </xf>
    <xf numFmtId="178" fontId="4" fillId="0" borderId="20" xfId="45" applyNumberFormat="1" applyFont="1" applyBorder="1">
      <alignment/>
      <protection/>
    </xf>
    <xf numFmtId="17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0" xfId="42" applyNumberFormat="1" applyFont="1" applyBorder="1" applyAlignment="1">
      <alignment horizontal="left" vertical="top"/>
      <protection/>
    </xf>
    <xf numFmtId="49" fontId="4" fillId="0" borderId="0" xfId="42" applyNumberFormat="1" applyFont="1" applyBorder="1" applyAlignment="1">
      <alignment horizontal="center" vertical="top"/>
      <protection/>
    </xf>
    <xf numFmtId="49" fontId="7" fillId="0" borderId="0" xfId="42" applyNumberFormat="1" applyFont="1" applyAlignment="1">
      <alignment horizontal="left" vertical="top"/>
      <protection/>
    </xf>
    <xf numFmtId="0" fontId="4" fillId="0" borderId="0" xfId="42" applyFont="1" applyBorder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49" fontId="4" fillId="0" borderId="0" xfId="42" applyNumberFormat="1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49" fontId="4" fillId="33" borderId="21" xfId="42" applyNumberFormat="1" applyFont="1" applyFill="1" applyBorder="1" applyAlignment="1">
      <alignment horizontal="center"/>
      <protection/>
    </xf>
    <xf numFmtId="49" fontId="4" fillId="33" borderId="22" xfId="42" applyNumberFormat="1" applyFont="1" applyFill="1" applyBorder="1" applyAlignment="1">
      <alignment horizontal="center" vertical="top"/>
      <protection/>
    </xf>
    <xf numFmtId="0" fontId="4" fillId="33" borderId="22" xfId="42" applyFont="1" applyFill="1" applyBorder="1" applyAlignment="1">
      <alignment horizontal="center"/>
      <protection/>
    </xf>
    <xf numFmtId="174" fontId="4" fillId="34" borderId="22" xfId="42" applyNumberFormat="1" applyFont="1" applyFill="1" applyBorder="1" applyAlignment="1">
      <alignment horizontal="center" vertical="top"/>
      <protection/>
    </xf>
    <xf numFmtId="4" fontId="4" fillId="34" borderId="22" xfId="42" applyNumberFormat="1" applyFont="1" applyFill="1" applyBorder="1" applyAlignment="1">
      <alignment horizontal="right" vertical="top"/>
      <protection/>
    </xf>
    <xf numFmtId="174" fontId="4" fillId="0" borderId="22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right" vertical="top"/>
      <protection/>
    </xf>
    <xf numFmtId="49" fontId="4" fillId="34" borderId="22" xfId="42" applyNumberFormat="1" applyFont="1" applyFill="1" applyBorder="1" applyAlignment="1">
      <alignment horizontal="center" vertical="top"/>
      <protection/>
    </xf>
    <xf numFmtId="49" fontId="7" fillId="0" borderId="22" xfId="42" applyNumberFormat="1" applyFont="1" applyFill="1" applyBorder="1" applyAlignment="1">
      <alignment horizontal="center" vertical="top"/>
      <protection/>
    </xf>
    <xf numFmtId="174" fontId="4" fillId="0" borderId="23" xfId="42" applyNumberFormat="1" applyFont="1" applyFill="1" applyBorder="1" applyAlignment="1">
      <alignment horizontal="center" vertical="top"/>
      <protection/>
    </xf>
    <xf numFmtId="174" fontId="4" fillId="0" borderId="16" xfId="42" applyNumberFormat="1" applyFont="1" applyFill="1" applyBorder="1" applyAlignment="1">
      <alignment horizontal="center" vertical="top"/>
      <protection/>
    </xf>
    <xf numFmtId="174" fontId="4" fillId="0" borderId="24" xfId="42" applyNumberFormat="1" applyFont="1" applyFill="1" applyBorder="1" applyAlignment="1">
      <alignment horizontal="center" vertical="top"/>
      <protection/>
    </xf>
    <xf numFmtId="4" fontId="4" fillId="0" borderId="0" xfId="0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4" fontId="4" fillId="0" borderId="26" xfId="42" applyNumberFormat="1" applyFont="1" applyFill="1" applyBorder="1" applyAlignment="1">
      <alignment horizontal="right" vertical="top"/>
      <protection/>
    </xf>
    <xf numFmtId="0" fontId="4" fillId="33" borderId="27" xfId="42" applyFont="1" applyFill="1" applyBorder="1" applyAlignment="1">
      <alignment horizontal="center"/>
      <protection/>
    </xf>
    <xf numFmtId="4" fontId="4" fillId="33" borderId="26" xfId="42" applyNumberFormat="1" applyFont="1" applyFill="1" applyBorder="1" applyAlignment="1">
      <alignment horizontal="right" vertical="top"/>
      <protection/>
    </xf>
    <xf numFmtId="4" fontId="4" fillId="34" borderId="26" xfId="42" applyNumberFormat="1" applyFont="1" applyFill="1" applyBorder="1" applyAlignment="1">
      <alignment horizontal="right" vertical="top"/>
      <protection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 wrapText="1"/>
    </xf>
    <xf numFmtId="4" fontId="4" fillId="0" borderId="30" xfId="42" applyNumberFormat="1" applyFont="1" applyBorder="1" applyAlignment="1">
      <alignment horizontal="right" vertical="center"/>
      <protection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178" fontId="5" fillId="0" borderId="32" xfId="45" applyNumberFormat="1" applyFont="1" applyBorder="1" applyAlignment="1">
      <alignment horizontal="right" vertical="center"/>
      <protection/>
    </xf>
    <xf numFmtId="178" fontId="0" fillId="0" borderId="0" xfId="0" applyNumberFormat="1" applyFont="1" applyFill="1" applyAlignment="1">
      <alignment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9" fillId="35" borderId="33" xfId="0" applyFont="1" applyFill="1" applyBorder="1" applyAlignment="1">
      <alignment vertical="top"/>
    </xf>
    <xf numFmtId="0" fontId="5" fillId="0" borderId="0" xfId="45" applyFont="1" applyAlignment="1">
      <alignment horizontal="left" vertical="top"/>
      <protection/>
    </xf>
    <xf numFmtId="0" fontId="10" fillId="0" borderId="0" xfId="45" applyFont="1" applyAlignment="1">
      <alignment horizontal="left" vertical="top"/>
      <protection/>
    </xf>
    <xf numFmtId="0" fontId="5" fillId="0" borderId="0" xfId="45" applyFont="1" applyBorder="1" applyAlignment="1">
      <alignment horizontal="left" vertical="center"/>
      <protection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4" fillId="0" borderId="10" xfId="45" applyFont="1" applyFill="1" applyBorder="1" applyAlignment="1">
      <alignment horizontal="center" vertical="center" wrapText="1"/>
      <protection/>
    </xf>
    <xf numFmtId="49" fontId="5" fillId="36" borderId="17" xfId="45" applyNumberFormat="1" applyFont="1" applyFill="1" applyBorder="1" applyAlignment="1">
      <alignment horizontal="center" vertical="top"/>
      <protection/>
    </xf>
    <xf numFmtId="180" fontId="9" fillId="35" borderId="16" xfId="45" applyNumberFormat="1" applyFont="1" applyFill="1" applyBorder="1" applyAlignment="1">
      <alignment horizontal="left" vertical="top"/>
      <protection/>
    </xf>
    <xf numFmtId="0" fontId="6" fillId="35" borderId="16" xfId="45" applyFont="1" applyFill="1" applyBorder="1">
      <alignment/>
      <protection/>
    </xf>
    <xf numFmtId="0" fontId="6" fillId="35" borderId="34" xfId="45" applyFont="1" applyFill="1" applyBorder="1">
      <alignment/>
      <protection/>
    </xf>
    <xf numFmtId="0" fontId="9" fillId="35" borderId="25" xfId="0" applyFont="1" applyFill="1" applyBorder="1" applyAlignment="1">
      <alignment vertical="top"/>
    </xf>
    <xf numFmtId="178" fontId="9" fillId="35" borderId="18" xfId="45" applyNumberFormat="1" applyFont="1" applyFill="1" applyBorder="1" applyAlignment="1">
      <alignment horizontal="right" vertical="top"/>
      <protection/>
    </xf>
    <xf numFmtId="0" fontId="4" fillId="33" borderId="16" xfId="45" applyFont="1" applyFill="1" applyBorder="1">
      <alignment/>
      <protection/>
    </xf>
    <xf numFmtId="174" fontId="11" fillId="33" borderId="16" xfId="45" applyNumberFormat="1" applyFont="1" applyFill="1" applyBorder="1" applyAlignment="1">
      <alignment horizontal="left" vertical="top"/>
      <protection/>
    </xf>
    <xf numFmtId="0" fontId="4" fillId="33" borderId="34" xfId="45" applyFont="1" applyFill="1" applyBorder="1">
      <alignment/>
      <protection/>
    </xf>
    <xf numFmtId="0" fontId="11" fillId="33" borderId="34" xfId="0" applyFont="1" applyFill="1" applyBorder="1" applyAlignment="1">
      <alignment vertical="top"/>
    </xf>
    <xf numFmtId="172" fontId="8" fillId="33" borderId="18" xfId="45" applyNumberFormat="1" applyFont="1" applyFill="1" applyBorder="1" applyAlignment="1">
      <alignment horizontal="right" vertical="top"/>
      <protection/>
    </xf>
    <xf numFmtId="0" fontId="7" fillId="0" borderId="16" xfId="45" applyFont="1" applyBorder="1">
      <alignment/>
      <protection/>
    </xf>
    <xf numFmtId="181" fontId="10" fillId="0" borderId="16" xfId="45" applyNumberFormat="1" applyFont="1" applyBorder="1" applyAlignment="1">
      <alignment horizontal="left" vertical="top"/>
      <protection/>
    </xf>
    <xf numFmtId="0" fontId="7" fillId="0" borderId="34" xfId="45" applyFont="1" applyBorder="1">
      <alignment/>
      <protection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172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Border="1">
      <alignment/>
      <protection/>
    </xf>
    <xf numFmtId="0" fontId="0" fillId="0" borderId="34" xfId="45" applyFont="1" applyBorder="1">
      <alignment/>
      <protection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0" fillId="0" borderId="33" xfId="0" applyFont="1" applyBorder="1" applyAlignment="1">
      <alignment/>
    </xf>
    <xf numFmtId="172" fontId="12" fillId="0" borderId="18" xfId="45" applyNumberFormat="1" applyFont="1" applyBorder="1" applyAlignment="1" applyProtection="1">
      <alignment horizontal="right" vertical="top"/>
      <protection locked="0"/>
    </xf>
    <xf numFmtId="0" fontId="12" fillId="0" borderId="33" xfId="0" applyFont="1" applyBorder="1" applyAlignment="1">
      <alignment vertical="top"/>
    </xf>
    <xf numFmtId="172" fontId="12" fillId="0" borderId="18" xfId="45" applyNumberFormat="1" applyFont="1" applyFill="1" applyBorder="1" applyAlignment="1" applyProtection="1">
      <alignment horizontal="right" vertical="top"/>
      <protection locked="0"/>
    </xf>
    <xf numFmtId="0" fontId="4" fillId="33" borderId="33" xfId="0" applyFont="1" applyFill="1" applyBorder="1" applyAlignment="1">
      <alignment/>
    </xf>
    <xf numFmtId="176" fontId="8" fillId="33" borderId="18" xfId="45" applyNumberFormat="1" applyFont="1" applyFill="1" applyBorder="1" applyAlignment="1">
      <alignment horizontal="right" vertical="top"/>
      <protection/>
    </xf>
    <xf numFmtId="0" fontId="7" fillId="0" borderId="25" xfId="0" applyFont="1" applyBorder="1" applyAlignment="1">
      <alignment/>
    </xf>
    <xf numFmtId="0" fontId="7" fillId="0" borderId="33" xfId="0" applyFont="1" applyBorder="1" applyAlignment="1">
      <alignment/>
    </xf>
    <xf numFmtId="176" fontId="10" fillId="0" borderId="18" xfId="45" applyNumberFormat="1" applyFont="1" applyBorder="1" applyAlignment="1">
      <alignment horizontal="right" vertical="top"/>
      <protection/>
    </xf>
    <xf numFmtId="176" fontId="7" fillId="0" borderId="18" xfId="45" applyNumberFormat="1" applyFont="1" applyBorder="1" applyAlignment="1">
      <alignment horizontal="right" vertical="top"/>
      <protection/>
    </xf>
    <xf numFmtId="176" fontId="12" fillId="0" borderId="18" xfId="45" applyNumberFormat="1" applyFont="1" applyBorder="1" applyAlignment="1" applyProtection="1">
      <alignment horizontal="right" vertical="top"/>
      <protection locked="0"/>
    </xf>
    <xf numFmtId="0" fontId="4" fillId="33" borderId="25" xfId="0" applyFont="1" applyFill="1" applyBorder="1" applyAlignment="1">
      <alignment/>
    </xf>
    <xf numFmtId="173" fontId="7" fillId="0" borderId="18" xfId="45" applyNumberFormat="1" applyFont="1" applyBorder="1" applyAlignment="1">
      <alignment horizontal="right" vertical="top"/>
      <protection/>
    </xf>
    <xf numFmtId="173" fontId="12" fillId="0" borderId="18" xfId="45" applyNumberFormat="1" applyFont="1" applyFill="1" applyBorder="1" applyAlignment="1" applyProtection="1">
      <alignment horizontal="right" vertical="top"/>
      <protection locked="0"/>
    </xf>
    <xf numFmtId="177" fontId="12" fillId="0" borderId="18" xfId="45" applyNumberFormat="1" applyFont="1" applyBorder="1" applyAlignment="1" applyProtection="1">
      <alignment horizontal="right" vertical="top"/>
      <protection locked="0"/>
    </xf>
    <xf numFmtId="173" fontId="8" fillId="33" borderId="18" xfId="45" applyNumberFormat="1" applyFont="1" applyFill="1" applyBorder="1" applyAlignment="1">
      <alignment horizontal="right" vertical="top"/>
      <protection/>
    </xf>
    <xf numFmtId="177" fontId="7" fillId="0" borderId="18" xfId="45" applyNumberFormat="1" applyFont="1" applyBorder="1" applyAlignment="1">
      <alignment horizontal="right" vertical="top"/>
      <protection/>
    </xf>
    <xf numFmtId="177" fontId="12" fillId="0" borderId="18" xfId="45" applyNumberFormat="1" applyFont="1" applyFill="1" applyBorder="1" applyAlignment="1" applyProtection="1">
      <alignment horizontal="right" vertical="top"/>
      <protection locked="0"/>
    </xf>
    <xf numFmtId="173" fontId="12" fillId="0" borderId="18" xfId="45" applyNumberFormat="1" applyFont="1" applyBorder="1" applyAlignment="1" applyProtection="1">
      <alignment horizontal="right" vertical="top"/>
      <protection locked="0"/>
    </xf>
    <xf numFmtId="0" fontId="0" fillId="0" borderId="16" xfId="45" applyFont="1" applyFill="1" applyBorder="1">
      <alignment/>
      <protection/>
    </xf>
    <xf numFmtId="183" fontId="12" fillId="0" borderId="34" xfId="45" applyNumberFormat="1" applyFont="1" applyFill="1" applyBorder="1" applyAlignment="1">
      <alignment horizontal="left" vertical="top"/>
      <protection/>
    </xf>
    <xf numFmtId="0" fontId="9" fillId="35" borderId="34" xfId="0" applyFont="1" applyFill="1" applyBorder="1" applyAlignment="1">
      <alignment vertical="top"/>
    </xf>
    <xf numFmtId="176" fontId="12" fillId="0" borderId="18" xfId="45" applyNumberFormat="1" applyFont="1" applyFill="1" applyBorder="1" applyAlignment="1" applyProtection="1">
      <alignment horizontal="right" vertical="top"/>
      <protection locked="0"/>
    </xf>
    <xf numFmtId="181" fontId="12" fillId="0" borderId="16" xfId="45" applyNumberFormat="1" applyFont="1" applyBorder="1" applyAlignment="1">
      <alignment horizontal="left" vertical="top"/>
      <protection/>
    </xf>
    <xf numFmtId="176" fontId="12" fillId="0" borderId="18" xfId="45" applyNumberFormat="1" applyFont="1" applyBorder="1" applyAlignment="1">
      <alignment horizontal="right" vertical="top"/>
      <protection/>
    </xf>
    <xf numFmtId="0" fontId="7" fillId="0" borderId="16" xfId="45" applyFont="1" applyBorder="1" applyAlignment="1">
      <alignment horizontal="left"/>
      <protection/>
    </xf>
    <xf numFmtId="176" fontId="9" fillId="35" borderId="18" xfId="45" applyNumberFormat="1" applyFont="1" applyFill="1" applyBorder="1" applyAlignment="1">
      <alignment horizontal="right" vertical="top"/>
      <protection/>
    </xf>
    <xf numFmtId="0" fontId="4" fillId="0" borderId="16" xfId="45" applyFont="1" applyBorder="1">
      <alignment/>
      <protection/>
    </xf>
    <xf numFmtId="174" fontId="11" fillId="0" borderId="16" xfId="45" applyNumberFormat="1" applyFont="1" applyBorder="1" applyAlignment="1">
      <alignment horizontal="center" vertical="top"/>
      <protection/>
    </xf>
    <xf numFmtId="174" fontId="11" fillId="0" borderId="34" xfId="45" applyNumberFormat="1" applyFont="1" applyBorder="1" applyAlignment="1">
      <alignment horizontal="center" vertical="top"/>
      <protection/>
    </xf>
    <xf numFmtId="179" fontId="5" fillId="0" borderId="18" xfId="45" applyNumberFormat="1" applyFont="1" applyBorder="1" applyAlignment="1">
      <alignment horizontal="right" vertical="top"/>
      <protection/>
    </xf>
    <xf numFmtId="174" fontId="13" fillId="0" borderId="17" xfId="45" applyNumberFormat="1" applyFont="1" applyBorder="1" applyAlignment="1">
      <alignment horizontal="center" vertical="top"/>
      <protection/>
    </xf>
    <xf numFmtId="0" fontId="6" fillId="35" borderId="16" xfId="45" applyFont="1" applyFill="1" applyBorder="1" applyAlignment="1">
      <alignment horizontal="center"/>
      <protection/>
    </xf>
    <xf numFmtId="174" fontId="13" fillId="35" borderId="16" xfId="45" applyNumberFormat="1" applyFont="1" applyFill="1" applyBorder="1" applyAlignment="1">
      <alignment horizontal="center" vertical="top"/>
      <protection/>
    </xf>
    <xf numFmtId="0" fontId="6" fillId="35" borderId="34" xfId="45" applyFont="1" applyFill="1" applyBorder="1" applyAlignment="1">
      <alignment horizontal="center"/>
      <protection/>
    </xf>
    <xf numFmtId="179" fontId="9" fillId="35" borderId="18" xfId="45" applyNumberFormat="1" applyFont="1" applyFill="1" applyBorder="1" applyAlignment="1">
      <alignment horizontal="right" vertical="top"/>
      <protection/>
    </xf>
    <xf numFmtId="174" fontId="10" fillId="0" borderId="17" xfId="45" applyNumberFormat="1" applyFont="1" applyBorder="1" applyAlignment="1">
      <alignment horizontal="center" vertical="top"/>
      <protection/>
    </xf>
    <xf numFmtId="174" fontId="10" fillId="0" borderId="16" xfId="45" applyNumberFormat="1" applyFont="1" applyBorder="1" applyAlignment="1">
      <alignment horizontal="center" vertical="top"/>
      <protection/>
    </xf>
    <xf numFmtId="181" fontId="12" fillId="0" borderId="34" xfId="45" applyNumberFormat="1" applyFont="1" applyBorder="1" applyAlignment="1">
      <alignment horizontal="left" vertical="top"/>
      <protection/>
    </xf>
    <xf numFmtId="179" fontId="11" fillId="0" borderId="18" xfId="45" applyNumberFormat="1" applyFont="1" applyBorder="1" applyAlignment="1" applyProtection="1">
      <alignment horizontal="right" vertical="top"/>
      <protection locked="0"/>
    </xf>
    <xf numFmtId="0" fontId="4" fillId="0" borderId="34" xfId="45" applyFont="1" applyBorder="1">
      <alignment/>
      <protection/>
    </xf>
    <xf numFmtId="0" fontId="4" fillId="0" borderId="35" xfId="45" applyFont="1" applyBorder="1">
      <alignment/>
      <protection/>
    </xf>
    <xf numFmtId="0" fontId="4" fillId="0" borderId="36" xfId="45" applyFont="1" applyBorder="1">
      <alignment/>
      <protection/>
    </xf>
    <xf numFmtId="174" fontId="13" fillId="0" borderId="17" xfId="45" applyNumberFormat="1" applyFont="1" applyFill="1" applyBorder="1" applyAlignment="1">
      <alignment horizontal="center" vertical="top"/>
      <protection/>
    </xf>
    <xf numFmtId="180" fontId="9" fillId="0" borderId="16" xfId="45" applyNumberFormat="1" applyFont="1" applyFill="1" applyBorder="1" applyAlignment="1">
      <alignment horizontal="left" vertical="top"/>
      <protection/>
    </xf>
    <xf numFmtId="0" fontId="6" fillId="0" borderId="16" xfId="45" applyFont="1" applyFill="1" applyBorder="1" applyAlignment="1">
      <alignment horizontal="center"/>
      <protection/>
    </xf>
    <xf numFmtId="174" fontId="13" fillId="0" borderId="16" xfId="45" applyNumberFormat="1" applyFont="1" applyFill="1" applyBorder="1" applyAlignment="1">
      <alignment horizontal="center" vertical="top"/>
      <protection/>
    </xf>
    <xf numFmtId="0" fontId="6" fillId="0" borderId="34" xfId="45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6" xfId="45" applyFont="1" applyFill="1" applyBorder="1" applyAlignment="1">
      <alignment horizontal="center"/>
      <protection/>
    </xf>
    <xf numFmtId="179" fontId="4" fillId="0" borderId="18" xfId="45" applyNumberFormat="1" applyFont="1" applyFill="1" applyBorder="1" applyAlignment="1">
      <alignment horizontal="right" vertical="top"/>
      <protection/>
    </xf>
    <xf numFmtId="180" fontId="4" fillId="0" borderId="16" xfId="45" applyNumberFormat="1" applyFont="1" applyFill="1" applyBorder="1" applyAlignment="1">
      <alignment horizontal="left" vertical="top"/>
      <protection/>
    </xf>
    <xf numFmtId="0" fontId="4" fillId="0" borderId="34" xfId="45" applyFont="1" applyFill="1" applyBorder="1" applyAlignment="1">
      <alignment horizontal="center"/>
      <protection/>
    </xf>
    <xf numFmtId="174" fontId="4" fillId="0" borderId="17" xfId="45" applyNumberFormat="1" applyFont="1" applyFill="1" applyBorder="1" applyAlignment="1">
      <alignment horizontal="center" vertical="top"/>
      <protection/>
    </xf>
    <xf numFmtId="174" fontId="4" fillId="0" borderId="16" xfId="45" applyNumberFormat="1" applyFont="1" applyFill="1" applyBorder="1" applyAlignment="1">
      <alignment horizontal="center" vertical="top"/>
      <protection/>
    </xf>
    <xf numFmtId="0" fontId="4" fillId="0" borderId="17" xfId="45" applyFont="1" applyFill="1" applyBorder="1">
      <alignment/>
      <protection/>
    </xf>
    <xf numFmtId="49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wrapText="1"/>
    </xf>
    <xf numFmtId="4" fontId="4" fillId="0" borderId="38" xfId="0" applyNumberFormat="1" applyFont="1" applyBorder="1" applyAlignment="1">
      <alignment horizontal="right"/>
    </xf>
    <xf numFmtId="174" fontId="7" fillId="0" borderId="17" xfId="45" applyNumberFormat="1" applyFont="1" applyFill="1" applyBorder="1" applyAlignment="1">
      <alignment horizontal="center" vertical="top"/>
      <protection/>
    </xf>
    <xf numFmtId="0" fontId="0" fillId="0" borderId="16" xfId="45" applyFont="1" applyFill="1" applyBorder="1" applyAlignment="1">
      <alignment horizontal="center"/>
      <protection/>
    </xf>
    <xf numFmtId="174" fontId="7" fillId="0" borderId="16" xfId="45" applyNumberFormat="1" applyFont="1" applyFill="1" applyBorder="1" applyAlignment="1">
      <alignment horizontal="center" vertical="top"/>
      <protection/>
    </xf>
    <xf numFmtId="0" fontId="0" fillId="0" borderId="34" xfId="45" applyFont="1" applyFill="1" applyBorder="1" applyAlignment="1">
      <alignment horizontal="center"/>
      <protection/>
    </xf>
    <xf numFmtId="178" fontId="4" fillId="0" borderId="18" xfId="45" applyNumberFormat="1" applyFont="1" applyFill="1" applyBorder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6" xfId="45" applyFont="1" applyFill="1" applyBorder="1" applyAlignment="1">
      <alignment horizontal="left"/>
      <protection/>
    </xf>
    <xf numFmtId="0" fontId="11" fillId="0" borderId="3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174" fontId="11" fillId="37" borderId="16" xfId="45" applyNumberFormat="1" applyFont="1" applyFill="1" applyBorder="1" applyAlignment="1">
      <alignment horizontal="left" vertical="top"/>
      <protection/>
    </xf>
    <xf numFmtId="4" fontId="4" fillId="34" borderId="27" xfId="42" applyNumberFormat="1" applyFont="1" applyFill="1" applyBorder="1" applyAlignment="1">
      <alignment horizontal="right" vertical="top"/>
      <protection/>
    </xf>
    <xf numFmtId="4" fontId="0" fillId="0" borderId="0" xfId="0" applyNumberFormat="1" applyFont="1" applyAlignment="1">
      <alignment horizontal="right"/>
    </xf>
    <xf numFmtId="49" fontId="4" fillId="0" borderId="22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9" xfId="45" applyFont="1" applyBorder="1">
      <alignment/>
      <protection/>
    </xf>
    <xf numFmtId="0" fontId="0" fillId="0" borderId="24" xfId="45" applyFont="1" applyBorder="1">
      <alignment/>
      <protection/>
    </xf>
    <xf numFmtId="0" fontId="0" fillId="0" borderId="40" xfId="45" applyFont="1" applyBorder="1">
      <alignment/>
      <protection/>
    </xf>
    <xf numFmtId="179" fontId="0" fillId="0" borderId="41" xfId="45" applyNumberFormat="1" applyFont="1" applyBorder="1">
      <alignment/>
      <protection/>
    </xf>
    <xf numFmtId="49" fontId="5" fillId="0" borderId="17" xfId="45" applyNumberFormat="1" applyFont="1" applyFill="1" applyBorder="1" applyAlignment="1">
      <alignment horizontal="center" vertical="top"/>
      <protection/>
    </xf>
    <xf numFmtId="4" fontId="4" fillId="0" borderId="13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45" applyNumberFormat="1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74" fontId="11" fillId="0" borderId="16" xfId="45" applyNumberFormat="1" applyFont="1" applyFill="1" applyBorder="1" applyAlignment="1">
      <alignment horizontal="left" vertical="top"/>
      <protection/>
    </xf>
    <xf numFmtId="3" fontId="0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18" fillId="38" borderId="43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wrapText="1"/>
    </xf>
    <xf numFmtId="3" fontId="21" fillId="40" borderId="16" xfId="0" applyNumberFormat="1" applyFont="1" applyFill="1" applyBorder="1" applyAlignment="1" applyProtection="1">
      <alignment wrapText="1"/>
      <protection/>
    </xf>
    <xf numFmtId="3" fontId="21" fillId="0" borderId="16" xfId="0" applyNumberFormat="1" applyFont="1" applyFill="1" applyBorder="1" applyAlignment="1" applyProtection="1">
      <alignment wrapText="1"/>
      <protection/>
    </xf>
    <xf numFmtId="0" fontId="21" fillId="0" borderId="16" xfId="0" applyFont="1" applyBorder="1" applyAlignment="1" applyProtection="1">
      <alignment wrapText="1"/>
      <protection locked="0"/>
    </xf>
    <xf numFmtId="3" fontId="22" fillId="0" borderId="16" xfId="0" applyNumberFormat="1" applyFont="1" applyBorder="1" applyAlignment="1" applyProtection="1">
      <alignment wrapText="1"/>
      <protection locked="0"/>
    </xf>
    <xf numFmtId="3" fontId="16" fillId="40" borderId="16" xfId="0" applyNumberFormat="1" applyFont="1" applyFill="1" applyBorder="1" applyAlignment="1" applyProtection="1">
      <alignment wrapText="1"/>
      <protection locked="0"/>
    </xf>
    <xf numFmtId="3" fontId="23" fillId="40" borderId="16" xfId="0" applyNumberFormat="1" applyFont="1" applyFill="1" applyBorder="1" applyAlignment="1">
      <alignment wrapText="1"/>
    </xf>
    <xf numFmtId="3" fontId="18" fillId="39" borderId="16" xfId="0" applyNumberFormat="1" applyFont="1" applyFill="1" applyBorder="1" applyAlignment="1" applyProtection="1">
      <alignment wrapText="1"/>
      <protection locked="0"/>
    </xf>
    <xf numFmtId="3" fontId="23" fillId="0" borderId="16" xfId="0" applyNumberFormat="1" applyFont="1" applyFill="1" applyBorder="1" applyAlignment="1">
      <alignment wrapText="1"/>
    </xf>
    <xf numFmtId="0" fontId="20" fillId="37" borderId="16" xfId="0" applyFont="1" applyFill="1" applyBorder="1" applyAlignment="1">
      <alignment wrapText="1"/>
    </xf>
    <xf numFmtId="3" fontId="20" fillId="41" borderId="16" xfId="0" applyNumberFormat="1" applyFont="1" applyFill="1" applyBorder="1" applyAlignment="1" applyProtection="1">
      <alignment wrapText="1"/>
      <protection locked="0"/>
    </xf>
    <xf numFmtId="0" fontId="20" fillId="37" borderId="44" xfId="0" applyFont="1" applyFill="1" applyBorder="1" applyAlignment="1">
      <alignment wrapText="1"/>
    </xf>
    <xf numFmtId="0" fontId="18" fillId="37" borderId="45" xfId="0" applyFont="1" applyFill="1" applyBorder="1" applyAlignment="1">
      <alignment horizontal="center"/>
    </xf>
    <xf numFmtId="3" fontId="16" fillId="39" borderId="16" xfId="0" applyNumberFormat="1" applyFont="1" applyFill="1" applyBorder="1" applyAlignment="1">
      <alignment horizontal="right"/>
    </xf>
    <xf numFmtId="3" fontId="16" fillId="40" borderId="16" xfId="0" applyNumberFormat="1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/>
      <protection locked="0"/>
    </xf>
    <xf numFmtId="3" fontId="16" fillId="0" borderId="16" xfId="0" applyNumberFormat="1" applyFont="1" applyBorder="1" applyAlignment="1" applyProtection="1">
      <alignment/>
      <protection locked="0"/>
    </xf>
    <xf numFmtId="3" fontId="16" fillId="39" borderId="16" xfId="0" applyNumberFormat="1" applyFont="1" applyFill="1" applyBorder="1" applyAlignment="1">
      <alignment/>
    </xf>
    <xf numFmtId="3" fontId="16" fillId="40" borderId="16" xfId="0" applyNumberFormat="1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3" fontId="19" fillId="37" borderId="16" xfId="0" applyNumberFormat="1" applyFont="1" applyFill="1" applyBorder="1" applyAlignment="1">
      <alignment/>
    </xf>
    <xf numFmtId="3" fontId="20" fillId="41" borderId="1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 vertical="top"/>
    </xf>
    <xf numFmtId="49" fontId="16" fillId="38" borderId="4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9" fillId="37" borderId="44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20" fillId="41" borderId="16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16" fillId="40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/>
    </xf>
    <xf numFmtId="49" fontId="16" fillId="0" borderId="16" xfId="0" applyNumberFormat="1" applyFont="1" applyBorder="1" applyAlignment="1">
      <alignment/>
    </xf>
    <xf numFmtId="49" fontId="19" fillId="37" borderId="16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" fontId="18" fillId="38" borderId="43" xfId="0" applyNumberFormat="1" applyFont="1" applyFill="1" applyBorder="1" applyAlignment="1">
      <alignment horizontal="center" vertical="center" wrapText="1"/>
    </xf>
    <xf numFmtId="1" fontId="20" fillId="37" borderId="4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>
      <alignment horizontal="center" wrapText="1"/>
    </xf>
    <xf numFmtId="1" fontId="21" fillId="4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Border="1" applyAlignment="1" applyProtection="1">
      <alignment horizontal="center" wrapText="1"/>
      <protection locked="0"/>
    </xf>
    <xf numFmtId="1" fontId="22" fillId="0" borderId="16" xfId="0" applyNumberFormat="1" applyFont="1" applyBorder="1" applyAlignment="1" applyProtection="1">
      <alignment horizontal="center" wrapText="1"/>
      <protection locked="0"/>
    </xf>
    <xf numFmtId="1" fontId="16" fillId="40" borderId="16" xfId="0" applyNumberFormat="1" applyFont="1" applyFill="1" applyBorder="1" applyAlignment="1" applyProtection="1">
      <alignment horizontal="center" wrapText="1"/>
      <protection locked="0"/>
    </xf>
    <xf numFmtId="1" fontId="23" fillId="40" borderId="1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 applyProtection="1">
      <alignment horizontal="center" wrapText="1"/>
      <protection locked="0"/>
    </xf>
    <xf numFmtId="1" fontId="23" fillId="0" borderId="16" xfId="0" applyNumberFormat="1" applyFont="1" applyFill="1" applyBorder="1" applyAlignment="1">
      <alignment horizontal="center" wrapText="1"/>
    </xf>
    <xf numFmtId="1" fontId="20" fillId="37" borderId="16" xfId="0" applyNumberFormat="1" applyFont="1" applyFill="1" applyBorder="1" applyAlignment="1">
      <alignment horizontal="center" wrapText="1"/>
    </xf>
    <xf numFmtId="1" fontId="20" fillId="41" borderId="16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NumberFormat="1" applyFont="1" applyAlignment="1">
      <alignment/>
    </xf>
    <xf numFmtId="1" fontId="18" fillId="40" borderId="16" xfId="0" applyNumberFormat="1" applyFont="1" applyFill="1" applyBorder="1" applyAlignment="1" applyProtection="1">
      <alignment horizontal="center" wrapText="1"/>
      <protection locked="0"/>
    </xf>
    <xf numFmtId="3" fontId="18" fillId="40" borderId="1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5" xfId="0" applyFont="1" applyBorder="1" applyAlignment="1">
      <alignment horizontal="left" vertical="top"/>
    </xf>
    <xf numFmtId="17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4" fillId="0" borderId="29" xfId="0" applyNumberFormat="1" applyFont="1" applyBorder="1" applyAlignment="1">
      <alignment horizontal="center" textRotation="90" wrapText="1"/>
    </xf>
    <xf numFmtId="49" fontId="4" fillId="33" borderId="22" xfId="42" applyNumberFormat="1" applyFont="1" applyFill="1" applyBorder="1" applyAlignment="1">
      <alignment horizontal="center"/>
      <protection/>
    </xf>
    <xf numFmtId="49" fontId="4" fillId="0" borderId="48" xfId="42" applyNumberFormat="1" applyFont="1" applyFill="1" applyBorder="1" applyAlignment="1">
      <alignment horizontal="center" vertical="top"/>
      <protection/>
    </xf>
    <xf numFmtId="49" fontId="4" fillId="42" borderId="49" xfId="42" applyNumberFormat="1" applyFont="1" applyFill="1" applyBorder="1" applyAlignment="1">
      <alignment horizontal="center" vertical="top"/>
      <protection/>
    </xf>
    <xf numFmtId="49" fontId="4" fillId="42" borderId="23" xfId="42" applyNumberFormat="1" applyFont="1" applyFill="1" applyBorder="1" applyAlignment="1">
      <alignment horizontal="center"/>
      <protection/>
    </xf>
    <xf numFmtId="4" fontId="4" fillId="42" borderId="50" xfId="42" applyNumberFormat="1" applyFont="1" applyFill="1" applyBorder="1" applyAlignment="1">
      <alignment horizontal="right" vertical="top"/>
      <protection/>
    </xf>
    <xf numFmtId="49" fontId="4" fillId="34" borderId="51" xfId="42" applyNumberFormat="1" applyFont="1" applyFill="1" applyBorder="1" applyAlignment="1">
      <alignment horizontal="center" vertical="top"/>
      <protection/>
    </xf>
    <xf numFmtId="49" fontId="4" fillId="0" borderId="51" xfId="42" applyNumberFormat="1" applyFont="1" applyFill="1" applyBorder="1" applyAlignment="1">
      <alignment horizontal="center" vertical="top"/>
      <protection/>
    </xf>
    <xf numFmtId="4" fontId="4" fillId="42" borderId="50" xfId="42" applyNumberFormat="1" applyFont="1" applyFill="1" applyBorder="1" applyAlignment="1">
      <alignment vertical="center"/>
      <protection/>
    </xf>
    <xf numFmtId="4" fontId="4" fillId="42" borderId="50" xfId="42" applyNumberFormat="1" applyFont="1" applyFill="1" applyBorder="1" applyAlignment="1">
      <alignment horizontal="right" vertical="center"/>
      <protection/>
    </xf>
    <xf numFmtId="4" fontId="4" fillId="0" borderId="52" xfId="42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43" borderId="16" xfId="0" applyNumberFormat="1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 shrinkToFit="1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49" fontId="4" fillId="44" borderId="54" xfId="0" applyNumberFormat="1" applyFont="1" applyFill="1" applyBorder="1" applyAlignment="1">
      <alignment horizontal="center" vertical="center"/>
    </xf>
    <xf numFmtId="0" fontId="5" fillId="44" borderId="54" xfId="0" applyFont="1" applyFill="1" applyBorder="1" applyAlignment="1">
      <alignment/>
    </xf>
    <xf numFmtId="184" fontId="4" fillId="44" borderId="54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wrapText="1"/>
    </xf>
    <xf numFmtId="184" fontId="0" fillId="0" borderId="54" xfId="0" applyNumberFormat="1" applyFont="1" applyFill="1" applyBorder="1" applyAlignment="1">
      <alignment horizontal="center" vertical="center" wrapText="1"/>
    </xf>
    <xf numFmtId="49" fontId="4" fillId="44" borderId="54" xfId="0" applyNumberFormat="1" applyFont="1" applyFill="1" applyBorder="1" applyAlignment="1">
      <alignment horizontal="center"/>
    </xf>
    <xf numFmtId="0" fontId="4" fillId="44" borderId="54" xfId="0" applyFont="1" applyFill="1" applyBorder="1" applyAlignment="1">
      <alignment horizontal="left" wrapText="1"/>
    </xf>
    <xf numFmtId="49" fontId="0" fillId="0" borderId="5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left" wrapText="1"/>
    </xf>
    <xf numFmtId="0" fontId="5" fillId="44" borderId="54" xfId="0" applyFont="1" applyFill="1" applyBorder="1" applyAlignment="1">
      <alignment wrapText="1"/>
    </xf>
    <xf numFmtId="0" fontId="12" fillId="0" borderId="54" xfId="0" applyFont="1" applyFill="1" applyBorder="1" applyAlignment="1">
      <alignment wrapText="1"/>
    </xf>
    <xf numFmtId="0" fontId="4" fillId="39" borderId="54" xfId="0" applyFont="1" applyFill="1" applyBorder="1" applyAlignment="1">
      <alignment horizontal="center"/>
    </xf>
    <xf numFmtId="0" fontId="5" fillId="39" borderId="54" xfId="0" applyFont="1" applyFill="1" applyBorder="1" applyAlignment="1">
      <alignment wrapText="1"/>
    </xf>
    <xf numFmtId="184" fontId="4" fillId="39" borderId="54" xfId="0" applyNumberFormat="1" applyFont="1" applyFill="1" applyBorder="1" applyAlignment="1">
      <alignment horizontal="center" vertical="center" wrapText="1"/>
    </xf>
    <xf numFmtId="49" fontId="4" fillId="44" borderId="54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86" fontId="0" fillId="0" borderId="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84" fontId="12" fillId="0" borderId="0" xfId="42" applyNumberFormat="1" applyFont="1" applyAlignment="1">
      <alignment horizontal="right"/>
      <protection/>
    </xf>
    <xf numFmtId="184" fontId="12" fillId="0" borderId="0" xfId="0" applyNumberFormat="1" applyFont="1" applyAlignment="1">
      <alignment/>
    </xf>
    <xf numFmtId="184" fontId="12" fillId="0" borderId="0" xfId="42" applyNumberFormat="1" applyFont="1">
      <alignment/>
      <protection/>
    </xf>
    <xf numFmtId="4" fontId="12" fillId="0" borderId="0" xfId="42" applyNumberFormat="1" applyFont="1">
      <alignment/>
      <protection/>
    </xf>
    <xf numFmtId="0" fontId="5" fillId="39" borderId="16" xfId="0" applyFont="1" applyFill="1" applyBorder="1" applyAlignment="1" applyProtection="1">
      <alignment vertical="top"/>
      <protection/>
    </xf>
    <xf numFmtId="0" fontId="5" fillId="39" borderId="16" xfId="0" applyFont="1" applyFill="1" applyBorder="1" applyAlignment="1">
      <alignment/>
    </xf>
    <xf numFmtId="49" fontId="4" fillId="0" borderId="49" xfId="42" applyNumberFormat="1" applyFont="1" applyFill="1" applyBorder="1" applyAlignment="1">
      <alignment horizontal="center" vertical="top"/>
      <protection/>
    </xf>
    <xf numFmtId="49" fontId="4" fillId="0" borderId="23" xfId="42" applyNumberFormat="1" applyFont="1" applyFill="1" applyBorder="1" applyAlignment="1">
      <alignment horizontal="center"/>
      <protection/>
    </xf>
    <xf numFmtId="4" fontId="4" fillId="0" borderId="50" xfId="42" applyNumberFormat="1" applyFont="1" applyFill="1" applyBorder="1" applyAlignment="1">
      <alignment horizontal="right" vertical="center"/>
      <protection/>
    </xf>
    <xf numFmtId="4" fontId="4" fillId="0" borderId="0" xfId="42" applyNumberFormat="1" applyFont="1" applyBorder="1" applyAlignment="1">
      <alignment vertical="top"/>
      <protection/>
    </xf>
    <xf numFmtId="0" fontId="4" fillId="0" borderId="23" xfId="42" applyFont="1" applyFill="1" applyBorder="1" applyAlignment="1">
      <alignment horizontal="center"/>
      <protection/>
    </xf>
    <xf numFmtId="49" fontId="7" fillId="0" borderId="23" xfId="42" applyNumberFormat="1" applyFont="1" applyFill="1" applyBorder="1" applyAlignment="1">
      <alignment horizontal="center" vertical="top"/>
      <protection/>
    </xf>
    <xf numFmtId="4" fontId="4" fillId="42" borderId="55" xfId="42" applyNumberFormat="1" applyFont="1" applyFill="1" applyBorder="1" applyAlignment="1">
      <alignment horizontal="right" vertical="top"/>
      <protection/>
    </xf>
    <xf numFmtId="4" fontId="4" fillId="42" borderId="55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top"/>
    </xf>
    <xf numFmtId="4" fontId="4" fillId="33" borderId="31" xfId="42" applyNumberFormat="1" applyFont="1" applyFill="1" applyBorder="1" applyAlignment="1">
      <alignment horizontal="right" vertical="top"/>
      <protection/>
    </xf>
    <xf numFmtId="4" fontId="4" fillId="34" borderId="31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right" vertical="top"/>
      <protection/>
    </xf>
    <xf numFmtId="4" fontId="4" fillId="0" borderId="55" xfId="42" applyNumberFormat="1" applyFont="1" applyFill="1" applyBorder="1" applyAlignment="1">
      <alignment horizontal="right" vertical="center"/>
      <protection/>
    </xf>
    <xf numFmtId="4" fontId="4" fillId="42" borderId="55" xfId="42" applyNumberFormat="1" applyFont="1" applyFill="1" applyBorder="1" applyAlignment="1">
      <alignment vertical="center"/>
      <protection/>
    </xf>
    <xf numFmtId="172" fontId="0" fillId="0" borderId="0" xfId="0" applyNumberFormat="1" applyFont="1" applyAlignment="1">
      <alignment/>
    </xf>
    <xf numFmtId="4" fontId="4" fillId="45" borderId="56" xfId="42" applyNumberFormat="1" applyFont="1" applyFill="1" applyBorder="1" applyAlignment="1">
      <alignment horizontal="right" vertical="center"/>
      <protection/>
    </xf>
    <xf numFmtId="171" fontId="12" fillId="0" borderId="0" xfId="0" applyNumberFormat="1" applyFont="1" applyAlignment="1">
      <alignment/>
    </xf>
    <xf numFmtId="49" fontId="0" fillId="46" borderId="23" xfId="4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27" xfId="0" applyFont="1" applyFill="1" applyBorder="1" applyAlignment="1">
      <alignment vertical="top"/>
    </xf>
    <xf numFmtId="0" fontId="0" fillId="0" borderId="0" xfId="0" applyFont="1" applyAlignment="1">
      <alignment/>
    </xf>
    <xf numFmtId="49" fontId="0" fillId="0" borderId="21" xfId="42" applyNumberFormat="1" applyFont="1" applyFill="1" applyBorder="1" applyAlignment="1">
      <alignment horizontal="center"/>
      <protection/>
    </xf>
    <xf numFmtId="49" fontId="0" fillId="0" borderId="22" xfId="42" applyNumberFormat="1" applyFont="1" applyFill="1" applyBorder="1" applyAlignment="1">
      <alignment horizontal="center" vertical="top"/>
      <protection/>
    </xf>
    <xf numFmtId="0" fontId="0" fillId="0" borderId="22" xfId="42" applyFont="1" applyFill="1" applyBorder="1" applyAlignment="1">
      <alignment horizontal="center"/>
      <protection/>
    </xf>
    <xf numFmtId="0" fontId="0" fillId="0" borderId="27" xfId="42" applyFont="1" applyFill="1" applyBorder="1" applyAlignment="1">
      <alignment horizontal="center"/>
      <protection/>
    </xf>
    <xf numFmtId="4" fontId="0" fillId="0" borderId="26" xfId="42" applyNumberFormat="1" applyFont="1" applyFill="1" applyBorder="1" applyAlignment="1">
      <alignment horizontal="right" vertical="top"/>
      <protection/>
    </xf>
    <xf numFmtId="4" fontId="0" fillId="0" borderId="31" xfId="42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9" fontId="0" fillId="0" borderId="22" xfId="42" applyNumberFormat="1" applyFont="1" applyFill="1" applyBorder="1" applyAlignment="1">
      <alignment horizontal="center"/>
      <protection/>
    </xf>
    <xf numFmtId="174" fontId="0" fillId="0" borderId="22" xfId="42" applyNumberFormat="1" applyFont="1" applyFill="1" applyBorder="1" applyAlignment="1">
      <alignment horizontal="center" vertical="top"/>
      <protection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49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/>
      <protection/>
    </xf>
    <xf numFmtId="0" fontId="0" fillId="0" borderId="23" xfId="42" applyFont="1" applyFill="1" applyBorder="1" applyAlignment="1">
      <alignment horizontal="center"/>
      <protection/>
    </xf>
    <xf numFmtId="0" fontId="0" fillId="0" borderId="57" xfId="42" applyFont="1" applyFill="1" applyBorder="1" applyAlignment="1">
      <alignment horizontal="center"/>
      <protection/>
    </xf>
    <xf numFmtId="4" fontId="0" fillId="0" borderId="50" xfId="42" applyNumberFormat="1" applyFont="1" applyFill="1" applyBorder="1" applyAlignment="1">
      <alignment horizontal="right" vertical="center"/>
      <protection/>
    </xf>
    <xf numFmtId="4" fontId="0" fillId="0" borderId="55" xfId="42" applyNumberFormat="1" applyFont="1" applyFill="1" applyBorder="1" applyAlignment="1">
      <alignment horizontal="right" vertical="center"/>
      <protection/>
    </xf>
    <xf numFmtId="0" fontId="0" fillId="0" borderId="27" xfId="0" applyFont="1" applyBorder="1" applyAlignment="1">
      <alignment horizontal="left" vertical="top"/>
    </xf>
    <xf numFmtId="175" fontId="0" fillId="0" borderId="22" xfId="42" applyNumberFormat="1" applyFont="1" applyFill="1" applyBorder="1" applyAlignment="1">
      <alignment horizontal="center" vertical="top"/>
      <protection/>
    </xf>
    <xf numFmtId="49" fontId="0" fillId="0" borderId="49" xfId="42" applyNumberFormat="1" applyFont="1" applyFill="1" applyBorder="1" applyAlignment="1">
      <alignment horizontal="center"/>
      <protection/>
    </xf>
    <xf numFmtId="174" fontId="0" fillId="0" borderId="23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 vertical="top"/>
      <protection/>
    </xf>
    <xf numFmtId="4" fontId="0" fillId="0" borderId="50" xfId="0" applyNumberFormat="1" applyFont="1" applyFill="1" applyBorder="1" applyAlignment="1">
      <alignment horizontal="right" vertical="top"/>
    </xf>
    <xf numFmtId="4" fontId="0" fillId="0" borderId="55" xfId="0" applyNumberFormat="1" applyFont="1" applyFill="1" applyBorder="1" applyAlignment="1">
      <alignment horizontal="right" vertical="top"/>
    </xf>
    <xf numFmtId="4" fontId="4" fillId="34" borderId="25" xfId="42" applyNumberFormat="1" applyFont="1" applyFill="1" applyBorder="1" applyAlignment="1">
      <alignment horizontal="right" vertical="top"/>
      <protection/>
    </xf>
    <xf numFmtId="4" fontId="4" fillId="0" borderId="16" xfId="42" applyNumberFormat="1" applyFont="1" applyFill="1" applyBorder="1" applyAlignment="1">
      <alignment horizontal="right" vertical="center"/>
      <protection/>
    </xf>
    <xf numFmtId="4" fontId="0" fillId="0" borderId="16" xfId="42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4" fillId="45" borderId="58" xfId="0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right"/>
    </xf>
    <xf numFmtId="0" fontId="0" fillId="0" borderId="27" xfId="0" applyFont="1" applyBorder="1" applyAlignment="1">
      <alignment vertical="top"/>
    </xf>
    <xf numFmtId="0" fontId="10" fillId="0" borderId="34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4" fontId="4" fillId="33" borderId="16" xfId="45" applyNumberFormat="1" applyFont="1" applyFill="1" applyBorder="1">
      <alignment/>
      <protection/>
    </xf>
    <xf numFmtId="4" fontId="11" fillId="0" borderId="25" xfId="0" applyNumberFormat="1" applyFont="1" applyBorder="1" applyAlignment="1">
      <alignment horizontal="right" vertical="top"/>
    </xf>
    <xf numFmtId="4" fontId="0" fillId="0" borderId="0" xfId="61" applyNumberFormat="1" applyFont="1" applyAlignment="1">
      <alignment horizontal="right"/>
      <protection/>
    </xf>
    <xf numFmtId="4" fontId="0" fillId="0" borderId="0" xfId="45" applyNumberFormat="1" applyFont="1" applyBorder="1" applyAlignment="1">
      <alignment horizontal="right"/>
      <protection/>
    </xf>
    <xf numFmtId="4" fontId="0" fillId="0" borderId="25" xfId="0" applyNumberFormat="1" applyFont="1" applyBorder="1" applyAlignment="1">
      <alignment horizontal="right"/>
    </xf>
    <xf numFmtId="4" fontId="12" fillId="0" borderId="25" xfId="0" applyNumberFormat="1" applyFont="1" applyBorder="1" applyAlignment="1">
      <alignment horizontal="right" vertical="top"/>
    </xf>
    <xf numFmtId="4" fontId="7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11" fillId="0" borderId="25" xfId="0" applyNumberFormat="1" applyFont="1" applyFill="1" applyBorder="1" applyAlignment="1">
      <alignment horizontal="right" vertical="top"/>
    </xf>
    <xf numFmtId="4" fontId="14" fillId="0" borderId="25" xfId="0" applyNumberFormat="1" applyFont="1" applyFill="1" applyBorder="1" applyAlignment="1">
      <alignment horizontal="right" vertical="top"/>
    </xf>
    <xf numFmtId="179" fontId="0" fillId="0" borderId="18" xfId="45" applyNumberFormat="1" applyFont="1" applyBorder="1" applyAlignment="1">
      <alignment horizontal="right"/>
      <protection/>
    </xf>
    <xf numFmtId="176" fontId="10" fillId="0" borderId="18" xfId="45" applyNumberFormat="1" applyFont="1" applyFill="1" applyBorder="1" applyAlignment="1" applyProtection="1">
      <alignment horizontal="right" vertical="top"/>
      <protection locked="0"/>
    </xf>
    <xf numFmtId="49" fontId="0" fillId="0" borderId="12" xfId="0" applyNumberFormat="1" applyFont="1" applyBorder="1" applyAlignment="1">
      <alignment horizontal="center"/>
    </xf>
    <xf numFmtId="175" fontId="0" fillId="0" borderId="59" xfId="42" applyNumberFormat="1" applyFont="1" applyFill="1" applyBorder="1" applyAlignment="1">
      <alignment horizontal="center" vertical="top"/>
      <protection/>
    </xf>
    <xf numFmtId="4" fontId="12" fillId="47" borderId="25" xfId="0" applyNumberFormat="1" applyFont="1" applyFill="1" applyBorder="1" applyAlignment="1">
      <alignment horizontal="right" vertical="top"/>
    </xf>
    <xf numFmtId="176" fontId="12" fillId="47" borderId="18" xfId="45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/>
    </xf>
    <xf numFmtId="0" fontId="0" fillId="0" borderId="0" xfId="61" applyFont="1" applyBorder="1">
      <alignment/>
      <protection/>
    </xf>
    <xf numFmtId="0" fontId="0" fillId="0" borderId="27" xfId="0" applyFont="1" applyFill="1" applyBorder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26" xfId="46" applyNumberFormat="1" applyFont="1" applyFill="1" applyBorder="1" applyAlignment="1" applyProtection="1">
      <alignment horizontal="right" vertical="top"/>
      <protection locked="0"/>
    </xf>
    <xf numFmtId="4" fontId="0" fillId="0" borderId="50" xfId="46" applyNumberFormat="1" applyFont="1" applyFill="1" applyBorder="1" applyAlignment="1" applyProtection="1">
      <alignment horizontal="right" vertical="top"/>
      <protection locked="0"/>
    </xf>
    <xf numFmtId="4" fontId="0" fillId="0" borderId="26" xfId="46" applyNumberFormat="1" applyFont="1" applyFill="1" applyBorder="1" applyAlignment="1">
      <alignment horizontal="right" vertical="top"/>
      <protection/>
    </xf>
    <xf numFmtId="4" fontId="0" fillId="0" borderId="50" xfId="42" applyNumberFormat="1" applyFont="1" applyFill="1" applyBorder="1" applyAlignment="1">
      <alignment horizontal="right" vertical="top"/>
      <protection/>
    </xf>
    <xf numFmtId="4" fontId="0" fillId="0" borderId="27" xfId="46" applyNumberFormat="1" applyFont="1" applyFill="1" applyBorder="1" applyAlignment="1">
      <alignment horizontal="right" vertical="top"/>
      <protection/>
    </xf>
    <xf numFmtId="4" fontId="0" fillId="0" borderId="31" xfId="46" applyNumberFormat="1" applyFont="1" applyFill="1" applyBorder="1" applyAlignment="1">
      <alignment horizontal="right" vertical="top"/>
      <protection/>
    </xf>
    <xf numFmtId="4" fontId="0" fillId="39" borderId="60" xfId="42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/>
    </xf>
    <xf numFmtId="4" fontId="0" fillId="0" borderId="27" xfId="46" applyNumberFormat="1" applyFont="1" applyFill="1" applyBorder="1" applyAlignment="1" applyProtection="1">
      <alignment horizontal="right" vertical="top"/>
      <protection locked="0"/>
    </xf>
    <xf numFmtId="4" fontId="0" fillId="0" borderId="57" xfId="46" applyNumberFormat="1" applyFont="1" applyFill="1" applyBorder="1" applyAlignment="1" applyProtection="1">
      <alignment horizontal="right" vertical="top"/>
      <protection locked="0"/>
    </xf>
    <xf numFmtId="4" fontId="0" fillId="47" borderId="27" xfId="46" applyNumberFormat="1" applyFont="1" applyFill="1" applyBorder="1" applyAlignment="1" applyProtection="1">
      <alignment horizontal="right" vertical="top"/>
      <protection locked="0"/>
    </xf>
    <xf numFmtId="4" fontId="0" fillId="0" borderId="31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top"/>
      <protection/>
    </xf>
    <xf numFmtId="4" fontId="0" fillId="34" borderId="27" xfId="42" applyNumberFormat="1" applyFont="1" applyFill="1" applyBorder="1" applyAlignment="1">
      <alignment horizontal="right" vertical="top"/>
      <protection/>
    </xf>
    <xf numFmtId="4" fontId="0" fillId="0" borderId="55" xfId="46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>
      <alignment horizontal="right" vertical="top"/>
      <protection/>
    </xf>
    <xf numFmtId="4" fontId="0" fillId="0" borderId="55" xfId="46" applyNumberFormat="1" applyFont="1" applyFill="1" applyBorder="1" applyAlignment="1" applyProtection="1">
      <alignment horizontal="right" vertical="top"/>
      <protection locked="0"/>
    </xf>
    <xf numFmtId="4" fontId="0" fillId="39" borderId="22" xfId="42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/>
    </xf>
    <xf numFmtId="49" fontId="0" fillId="0" borderId="0" xfId="42" applyNumberFormat="1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>
      <alignment/>
      <protection/>
    </xf>
    <xf numFmtId="0" fontId="0" fillId="42" borderId="23" xfId="42" applyFont="1" applyFill="1" applyBorder="1" applyAlignment="1">
      <alignment horizontal="center"/>
      <protection/>
    </xf>
    <xf numFmtId="0" fontId="0" fillId="42" borderId="57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/>
      <protection/>
    </xf>
    <xf numFmtId="0" fontId="0" fillId="34" borderId="22" xfId="42" applyFont="1" applyFill="1" applyBorder="1" applyAlignment="1">
      <alignment horizontal="center"/>
      <protection/>
    </xf>
    <xf numFmtId="0" fontId="0" fillId="34" borderId="27" xfId="42" applyFont="1" applyFill="1" applyBorder="1" applyAlignment="1">
      <alignment horizontal="center"/>
      <protection/>
    </xf>
    <xf numFmtId="175" fontId="0" fillId="47" borderId="27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4" fontId="0" fillId="0" borderId="23" xfId="46" applyNumberFormat="1" applyFont="1" applyFill="1" applyBorder="1" applyAlignment="1" applyProtection="1">
      <alignment horizontal="right" vertical="top"/>
      <protection locked="0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175" fontId="0" fillId="0" borderId="27" xfId="42" applyNumberFormat="1" applyFont="1" applyFill="1" applyBorder="1" applyAlignment="1">
      <alignment horizontal="center" vertical="top"/>
      <protection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47" borderId="27" xfId="42" applyFont="1" applyFill="1" applyBorder="1" applyAlignment="1">
      <alignment horizontal="center"/>
      <protection/>
    </xf>
    <xf numFmtId="0" fontId="0" fillId="0" borderId="31" xfId="0" applyFont="1" applyFill="1" applyBorder="1" applyAlignment="1">
      <alignment/>
    </xf>
    <xf numFmtId="4" fontId="0" fillId="0" borderId="22" xfId="42" applyNumberFormat="1" applyFont="1" applyFill="1" applyBorder="1" applyAlignment="1">
      <alignment horizontal="right" vertical="top"/>
      <protection/>
    </xf>
    <xf numFmtId="4" fontId="0" fillId="0" borderId="61" xfId="46" applyNumberFormat="1" applyFont="1" applyFill="1" applyBorder="1" applyAlignment="1" applyProtection="1">
      <alignment horizontal="right" vertical="top"/>
      <protection locked="0"/>
    </xf>
    <xf numFmtId="49" fontId="0" fillId="47" borderId="22" xfId="42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49" fontId="0" fillId="0" borderId="0" xfId="4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0" fillId="0" borderId="16" xfId="46" applyNumberFormat="1" applyFont="1" applyFill="1" applyBorder="1" applyAlignment="1" applyProtection="1">
      <alignment horizontal="right" vertical="top"/>
      <protection locked="0"/>
    </xf>
    <xf numFmtId="49" fontId="0" fillId="39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right" vertical="top"/>
      <protection/>
    </xf>
    <xf numFmtId="4" fontId="0" fillId="34" borderId="31" xfId="42" applyNumberFormat="1" applyFont="1" applyFill="1" applyBorder="1" applyAlignment="1">
      <alignment horizontal="right" vertical="top"/>
      <protection/>
    </xf>
    <xf numFmtId="4" fontId="0" fillId="0" borderId="61" xfId="46" applyNumberFormat="1" applyFont="1" applyFill="1" applyBorder="1" applyAlignment="1">
      <alignment horizontal="right" vertical="top"/>
      <protection/>
    </xf>
    <xf numFmtId="175" fontId="0" fillId="0" borderId="23" xfId="42" applyNumberFormat="1" applyFont="1" applyFill="1" applyBorder="1" applyAlignment="1">
      <alignment horizontal="center" vertical="top"/>
      <protection/>
    </xf>
    <xf numFmtId="175" fontId="0" fillId="0" borderId="57" xfId="42" applyNumberFormat="1" applyFont="1" applyFill="1" applyBorder="1" applyAlignment="1">
      <alignment horizontal="center" vertical="top"/>
      <protection/>
    </xf>
    <xf numFmtId="49" fontId="0" fillId="39" borderId="22" xfId="42" applyNumberFormat="1" applyFont="1" applyFill="1" applyBorder="1" applyAlignment="1">
      <alignment horizontal="center" vertical="top"/>
      <protection/>
    </xf>
    <xf numFmtId="0" fontId="0" fillId="39" borderId="22" xfId="42" applyFont="1" applyFill="1" applyBorder="1" applyAlignment="1">
      <alignment horizontal="center"/>
      <protection/>
    </xf>
    <xf numFmtId="49" fontId="0" fillId="39" borderId="22" xfId="42" applyNumberFormat="1" applyFont="1" applyFill="1" applyBorder="1" applyAlignment="1">
      <alignment horizontal="center"/>
      <protection/>
    </xf>
    <xf numFmtId="0" fontId="0" fillId="39" borderId="27" xfId="42" applyFont="1" applyFill="1" applyBorder="1" applyAlignment="1">
      <alignment horizontal="center"/>
      <protection/>
    </xf>
    <xf numFmtId="4" fontId="0" fillId="39" borderId="62" xfId="42" applyNumberFormat="1" applyFont="1" applyFill="1" applyBorder="1" applyAlignment="1">
      <alignment horizontal="right" vertical="top"/>
      <protection/>
    </xf>
    <xf numFmtId="4" fontId="0" fillId="39" borderId="31" xfId="42" applyNumberFormat="1" applyFont="1" applyFill="1" applyBorder="1" applyAlignment="1">
      <alignment horizontal="right" vertical="top"/>
      <protection/>
    </xf>
    <xf numFmtId="4" fontId="0" fillId="39" borderId="27" xfId="42" applyNumberFormat="1" applyFont="1" applyFill="1" applyBorder="1" applyAlignment="1">
      <alignment horizontal="right" vertical="top"/>
      <protection/>
    </xf>
    <xf numFmtId="49" fontId="0" fillId="0" borderId="63" xfId="42" applyNumberFormat="1" applyFont="1" applyFill="1" applyBorder="1" applyAlignment="1">
      <alignment horizontal="center"/>
      <protection/>
    </xf>
    <xf numFmtId="49" fontId="0" fillId="0" borderId="59" xfId="42" applyNumberFormat="1" applyFont="1" applyFill="1" applyBorder="1" applyAlignment="1">
      <alignment horizontal="center"/>
      <protection/>
    </xf>
    <xf numFmtId="0" fontId="0" fillId="0" borderId="59" xfId="42" applyFont="1" applyFill="1" applyBorder="1" applyAlignment="1">
      <alignment horizontal="center"/>
      <protection/>
    </xf>
    <xf numFmtId="175" fontId="0" fillId="0" borderId="64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/>
    </xf>
    <xf numFmtId="0" fontId="0" fillId="0" borderId="65" xfId="0" applyFont="1" applyBorder="1" applyAlignment="1">
      <alignment vertical="top"/>
    </xf>
    <xf numFmtId="0" fontId="0" fillId="0" borderId="55" xfId="0" applyFont="1" applyBorder="1" applyAlignment="1">
      <alignment/>
    </xf>
    <xf numFmtId="49" fontId="0" fillId="34" borderId="66" xfId="42" applyNumberFormat="1" applyFont="1" applyFill="1" applyBorder="1" applyAlignment="1">
      <alignment horizontal="center"/>
      <protection/>
    </xf>
    <xf numFmtId="49" fontId="0" fillId="34" borderId="16" xfId="42" applyNumberFormat="1" applyFont="1" applyFill="1" applyBorder="1" applyAlignment="1">
      <alignment horizontal="center"/>
      <protection/>
    </xf>
    <xf numFmtId="0" fontId="0" fillId="34" borderId="16" xfId="42" applyFont="1" applyFill="1" applyBorder="1" applyAlignment="1">
      <alignment horizontal="center"/>
      <protection/>
    </xf>
    <xf numFmtId="175" fontId="0" fillId="0" borderId="16" xfId="42" applyNumberFormat="1" applyFont="1" applyFill="1" applyBorder="1" applyAlignment="1">
      <alignment horizontal="center" vertical="top"/>
      <protection/>
    </xf>
    <xf numFmtId="49" fontId="0" fillId="0" borderId="67" xfId="42" applyNumberFormat="1" applyFont="1" applyFill="1" applyBorder="1" applyAlignment="1">
      <alignment horizontal="center"/>
      <protection/>
    </xf>
    <xf numFmtId="49" fontId="0" fillId="0" borderId="66" xfId="42" applyNumberFormat="1" applyFont="1" applyFill="1" applyBorder="1" applyAlignment="1">
      <alignment horizontal="center"/>
      <protection/>
    </xf>
    <xf numFmtId="49" fontId="0" fillId="0" borderId="16" xfId="42" applyNumberFormat="1" applyFont="1" applyFill="1" applyBorder="1" applyAlignment="1">
      <alignment horizontal="center"/>
      <protection/>
    </xf>
    <xf numFmtId="49" fontId="0" fillId="0" borderId="68" xfId="42" applyNumberFormat="1" applyFont="1" applyFill="1" applyBorder="1" applyAlignment="1">
      <alignment horizontal="center"/>
      <protection/>
    </xf>
    <xf numFmtId="49" fontId="0" fillId="0" borderId="24" xfId="4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178" fontId="0" fillId="0" borderId="0" xfId="0" applyNumberFormat="1" applyFont="1" applyAlignment="1">
      <alignment/>
    </xf>
    <xf numFmtId="49" fontId="70" fillId="35" borderId="69" xfId="42" applyNumberFormat="1" applyFont="1" applyFill="1" applyBorder="1" applyAlignment="1">
      <alignment horizontal="center" vertical="top"/>
      <protection/>
    </xf>
    <xf numFmtId="49" fontId="70" fillId="35" borderId="70" xfId="42" applyNumberFormat="1" applyFont="1" applyFill="1" applyBorder="1" applyAlignment="1">
      <alignment horizontal="center"/>
      <protection/>
    </xf>
    <xf numFmtId="0" fontId="71" fillId="35" borderId="70" xfId="42" applyFont="1" applyFill="1" applyBorder="1" applyAlignment="1">
      <alignment horizontal="center"/>
      <protection/>
    </xf>
    <xf numFmtId="49" fontId="71" fillId="35" borderId="70" xfId="42" applyNumberFormat="1" applyFont="1" applyFill="1" applyBorder="1" applyAlignment="1">
      <alignment horizontal="center"/>
      <protection/>
    </xf>
    <xf numFmtId="4" fontId="70" fillId="35" borderId="70" xfId="42" applyNumberFormat="1" applyFont="1" applyFill="1" applyBorder="1" applyAlignment="1">
      <alignment horizontal="right" vertical="top"/>
      <protection/>
    </xf>
    <xf numFmtId="4" fontId="70" fillId="35" borderId="71" xfId="42" applyNumberFormat="1" applyFont="1" applyFill="1" applyBorder="1" applyAlignment="1">
      <alignment horizontal="right" vertical="top"/>
      <protection/>
    </xf>
    <xf numFmtId="0" fontId="71" fillId="0" borderId="0" xfId="0" applyFont="1" applyAlignment="1">
      <alignment/>
    </xf>
    <xf numFmtId="49" fontId="70" fillId="35" borderId="21" xfId="42" applyNumberFormat="1" applyFont="1" applyFill="1" applyBorder="1" applyAlignment="1">
      <alignment horizontal="center"/>
      <protection/>
    </xf>
    <xf numFmtId="49" fontId="70" fillId="35" borderId="22" xfId="42" applyNumberFormat="1" applyFont="1" applyFill="1" applyBorder="1" applyAlignment="1">
      <alignment horizontal="center" vertical="top"/>
      <protection/>
    </xf>
    <xf numFmtId="0" fontId="70" fillId="35" borderId="22" xfId="42" applyFont="1" applyFill="1" applyBorder="1" applyAlignment="1">
      <alignment horizontal="center"/>
      <protection/>
    </xf>
    <xf numFmtId="49" fontId="70" fillId="35" borderId="22" xfId="42" applyNumberFormat="1" applyFont="1" applyFill="1" applyBorder="1" applyAlignment="1">
      <alignment horizontal="center"/>
      <protection/>
    </xf>
    <xf numFmtId="4" fontId="70" fillId="35" borderId="26" xfId="42" applyNumberFormat="1" applyFont="1" applyFill="1" applyBorder="1" applyAlignment="1">
      <alignment horizontal="right" vertical="top"/>
      <protection/>
    </xf>
    <xf numFmtId="4" fontId="70" fillId="35" borderId="50" xfId="0" applyNumberFormat="1" applyFont="1" applyFill="1" applyBorder="1" applyAlignment="1">
      <alignment vertical="center"/>
    </xf>
    <xf numFmtId="4" fontId="70" fillId="35" borderId="55" xfId="0" applyNumberFormat="1" applyFont="1" applyFill="1" applyBorder="1" applyAlignment="1">
      <alignment vertical="center"/>
    </xf>
    <xf numFmtId="4" fontId="70" fillId="35" borderId="23" xfId="42" applyNumberFormat="1" applyFont="1" applyFill="1" applyBorder="1" applyAlignment="1">
      <alignment horizontal="right" vertical="top"/>
      <protection/>
    </xf>
    <xf numFmtId="4" fontId="70" fillId="35" borderId="57" xfId="42" applyNumberFormat="1" applyFont="1" applyFill="1" applyBorder="1" applyAlignment="1">
      <alignment horizontal="right" vertical="top"/>
      <protection/>
    </xf>
    <xf numFmtId="0" fontId="0" fillId="47" borderId="0" xfId="0" applyFont="1" applyFill="1" applyAlignment="1">
      <alignment/>
    </xf>
    <xf numFmtId="49" fontId="0" fillId="47" borderId="21" xfId="42" applyNumberFormat="1" applyFont="1" applyFill="1" applyBorder="1" applyAlignment="1">
      <alignment horizontal="center"/>
      <protection/>
    </xf>
    <xf numFmtId="0" fontId="0" fillId="47" borderId="22" xfId="42" applyFont="1" applyFill="1" applyBorder="1" applyAlignment="1">
      <alignment horizontal="center"/>
      <protection/>
    </xf>
    <xf numFmtId="4" fontId="0" fillId="47" borderId="22" xfId="46" applyNumberFormat="1" applyFont="1" applyFill="1" applyBorder="1" applyAlignment="1" applyProtection="1">
      <alignment horizontal="right" vertical="top"/>
      <protection locked="0"/>
    </xf>
    <xf numFmtId="4" fontId="0" fillId="47" borderId="31" xfId="46" applyNumberFormat="1" applyFont="1" applyFill="1" applyBorder="1" applyAlignment="1" applyProtection="1">
      <alignment horizontal="right" vertical="top"/>
      <protection locked="0"/>
    </xf>
    <xf numFmtId="0" fontId="0" fillId="47" borderId="23" xfId="42" applyFont="1" applyFill="1" applyBorder="1" applyAlignment="1">
      <alignment horizontal="center"/>
      <protection/>
    </xf>
    <xf numFmtId="49" fontId="0" fillId="47" borderId="49" xfId="42" applyNumberFormat="1" applyFont="1" applyFill="1" applyBorder="1" applyAlignment="1">
      <alignment horizontal="center"/>
      <protection/>
    </xf>
    <xf numFmtId="49" fontId="4" fillId="47" borderId="23" xfId="42" applyNumberFormat="1" applyFont="1" applyFill="1" applyBorder="1" applyAlignment="1">
      <alignment horizontal="center" vertical="top"/>
      <protection/>
    </xf>
    <xf numFmtId="0" fontId="0" fillId="0" borderId="33" xfId="0" applyFont="1" applyBorder="1" applyAlignment="1">
      <alignment/>
    </xf>
    <xf numFmtId="17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6" fillId="46" borderId="0" xfId="0" applyFont="1" applyFill="1" applyAlignment="1">
      <alignment/>
    </xf>
    <xf numFmtId="3" fontId="16" fillId="46" borderId="0" xfId="0" applyNumberFormat="1" applyFont="1" applyFill="1" applyAlignment="1">
      <alignment horizontal="center"/>
    </xf>
    <xf numFmtId="4" fontId="0" fillId="0" borderId="50" xfId="0" applyNumberFormat="1" applyFont="1" applyFill="1" applyBorder="1" applyAlignment="1">
      <alignment horizontal="right"/>
    </xf>
    <xf numFmtId="0" fontId="71" fillId="35" borderId="23" xfId="42" applyFont="1" applyFill="1" applyBorder="1" applyAlignment="1">
      <alignment horizontal="center"/>
      <protection/>
    </xf>
    <xf numFmtId="175" fontId="0" fillId="47" borderId="16" xfId="42" applyNumberFormat="1" applyFont="1" applyFill="1" applyBorder="1" applyAlignment="1">
      <alignment horizontal="center" vertical="top"/>
      <protection/>
    </xf>
    <xf numFmtId="49" fontId="0" fillId="0" borderId="57" xfId="42" applyNumberFormat="1" applyFont="1" applyFill="1" applyBorder="1" applyAlignment="1">
      <alignment horizontal="center"/>
      <protection/>
    </xf>
    <xf numFmtId="0" fontId="4" fillId="33" borderId="23" xfId="42" applyFont="1" applyFill="1" applyBorder="1" applyAlignment="1">
      <alignment horizontal="center"/>
      <protection/>
    </xf>
    <xf numFmtId="0" fontId="4" fillId="33" borderId="57" xfId="42" applyFont="1" applyFill="1" applyBorder="1" applyAlignment="1">
      <alignment horizontal="center"/>
      <protection/>
    </xf>
    <xf numFmtId="175" fontId="0" fillId="0" borderId="67" xfId="42" applyNumberFormat="1" applyFont="1" applyFill="1" applyBorder="1" applyAlignment="1">
      <alignment horizontal="center" vertical="top"/>
      <protection/>
    </xf>
    <xf numFmtId="175" fontId="0" fillId="47" borderId="61" xfId="42" applyNumberFormat="1" applyFont="1" applyFill="1" applyBorder="1" applyAlignment="1">
      <alignment horizontal="center" vertical="top"/>
      <protection/>
    </xf>
    <xf numFmtId="4" fontId="0" fillId="0" borderId="67" xfId="46" applyNumberFormat="1" applyFont="1" applyFill="1" applyBorder="1" applyAlignment="1" applyProtection="1">
      <alignment horizontal="right" vertical="top"/>
      <protection locked="0"/>
    </xf>
    <xf numFmtId="0" fontId="0" fillId="0" borderId="16" xfId="42" applyFont="1" applyFill="1" applyBorder="1" applyAlignment="1">
      <alignment horizontal="center"/>
      <protection/>
    </xf>
    <xf numFmtId="175" fontId="0" fillId="0" borderId="61" xfId="42" applyNumberFormat="1" applyFont="1" applyFill="1" applyBorder="1" applyAlignment="1">
      <alignment horizontal="center" vertical="top"/>
      <protection/>
    </xf>
    <xf numFmtId="49" fontId="71" fillId="35" borderId="23" xfId="42" applyNumberFormat="1" applyFont="1" applyFill="1" applyBorder="1" applyAlignment="1">
      <alignment horizontal="center"/>
      <protection/>
    </xf>
    <xf numFmtId="0" fontId="0" fillId="0" borderId="61" xfId="42" applyFont="1" applyFill="1" applyBorder="1" applyAlignment="1">
      <alignment horizontal="center"/>
      <protection/>
    </xf>
    <xf numFmtId="49" fontId="4" fillId="0" borderId="23" xfId="42" applyNumberFormat="1" applyFont="1" applyFill="1" applyBorder="1" applyAlignment="1">
      <alignment horizontal="center" vertical="top"/>
      <protection/>
    </xf>
    <xf numFmtId="4" fontId="0" fillId="0" borderId="72" xfId="42" applyNumberFormat="1" applyFont="1" applyFill="1" applyBorder="1" applyAlignment="1">
      <alignment horizontal="right" vertical="center"/>
      <protection/>
    </xf>
    <xf numFmtId="49" fontId="4" fillId="0" borderId="16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61" xfId="0" applyFont="1" applyFill="1" applyBorder="1" applyAlignment="1">
      <alignment vertical="top"/>
    </xf>
    <xf numFmtId="49" fontId="0" fillId="46" borderId="16" xfId="42" applyNumberFormat="1" applyFont="1" applyFill="1" applyBorder="1" applyAlignment="1">
      <alignment horizontal="center"/>
      <protection/>
    </xf>
    <xf numFmtId="0" fontId="0" fillId="42" borderId="55" xfId="42" applyFont="1" applyFill="1" applyBorder="1" applyAlignment="1">
      <alignment horizontal="center"/>
      <protection/>
    </xf>
    <xf numFmtId="0" fontId="0" fillId="42" borderId="73" xfId="42" applyFont="1" applyFill="1" applyBorder="1" applyAlignment="1">
      <alignment horizontal="center"/>
      <protection/>
    </xf>
    <xf numFmtId="0" fontId="0" fillId="42" borderId="16" xfId="42" applyFont="1" applyFill="1" applyBorder="1" applyAlignment="1">
      <alignment horizontal="center"/>
      <protection/>
    </xf>
    <xf numFmtId="49" fontId="4" fillId="34" borderId="21" xfId="42" applyNumberFormat="1" applyFont="1" applyFill="1" applyBorder="1" applyAlignment="1">
      <alignment horizontal="center"/>
      <protection/>
    </xf>
    <xf numFmtId="49" fontId="4" fillId="34" borderId="22" xfId="42" applyNumberFormat="1" applyFont="1" applyFill="1" applyBorder="1" applyAlignment="1">
      <alignment horizontal="center"/>
      <protection/>
    </xf>
    <xf numFmtId="0" fontId="4" fillId="34" borderId="22" xfId="42" applyFont="1" applyFill="1" applyBorder="1" applyAlignment="1">
      <alignment horizontal="center"/>
      <protection/>
    </xf>
    <xf numFmtId="0" fontId="4" fillId="34" borderId="27" xfId="42" applyFont="1" applyFill="1" applyBorder="1" applyAlignment="1">
      <alignment horizontal="center"/>
      <protection/>
    </xf>
    <xf numFmtId="4" fontId="4" fillId="0" borderId="26" xfId="46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48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0" fontId="0" fillId="46" borderId="0" xfId="0" applyFont="1" applyFill="1" applyAlignment="1">
      <alignment/>
    </xf>
    <xf numFmtId="4" fontId="4" fillId="46" borderId="0" xfId="0" applyNumberFormat="1" applyFont="1" applyFill="1" applyAlignment="1">
      <alignment/>
    </xf>
    <xf numFmtId="4" fontId="4" fillId="48" borderId="0" xfId="0" applyNumberFormat="1" applyFont="1" applyFill="1" applyAlignment="1">
      <alignment/>
    </xf>
    <xf numFmtId="49" fontId="0" fillId="0" borderId="74" xfId="42" applyNumberFormat="1" applyFont="1" applyFill="1" applyBorder="1" applyAlignment="1">
      <alignment horizontal="center"/>
      <protection/>
    </xf>
    <xf numFmtId="0" fontId="0" fillId="0" borderId="67" xfId="42" applyFont="1" applyFill="1" applyBorder="1" applyAlignment="1">
      <alignment horizontal="center"/>
      <protection/>
    </xf>
    <xf numFmtId="178" fontId="0" fillId="0" borderId="0" xfId="0" applyNumberFormat="1" applyFont="1" applyAlignment="1">
      <alignment horizontal="right"/>
    </xf>
    <xf numFmtId="0" fontId="5" fillId="0" borderId="75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42" applyFont="1" applyBorder="1" applyAlignment="1">
      <alignment horizontal="left"/>
      <protection/>
    </xf>
    <xf numFmtId="4" fontId="4" fillId="0" borderId="76" xfId="42" applyNumberFormat="1" applyFont="1" applyFill="1" applyBorder="1" applyAlignment="1">
      <alignment horizontal="right" vertical="top"/>
      <protection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49" fontId="4" fillId="42" borderId="77" xfId="42" applyNumberFormat="1" applyFont="1" applyFill="1" applyBorder="1" applyAlignment="1">
      <alignment horizontal="center" vertical="top"/>
      <protection/>
    </xf>
    <xf numFmtId="49" fontId="4" fillId="42" borderId="73" xfId="42" applyNumberFormat="1" applyFont="1" applyFill="1" applyBorder="1" applyAlignment="1">
      <alignment horizontal="center"/>
      <protection/>
    </xf>
    <xf numFmtId="49" fontId="0" fillId="34" borderId="23" xfId="42" applyNumberFormat="1" applyFont="1" applyFill="1" applyBorder="1" applyAlignment="1">
      <alignment horizontal="center"/>
      <protection/>
    </xf>
    <xf numFmtId="49" fontId="4" fillId="42" borderId="16" xfId="42" applyNumberFormat="1" applyFont="1" applyFill="1" applyBorder="1" applyAlignment="1">
      <alignment horizontal="center" vertical="top"/>
      <protection/>
    </xf>
    <xf numFmtId="49" fontId="4" fillId="42" borderId="16" xfId="42" applyNumberFormat="1" applyFont="1" applyFill="1" applyBorder="1" applyAlignment="1">
      <alignment horizontal="center"/>
      <protection/>
    </xf>
    <xf numFmtId="4" fontId="4" fillId="47" borderId="26" xfId="42" applyNumberFormat="1" applyFont="1" applyFill="1" applyBorder="1" applyAlignment="1">
      <alignment horizontal="right" vertical="top"/>
      <protection/>
    </xf>
    <xf numFmtId="49" fontId="4" fillId="47" borderId="49" xfId="42" applyNumberFormat="1" applyFont="1" applyFill="1" applyBorder="1" applyAlignment="1">
      <alignment horizontal="center"/>
      <protection/>
    </xf>
    <xf numFmtId="49" fontId="4" fillId="34" borderId="23" xfId="42" applyNumberFormat="1" applyFont="1" applyFill="1" applyBorder="1" applyAlignment="1">
      <alignment horizontal="center"/>
      <protection/>
    </xf>
    <xf numFmtId="0" fontId="4" fillId="47" borderId="23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 vertical="center"/>
      <protection/>
    </xf>
    <xf numFmtId="49" fontId="0" fillId="34" borderId="22" xfId="42" applyNumberFormat="1" applyFont="1" applyFill="1" applyBorder="1" applyAlignment="1">
      <alignment horizontal="center" vertical="center"/>
      <protection/>
    </xf>
    <xf numFmtId="49" fontId="4" fillId="34" borderId="22" xfId="42" applyNumberFormat="1" applyFont="1" applyFill="1" applyBorder="1" applyAlignment="1">
      <alignment horizontal="center" vertical="center"/>
      <protection/>
    </xf>
    <xf numFmtId="0" fontId="0" fillId="34" borderId="22" xfId="42" applyFont="1" applyFill="1" applyBorder="1" applyAlignment="1">
      <alignment horizontal="center" vertical="center"/>
      <protection/>
    </xf>
    <xf numFmtId="0" fontId="0" fillId="34" borderId="27" xfId="4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/>
    </xf>
    <xf numFmtId="4" fontId="0" fillId="39" borderId="23" xfId="42" applyNumberFormat="1" applyFont="1" applyFill="1" applyBorder="1" applyAlignment="1">
      <alignment horizontal="right" vertical="top"/>
      <protection/>
    </xf>
    <xf numFmtId="4" fontId="4" fillId="0" borderId="65" xfId="42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/>
    </xf>
    <xf numFmtId="4" fontId="0" fillId="0" borderId="22" xfId="46" applyNumberFormat="1" applyFont="1" applyFill="1" applyBorder="1" applyAlignment="1">
      <alignment horizontal="right" vertical="center"/>
      <protection/>
    </xf>
    <xf numFmtId="49" fontId="0" fillId="46" borderId="21" xfId="42" applyNumberFormat="1" applyFont="1" applyFill="1" applyBorder="1" applyAlignment="1">
      <alignment horizontal="center"/>
      <protection/>
    </xf>
    <xf numFmtId="49" fontId="0" fillId="46" borderId="22" xfId="42" applyNumberFormat="1" applyFont="1" applyFill="1" applyBorder="1" applyAlignment="1">
      <alignment horizontal="center"/>
      <protection/>
    </xf>
    <xf numFmtId="0" fontId="0" fillId="46" borderId="27" xfId="42" applyFont="1" applyFill="1" applyBorder="1" applyAlignment="1">
      <alignment horizontal="center"/>
      <protection/>
    </xf>
    <xf numFmtId="0" fontId="0" fillId="46" borderId="23" xfId="42" applyFont="1" applyFill="1" applyBorder="1" applyAlignment="1">
      <alignment horizontal="center"/>
      <protection/>
    </xf>
    <xf numFmtId="0" fontId="0" fillId="46" borderId="57" xfId="42" applyFont="1" applyFill="1" applyBorder="1" applyAlignment="1">
      <alignment horizontal="center"/>
      <protection/>
    </xf>
    <xf numFmtId="4" fontId="4" fillId="46" borderId="50" xfId="42" applyNumberFormat="1" applyFont="1" applyFill="1" applyBorder="1" applyAlignment="1">
      <alignment horizontal="right" vertical="top"/>
      <protection/>
    </xf>
    <xf numFmtId="4" fontId="0" fillId="46" borderId="27" xfId="46" applyNumberFormat="1" applyFont="1" applyFill="1" applyBorder="1" applyAlignment="1" applyProtection="1">
      <alignment horizontal="right" vertical="top"/>
      <protection locked="0"/>
    </xf>
    <xf numFmtId="49" fontId="0" fillId="0" borderId="78" xfId="42" applyNumberFormat="1" applyFont="1" applyFill="1" applyBorder="1" applyAlignment="1">
      <alignment horizontal="center"/>
      <protection/>
    </xf>
    <xf numFmtId="175" fontId="0" fillId="0" borderId="79" xfId="42" applyNumberFormat="1" applyFont="1" applyFill="1" applyBorder="1" applyAlignment="1">
      <alignment horizontal="center" vertical="top"/>
      <protection/>
    </xf>
    <xf numFmtId="175" fontId="0" fillId="0" borderId="80" xfId="42" applyNumberFormat="1" applyFont="1" applyFill="1" applyBorder="1" applyAlignment="1">
      <alignment horizontal="center" vertical="top"/>
      <protection/>
    </xf>
    <xf numFmtId="4" fontId="0" fillId="0" borderId="76" xfId="46" applyNumberFormat="1" applyFont="1" applyFill="1" applyBorder="1" applyAlignment="1" applyProtection="1">
      <alignment horizontal="right" vertical="top"/>
      <protection locked="0"/>
    </xf>
    <xf numFmtId="4" fontId="0" fillId="0" borderId="16" xfId="42" applyNumberFormat="1" applyFont="1" applyFill="1" applyBorder="1" applyAlignment="1" applyProtection="1">
      <alignment horizontal="right" vertical="center"/>
      <protection locked="0"/>
    </xf>
    <xf numFmtId="175" fontId="0" fillId="47" borderId="79" xfId="42" applyNumberFormat="1" applyFont="1" applyFill="1" applyBorder="1" applyAlignment="1">
      <alignment horizontal="center" vertical="top"/>
      <protection/>
    </xf>
    <xf numFmtId="49" fontId="72" fillId="46" borderId="23" xfId="42" applyNumberFormat="1" applyFont="1" applyFill="1" applyBorder="1" applyAlignment="1">
      <alignment horizontal="center"/>
      <protection/>
    </xf>
    <xf numFmtId="0" fontId="72" fillId="42" borderId="23" xfId="42" applyFont="1" applyFill="1" applyBorder="1" applyAlignment="1">
      <alignment horizontal="center"/>
      <protection/>
    </xf>
    <xf numFmtId="0" fontId="72" fillId="42" borderId="57" xfId="42" applyFont="1" applyFill="1" applyBorder="1" applyAlignment="1">
      <alignment horizontal="center"/>
      <protection/>
    </xf>
    <xf numFmtId="49" fontId="72" fillId="46" borderId="73" xfId="42" applyNumberFormat="1" applyFont="1" applyFill="1" applyBorder="1" applyAlignment="1">
      <alignment horizontal="center"/>
      <protection/>
    </xf>
    <xf numFmtId="4" fontId="0" fillId="0" borderId="16" xfId="46" applyNumberFormat="1" applyFont="1" applyFill="1" applyBorder="1" applyAlignment="1">
      <alignment horizontal="right" vertical="top"/>
      <protection/>
    </xf>
    <xf numFmtId="4" fontId="0" fillId="0" borderId="61" xfId="46" applyNumberFormat="1" applyFont="1" applyFill="1" applyBorder="1" applyAlignment="1">
      <alignment horizontal="right" vertical="center"/>
      <protection/>
    </xf>
    <xf numFmtId="4" fontId="4" fillId="34" borderId="26" xfId="42" applyNumberFormat="1" applyFont="1" applyFill="1" applyBorder="1" applyAlignment="1">
      <alignment horizontal="right" vertical="center"/>
      <protection/>
    </xf>
    <xf numFmtId="4" fontId="4" fillId="34" borderId="31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top"/>
      <protection/>
    </xf>
    <xf numFmtId="49" fontId="4" fillId="0" borderId="21" xfId="42" applyNumberFormat="1" applyFont="1" applyFill="1" applyBorder="1" applyAlignment="1">
      <alignment horizontal="center"/>
      <protection/>
    </xf>
    <xf numFmtId="49" fontId="8" fillId="0" borderId="22" xfId="42" applyNumberFormat="1" applyFont="1" applyFill="1" applyBorder="1" applyAlignment="1">
      <alignment horizontal="center" vertical="top"/>
      <protection/>
    </xf>
    <xf numFmtId="0" fontId="4" fillId="0" borderId="22" xfId="42" applyFont="1" applyFill="1" applyBorder="1" applyAlignment="1">
      <alignment horizontal="center"/>
      <protection/>
    </xf>
    <xf numFmtId="0" fontId="4" fillId="0" borderId="27" xfId="42" applyFont="1" applyFill="1" applyBorder="1" applyAlignment="1">
      <alignment horizontal="center"/>
      <protection/>
    </xf>
    <xf numFmtId="4" fontId="4" fillId="0" borderId="72" xfId="0" applyNumberFormat="1" applyFont="1" applyFill="1" applyBorder="1" applyAlignment="1">
      <alignment horizontal="right"/>
    </xf>
    <xf numFmtId="4" fontId="0" fillId="0" borderId="34" xfId="42" applyNumberFormat="1" applyFont="1" applyFill="1" applyBorder="1" applyAlignment="1">
      <alignment horizontal="right" vertical="top"/>
      <protection/>
    </xf>
    <xf numFmtId="4" fontId="0" fillId="0" borderId="16" xfId="42" applyNumberFormat="1" applyFont="1" applyFill="1" applyBorder="1" applyAlignment="1">
      <alignment horizontal="right" vertical="top"/>
      <protection/>
    </xf>
    <xf numFmtId="4" fontId="0" fillId="0" borderId="67" xfId="42" applyNumberFormat="1" applyFont="1" applyFill="1" applyBorder="1" applyAlignment="1">
      <alignment horizontal="right" vertical="top"/>
      <protection/>
    </xf>
    <xf numFmtId="4" fontId="0" fillId="0" borderId="50" xfId="46" applyNumberFormat="1" applyFont="1" applyFill="1" applyBorder="1" applyAlignment="1">
      <alignment horizontal="right" vertical="top"/>
      <protection/>
    </xf>
    <xf numFmtId="49" fontId="0" fillId="0" borderId="73" xfId="42" applyNumberFormat="1" applyFont="1" applyFill="1" applyBorder="1" applyAlignment="1">
      <alignment horizontal="center"/>
      <protection/>
    </xf>
    <xf numFmtId="4" fontId="0" fillId="0" borderId="81" xfId="42" applyNumberFormat="1" applyFont="1" applyFill="1" applyBorder="1" applyAlignment="1">
      <alignment horizontal="right" vertical="center"/>
      <protection/>
    </xf>
    <xf numFmtId="4" fontId="0" fillId="0" borderId="81" xfId="46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right" vertical="center"/>
      <protection/>
    </xf>
    <xf numFmtId="49" fontId="72" fillId="46" borderId="22" xfId="42" applyNumberFormat="1" applyFont="1" applyFill="1" applyBorder="1" applyAlignment="1">
      <alignment horizontal="center"/>
      <protection/>
    </xf>
    <xf numFmtId="0" fontId="0" fillId="42" borderId="22" xfId="42" applyFont="1" applyFill="1" applyBorder="1" applyAlignment="1">
      <alignment horizontal="center"/>
      <protection/>
    </xf>
    <xf numFmtId="49" fontId="73" fillId="42" borderId="49" xfId="42" applyNumberFormat="1" applyFont="1" applyFill="1" applyBorder="1" applyAlignment="1">
      <alignment horizontal="center" vertical="top"/>
      <protection/>
    </xf>
    <xf numFmtId="49" fontId="73" fillId="42" borderId="23" xfId="42" applyNumberFormat="1" applyFont="1" applyFill="1" applyBorder="1" applyAlignment="1">
      <alignment horizontal="center"/>
      <protection/>
    </xf>
    <xf numFmtId="4" fontId="73" fillId="42" borderId="50" xfId="42" applyNumberFormat="1" applyFont="1" applyFill="1" applyBorder="1" applyAlignment="1">
      <alignment horizontal="right" vertical="top"/>
      <protection/>
    </xf>
    <xf numFmtId="4" fontId="73" fillId="42" borderId="55" xfId="42" applyNumberFormat="1" applyFont="1" applyFill="1" applyBorder="1" applyAlignment="1">
      <alignment horizontal="right" vertical="top"/>
      <protection/>
    </xf>
    <xf numFmtId="0" fontId="72" fillId="0" borderId="0" xfId="0" applyFont="1" applyFill="1" applyAlignment="1">
      <alignment/>
    </xf>
    <xf numFmtId="175" fontId="0" fillId="47" borderId="24" xfId="42" applyNumberFormat="1" applyFont="1" applyFill="1" applyBorder="1" applyAlignment="1">
      <alignment horizontal="center" vertical="top"/>
      <protection/>
    </xf>
    <xf numFmtId="0" fontId="71" fillId="35" borderId="57" xfId="42" applyFont="1" applyFill="1" applyBorder="1" applyAlignment="1">
      <alignment horizontal="center"/>
      <protection/>
    </xf>
    <xf numFmtId="0" fontId="0" fillId="0" borderId="80" xfId="42" applyFont="1" applyFill="1" applyBorder="1" applyAlignment="1">
      <alignment horizontal="center"/>
      <protection/>
    </xf>
    <xf numFmtId="0" fontId="0" fillId="0" borderId="79" xfId="4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right" vertical="top"/>
      <protection locked="0"/>
    </xf>
    <xf numFmtId="4" fontId="0" fillId="0" borderId="24" xfId="46" applyNumberFormat="1" applyFont="1" applyFill="1" applyBorder="1" applyAlignment="1" applyProtection="1">
      <alignment horizontal="right" vertical="top"/>
      <protection locked="0"/>
    </xf>
    <xf numFmtId="174" fontId="4" fillId="0" borderId="22" xfId="42" applyNumberFormat="1" applyFont="1" applyFill="1" applyBorder="1" applyAlignment="1">
      <alignment horizontal="center" vertical="center"/>
      <protection/>
    </xf>
    <xf numFmtId="49" fontId="0" fillId="0" borderId="82" xfId="42" applyNumberFormat="1" applyFont="1" applyFill="1" applyBorder="1" applyAlignment="1">
      <alignment horizontal="center"/>
      <protection/>
    </xf>
    <xf numFmtId="49" fontId="0" fillId="0" borderId="61" xfId="42" applyNumberFormat="1" applyFont="1" applyFill="1" applyBorder="1" applyAlignment="1">
      <alignment horizontal="center"/>
      <protection/>
    </xf>
    <xf numFmtId="49" fontId="4" fillId="42" borderId="57" xfId="42" applyNumberFormat="1" applyFont="1" applyFill="1" applyBorder="1" applyAlignment="1">
      <alignment horizontal="center"/>
      <protection/>
    </xf>
    <xf numFmtId="4" fontId="4" fillId="42" borderId="72" xfId="42" applyNumberFormat="1" applyFont="1" applyFill="1" applyBorder="1" applyAlignment="1">
      <alignment horizontal="right" vertical="top"/>
      <protection/>
    </xf>
    <xf numFmtId="4" fontId="4" fillId="42" borderId="0" xfId="42" applyNumberFormat="1" applyFont="1" applyFill="1" applyBorder="1" applyAlignment="1">
      <alignment horizontal="right" vertical="top"/>
      <protection/>
    </xf>
    <xf numFmtId="4" fontId="4" fillId="42" borderId="16" xfId="42" applyNumberFormat="1" applyFont="1" applyFill="1" applyBorder="1" applyAlignment="1">
      <alignment horizontal="right" vertical="center"/>
      <protection/>
    </xf>
    <xf numFmtId="4" fontId="4" fillId="0" borderId="16" xfId="42" applyNumberFormat="1" applyFont="1" applyFill="1" applyBorder="1" applyAlignment="1">
      <alignment horizontal="right" vertical="top"/>
      <protection/>
    </xf>
    <xf numFmtId="49" fontId="0" fillId="0" borderId="5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left" wrapText="1"/>
    </xf>
    <xf numFmtId="4" fontId="0" fillId="0" borderId="65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center"/>
      <protection/>
    </xf>
    <xf numFmtId="4" fontId="0" fillId="0" borderId="83" xfId="42" applyNumberFormat="1" applyFont="1" applyFill="1" applyBorder="1" applyAlignment="1">
      <alignment horizontal="right" vertical="center"/>
      <protection/>
    </xf>
    <xf numFmtId="4" fontId="0" fillId="0" borderId="40" xfId="42" applyNumberFormat="1" applyFont="1" applyFill="1" applyBorder="1" applyAlignment="1">
      <alignment horizontal="right" vertical="center"/>
      <protection/>
    </xf>
    <xf numFmtId="49" fontId="4" fillId="42" borderId="49" xfId="42" applyNumberFormat="1" applyFont="1" applyFill="1" applyBorder="1" applyAlignment="1">
      <alignment horizontal="center" vertical="center"/>
      <protection/>
    </xf>
    <xf numFmtId="49" fontId="4" fillId="42" borderId="23" xfId="42" applyNumberFormat="1" applyFont="1" applyFill="1" applyBorder="1" applyAlignment="1">
      <alignment horizontal="center" vertical="center"/>
      <protection/>
    </xf>
    <xf numFmtId="0" fontId="0" fillId="42" borderId="23" xfId="42" applyFont="1" applyFill="1" applyBorder="1" applyAlignment="1">
      <alignment horizontal="center" vertical="center"/>
      <protection/>
    </xf>
    <xf numFmtId="49" fontId="0" fillId="46" borderId="23" xfId="42" applyNumberFormat="1" applyFont="1" applyFill="1" applyBorder="1" applyAlignment="1">
      <alignment horizontal="center" vertical="center"/>
      <protection/>
    </xf>
    <xf numFmtId="0" fontId="0" fillId="42" borderId="57" xfId="42" applyFont="1" applyFill="1" applyBorder="1" applyAlignment="1">
      <alignment horizontal="center" vertical="center"/>
      <protection/>
    </xf>
    <xf numFmtId="10" fontId="12" fillId="0" borderId="0" xfId="0" applyNumberFormat="1" applyFont="1" applyAlignment="1">
      <alignment/>
    </xf>
    <xf numFmtId="49" fontId="0" fillId="0" borderId="78" xfId="42" applyNumberFormat="1" applyFont="1" applyFill="1" applyBorder="1" applyAlignment="1">
      <alignment horizontal="center" vertical="top"/>
      <protection/>
    </xf>
    <xf numFmtId="49" fontId="0" fillId="0" borderId="16" xfId="42" applyNumberFormat="1" applyFont="1" applyFill="1" applyBorder="1" applyAlignment="1">
      <alignment horizontal="center" vertical="top"/>
      <protection/>
    </xf>
    <xf numFmtId="187" fontId="0" fillId="0" borderId="0" xfId="0" applyNumberFormat="1" applyFont="1" applyAlignment="1">
      <alignment/>
    </xf>
    <xf numFmtId="179" fontId="10" fillId="0" borderId="18" xfId="45" applyNumberFormat="1" applyFont="1" applyBorder="1" applyAlignment="1" applyProtection="1">
      <alignment horizontal="right" vertical="top"/>
      <protection locked="0"/>
    </xf>
    <xf numFmtId="179" fontId="12" fillId="0" borderId="18" xfId="45" applyNumberFormat="1" applyFont="1" applyBorder="1" applyAlignment="1" applyProtection="1">
      <alignment horizontal="right" vertical="top"/>
      <protection locked="0"/>
    </xf>
    <xf numFmtId="174" fontId="10" fillId="0" borderId="16" xfId="45" applyNumberFormat="1" applyFont="1" applyFill="1" applyBorder="1" applyAlignment="1">
      <alignment horizontal="left" vertical="top"/>
      <protection/>
    </xf>
    <xf numFmtId="174" fontId="10" fillId="0" borderId="34" xfId="45" applyNumberFormat="1" applyFont="1" applyBorder="1" applyAlignment="1">
      <alignment horizontal="center" vertical="top"/>
      <protection/>
    </xf>
    <xf numFmtId="0" fontId="10" fillId="0" borderId="25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/>
    </xf>
    <xf numFmtId="0" fontId="12" fillId="0" borderId="34" xfId="0" applyFont="1" applyFill="1" applyBorder="1" applyAlignment="1">
      <alignment vertical="top"/>
    </xf>
    <xf numFmtId="10" fontId="4" fillId="43" borderId="16" xfId="0" applyNumberFormat="1" applyFont="1" applyFill="1" applyBorder="1" applyAlignment="1">
      <alignment horizontal="center" vertical="center" wrapText="1" shrinkToFit="1"/>
    </xf>
    <xf numFmtId="10" fontId="0" fillId="0" borderId="53" xfId="0" applyNumberFormat="1" applyFont="1" applyFill="1" applyBorder="1" applyAlignment="1">
      <alignment horizontal="center" vertical="center" wrapText="1"/>
    </xf>
    <xf numFmtId="10" fontId="4" fillId="44" borderId="54" xfId="64" applyNumberFormat="1" applyFont="1" applyFill="1" applyBorder="1" applyAlignment="1">
      <alignment horizontal="center" vertical="center" wrapText="1"/>
      <protection/>
    </xf>
    <xf numFmtId="10" fontId="0" fillId="0" borderId="0" xfId="44" applyNumberFormat="1" applyFont="1" applyFill="1" applyBorder="1" applyAlignment="1" applyProtection="1">
      <alignment horizontal="right" vertical="center" wrapText="1"/>
      <protection/>
    </xf>
    <xf numFmtId="14" fontId="0" fillId="39" borderId="22" xfId="42" applyNumberFormat="1" applyFont="1" applyFill="1" applyBorder="1" applyAlignment="1">
      <alignment horizontal="center"/>
      <protection/>
    </xf>
    <xf numFmtId="49" fontId="73" fillId="42" borderId="16" xfId="42" applyNumberFormat="1" applyFont="1" applyFill="1" applyBorder="1" applyAlignment="1">
      <alignment horizontal="center" vertical="top"/>
      <protection/>
    </xf>
    <xf numFmtId="49" fontId="73" fillId="42" borderId="16" xfId="42" applyNumberFormat="1" applyFont="1" applyFill="1" applyBorder="1" applyAlignment="1">
      <alignment horizontal="center"/>
      <protection/>
    </xf>
    <xf numFmtId="0" fontId="72" fillId="42" borderId="16" xfId="42" applyFont="1" applyFill="1" applyBorder="1" applyAlignment="1">
      <alignment horizontal="center"/>
      <protection/>
    </xf>
    <xf numFmtId="49" fontId="72" fillId="46" borderId="16" xfId="42" applyNumberFormat="1" applyFont="1" applyFill="1" applyBorder="1" applyAlignment="1">
      <alignment horizontal="center"/>
      <protection/>
    </xf>
    <xf numFmtId="4" fontId="73" fillId="42" borderId="16" xfId="42" applyNumberFormat="1" applyFont="1" applyFill="1" applyBorder="1" applyAlignment="1">
      <alignment horizontal="right" vertical="top"/>
      <protection/>
    </xf>
    <xf numFmtId="0" fontId="72" fillId="0" borderId="0" xfId="0" applyFont="1" applyAlignment="1">
      <alignment/>
    </xf>
    <xf numFmtId="0" fontId="0" fillId="0" borderId="16" xfId="0" applyFont="1" applyBorder="1" applyAlignment="1">
      <alignment/>
    </xf>
    <xf numFmtId="0" fontId="70" fillId="35" borderId="84" xfId="0" applyFont="1" applyFill="1" applyBorder="1" applyAlignment="1">
      <alignment vertical="top"/>
    </xf>
    <xf numFmtId="0" fontId="70" fillId="35" borderId="0" xfId="0" applyFont="1" applyFill="1" applyBorder="1" applyAlignment="1">
      <alignment vertical="top"/>
    </xf>
    <xf numFmtId="0" fontId="70" fillId="35" borderId="72" xfId="0" applyFont="1" applyFill="1" applyBorder="1" applyAlignment="1">
      <alignment vertical="top"/>
    </xf>
    <xf numFmtId="49" fontId="70" fillId="35" borderId="49" xfId="42" applyNumberFormat="1" applyFont="1" applyFill="1" applyBorder="1" applyAlignment="1">
      <alignment horizontal="center" vertical="top"/>
      <protection/>
    </xf>
    <xf numFmtId="49" fontId="70" fillId="35" borderId="23" xfId="4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vertical="top"/>
    </xf>
    <xf numFmtId="49" fontId="0" fillId="39" borderId="81" xfId="42" applyNumberFormat="1" applyFont="1" applyFill="1" applyBorder="1" applyAlignment="1">
      <alignment horizontal="center"/>
      <protection/>
    </xf>
    <xf numFmtId="49" fontId="0" fillId="39" borderId="81" xfId="42" applyNumberFormat="1" applyFont="1" applyFill="1" applyBorder="1" applyAlignment="1">
      <alignment horizontal="center" vertical="top"/>
      <protection/>
    </xf>
    <xf numFmtId="0" fontId="0" fillId="39" borderId="81" xfId="42" applyFont="1" applyFill="1" applyBorder="1" applyAlignment="1">
      <alignment horizontal="center"/>
      <protection/>
    </xf>
    <xf numFmtId="4" fontId="0" fillId="39" borderId="81" xfId="42" applyNumberFormat="1" applyFont="1" applyFill="1" applyBorder="1" applyAlignment="1">
      <alignment horizontal="right" vertical="top"/>
      <protection/>
    </xf>
    <xf numFmtId="4" fontId="0" fillId="39" borderId="85" xfId="42" applyNumberFormat="1" applyFont="1" applyFill="1" applyBorder="1" applyAlignment="1">
      <alignment horizontal="right" vertical="top"/>
      <protection/>
    </xf>
    <xf numFmtId="4" fontId="0" fillId="39" borderId="86" xfId="42" applyNumberFormat="1" applyFont="1" applyFill="1" applyBorder="1" applyAlignment="1">
      <alignment horizontal="right" vertical="top"/>
      <protection/>
    </xf>
    <xf numFmtId="4" fontId="0" fillId="39" borderId="87" xfId="42" applyNumberFormat="1" applyFont="1" applyFill="1" applyBorder="1" applyAlignment="1">
      <alignment horizontal="right" vertical="top"/>
      <protection/>
    </xf>
    <xf numFmtId="4" fontId="0" fillId="39" borderId="88" xfId="42" applyNumberFormat="1" applyFont="1" applyFill="1" applyBorder="1" applyAlignment="1">
      <alignment horizontal="right" vertical="top"/>
      <protection/>
    </xf>
    <xf numFmtId="4" fontId="4" fillId="0" borderId="27" xfId="0" applyNumberFormat="1" applyFont="1" applyFill="1" applyBorder="1" applyAlignment="1">
      <alignment horizontal="right"/>
    </xf>
    <xf numFmtId="4" fontId="0" fillId="0" borderId="65" xfId="42" applyNumberFormat="1" applyFont="1" applyFill="1" applyBorder="1" applyAlignment="1">
      <alignment horizontal="right" vertical="top"/>
      <protection/>
    </xf>
    <xf numFmtId="0" fontId="0" fillId="0" borderId="61" xfId="0" applyFont="1" applyBorder="1" applyAlignment="1">
      <alignment vertical="top"/>
    </xf>
    <xf numFmtId="0" fontId="0" fillId="0" borderId="76" xfId="0" applyFont="1" applyBorder="1" applyAlignment="1">
      <alignment vertical="top"/>
    </xf>
    <xf numFmtId="0" fontId="4" fillId="0" borderId="26" xfId="0" applyFont="1" applyFill="1" applyBorder="1" applyAlignment="1">
      <alignment vertical="top"/>
    </xf>
    <xf numFmtId="4" fontId="0" fillId="39" borderId="57" xfId="42" applyNumberFormat="1" applyFont="1" applyFill="1" applyBorder="1" applyAlignment="1">
      <alignment horizontal="right" vertical="top"/>
      <protection/>
    </xf>
    <xf numFmtId="4" fontId="0" fillId="39" borderId="55" xfId="42" applyNumberFormat="1" applyFont="1" applyFill="1" applyBorder="1" applyAlignment="1">
      <alignment horizontal="right" vertical="top"/>
      <protection/>
    </xf>
    <xf numFmtId="4" fontId="10" fillId="0" borderId="25" xfId="0" applyNumberFormat="1" applyFont="1" applyBorder="1" applyAlignment="1">
      <alignment horizontal="right" vertical="top"/>
    </xf>
    <xf numFmtId="177" fontId="10" fillId="0" borderId="18" xfId="45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5" fillId="0" borderId="0" xfId="45" applyFont="1" applyBorder="1" applyAlignment="1">
      <alignment horizontal="center" vertical="top"/>
      <protection/>
    </xf>
    <xf numFmtId="0" fontId="0" fillId="0" borderId="65" xfId="0" applyFont="1" applyFill="1" applyBorder="1" applyAlignment="1">
      <alignment vertical="top"/>
    </xf>
    <xf numFmtId="0" fontId="0" fillId="0" borderId="76" xfId="0" applyFont="1" applyFill="1" applyBorder="1" applyAlignment="1">
      <alignment vertical="top"/>
    </xf>
    <xf numFmtId="0" fontId="0" fillId="42" borderId="81" xfId="42" applyFont="1" applyFill="1" applyBorder="1" applyAlignment="1">
      <alignment horizontal="center"/>
      <protection/>
    </xf>
    <xf numFmtId="4" fontId="4" fillId="42" borderId="72" xfId="42" applyNumberFormat="1" applyFont="1" applyFill="1" applyBorder="1" applyAlignment="1">
      <alignment horizontal="right" vertical="center"/>
      <protection/>
    </xf>
    <xf numFmtId="4" fontId="0" fillId="0" borderId="67" xfId="46" applyNumberFormat="1" applyFont="1" applyFill="1" applyBorder="1" applyAlignment="1">
      <alignment horizontal="right" vertical="top"/>
      <protection/>
    </xf>
    <xf numFmtId="4" fontId="0" fillId="0" borderId="76" xfId="42" applyNumberFormat="1" applyFont="1" applyFill="1" applyBorder="1" applyAlignment="1">
      <alignment horizontal="right" vertical="top"/>
      <protection/>
    </xf>
    <xf numFmtId="0" fontId="0" fillId="0" borderId="57" xfId="0" applyFont="1" applyFill="1" applyBorder="1" applyAlignment="1">
      <alignment horizontal="left" vertical="top"/>
    </xf>
    <xf numFmtId="0" fontId="0" fillId="0" borderId="55" xfId="0" applyFont="1" applyFill="1" applyBorder="1" applyAlignment="1">
      <alignment horizontal="left" vertical="top"/>
    </xf>
    <xf numFmtId="4" fontId="0" fillId="0" borderId="5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left" vertical="top"/>
    </xf>
    <xf numFmtId="4" fontId="4" fillId="49" borderId="55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4" fontId="4" fillId="0" borderId="55" xfId="0" applyNumberFormat="1" applyFont="1" applyFill="1" applyBorder="1" applyAlignment="1">
      <alignment horizontal="right"/>
    </xf>
    <xf numFmtId="4" fontId="0" fillId="0" borderId="34" xfId="46" applyNumberFormat="1" applyFont="1" applyFill="1" applyBorder="1" applyAlignment="1">
      <alignment horizontal="right" vertical="top"/>
      <protection/>
    </xf>
    <xf numFmtId="4" fontId="0" fillId="0" borderId="87" xfId="46" applyNumberFormat="1" applyFont="1" applyFill="1" applyBorder="1" applyAlignment="1">
      <alignment horizontal="right" vertical="top"/>
      <protection/>
    </xf>
    <xf numFmtId="4" fontId="0" fillId="0" borderId="34" xfId="46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33" xfId="46" applyNumberFormat="1" applyFont="1" applyFill="1" applyBorder="1" applyAlignment="1" applyProtection="1">
      <alignment horizontal="right" vertical="top"/>
      <protection locked="0"/>
    </xf>
    <xf numFmtId="4" fontId="4" fillId="33" borderId="50" xfId="42" applyNumberFormat="1" applyFont="1" applyFill="1" applyBorder="1" applyAlignment="1">
      <alignment horizontal="right" vertical="top"/>
      <protection/>
    </xf>
    <xf numFmtId="0" fontId="0" fillId="0" borderId="50" xfId="0" applyFont="1" applyFill="1" applyBorder="1" applyAlignment="1">
      <alignment horizontal="left" vertical="top"/>
    </xf>
    <xf numFmtId="4" fontId="4" fillId="0" borderId="50" xfId="42" applyNumberFormat="1" applyFont="1" applyFill="1" applyBorder="1" applyAlignment="1">
      <alignment horizontal="right" vertical="top"/>
      <protection/>
    </xf>
    <xf numFmtId="4" fontId="0" fillId="0" borderId="72" xfId="42" applyNumberFormat="1" applyFont="1" applyFill="1" applyBorder="1" applyAlignment="1">
      <alignment horizontal="right" vertical="top"/>
      <protection/>
    </xf>
    <xf numFmtId="4" fontId="0" fillId="0" borderId="40" xfId="42" applyNumberFormat="1" applyFont="1" applyFill="1" applyBorder="1" applyAlignment="1">
      <alignment horizontal="right" vertical="top"/>
      <protection/>
    </xf>
    <xf numFmtId="4" fontId="0" fillId="0" borderId="24" xfId="46" applyNumberFormat="1" applyFont="1" applyFill="1" applyBorder="1" applyAlignment="1">
      <alignment horizontal="right" vertical="top"/>
      <protection/>
    </xf>
    <xf numFmtId="175" fontId="0" fillId="47" borderId="57" xfId="42" applyNumberFormat="1" applyFont="1" applyFill="1" applyBorder="1" applyAlignment="1">
      <alignment horizontal="center" vertical="top"/>
      <protection/>
    </xf>
    <xf numFmtId="175" fontId="0" fillId="47" borderId="0" xfId="42" applyNumberFormat="1" applyFont="1" applyFill="1" applyBorder="1" applyAlignment="1">
      <alignment horizontal="center" vertical="top"/>
      <protection/>
    </xf>
    <xf numFmtId="175" fontId="0" fillId="47" borderId="34" xfId="42" applyNumberFormat="1" applyFont="1" applyFill="1" applyBorder="1" applyAlignment="1">
      <alignment horizontal="center" vertical="top"/>
      <protection/>
    </xf>
    <xf numFmtId="4" fontId="0" fillId="0" borderId="26" xfId="0" applyNumberFormat="1" applyFont="1" applyFill="1" applyBorder="1" applyAlignment="1">
      <alignment horizontal="right" vertical="top"/>
    </xf>
    <xf numFmtId="49" fontId="4" fillId="46" borderId="49" xfId="42" applyNumberFormat="1" applyFont="1" applyFill="1" applyBorder="1" applyAlignment="1">
      <alignment horizontal="center" vertical="top"/>
      <protection/>
    </xf>
    <xf numFmtId="49" fontId="4" fillId="46" borderId="23" xfId="42" applyNumberFormat="1" applyFont="1" applyFill="1" applyBorder="1" applyAlignment="1">
      <alignment horizontal="center"/>
      <protection/>
    </xf>
    <xf numFmtId="4" fontId="4" fillId="46" borderId="50" xfId="42" applyNumberFormat="1" applyFont="1" applyFill="1" applyBorder="1" applyAlignment="1">
      <alignment horizontal="right" vertical="center"/>
      <protection/>
    </xf>
    <xf numFmtId="4" fontId="4" fillId="46" borderId="55" xfId="42" applyNumberFormat="1" applyFont="1" applyFill="1" applyBorder="1" applyAlignment="1">
      <alignment horizontal="right" vertical="center"/>
      <protection/>
    </xf>
    <xf numFmtId="4" fontId="4" fillId="0" borderId="50" xfId="0" applyNumberFormat="1" applyFont="1" applyFill="1" applyBorder="1" applyAlignment="1">
      <alignment horizontal="right" vertical="top"/>
    </xf>
    <xf numFmtId="184" fontId="4" fillId="50" borderId="54" xfId="0" applyNumberFormat="1" applyFont="1" applyFill="1" applyBorder="1" applyAlignment="1">
      <alignment horizontal="center" vertical="center" wrapText="1"/>
    </xf>
    <xf numFmtId="49" fontId="4" fillId="50" borderId="54" xfId="0" applyNumberFormat="1" applyFont="1" applyFill="1" applyBorder="1" applyAlignment="1">
      <alignment horizontal="center"/>
    </xf>
    <xf numFmtId="0" fontId="5" fillId="50" borderId="54" xfId="0" applyFont="1" applyFill="1" applyBorder="1" applyAlignment="1">
      <alignment wrapText="1"/>
    </xf>
    <xf numFmtId="4" fontId="10" fillId="47" borderId="25" xfId="0" applyNumberFormat="1" applyFont="1" applyFill="1" applyBorder="1" applyAlignment="1">
      <alignment horizontal="right" vertical="top"/>
    </xf>
    <xf numFmtId="4" fontId="12" fillId="0" borderId="25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61" xfId="0" applyFont="1" applyFill="1" applyBorder="1" applyAlignment="1">
      <alignment vertical="top"/>
    </xf>
    <xf numFmtId="0" fontId="4" fillId="0" borderId="65" xfId="0" applyFont="1" applyFill="1" applyBorder="1" applyAlignment="1">
      <alignment vertical="top"/>
    </xf>
    <xf numFmtId="49" fontId="0" fillId="0" borderId="27" xfId="42" applyNumberFormat="1" applyFont="1" applyFill="1" applyBorder="1" applyAlignment="1">
      <alignment horizontal="center" vertical="top"/>
      <protection/>
    </xf>
    <xf numFmtId="49" fontId="0" fillId="0" borderId="57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horizontal="right" vertical="top"/>
      <protection/>
    </xf>
    <xf numFmtId="4" fontId="4" fillId="33" borderId="55" xfId="42" applyNumberFormat="1" applyFont="1" applyFill="1" applyBorder="1" applyAlignment="1">
      <alignment horizontal="right" vertical="top"/>
      <protection/>
    </xf>
    <xf numFmtId="4" fontId="0" fillId="34" borderId="16" xfId="42" applyNumberFormat="1" applyFont="1" applyFill="1" applyBorder="1" applyAlignment="1">
      <alignment horizontal="right" vertical="center"/>
      <protection/>
    </xf>
    <xf numFmtId="4" fontId="4" fillId="0" borderId="76" xfId="0" applyNumberFormat="1" applyFont="1" applyFill="1" applyBorder="1" applyAlignment="1">
      <alignment horizontal="right"/>
    </xf>
    <xf numFmtId="4" fontId="4" fillId="0" borderId="76" xfId="0" applyNumberFormat="1" applyFont="1" applyFill="1" applyBorder="1" applyAlignment="1">
      <alignment horizontal="right" vertical="top"/>
    </xf>
    <xf numFmtId="49" fontId="0" fillId="0" borderId="49" xfId="42" applyNumberFormat="1" applyFont="1" applyFill="1" applyBorder="1" applyAlignment="1">
      <alignment horizontal="right" vertical="center"/>
      <protection/>
    </xf>
    <xf numFmtId="49" fontId="0" fillId="0" borderId="23" xfId="42" applyNumberFormat="1" applyFont="1" applyFill="1" applyBorder="1" applyAlignment="1">
      <alignment horizontal="right" vertical="center"/>
      <protection/>
    </xf>
    <xf numFmtId="174" fontId="0" fillId="0" borderId="23" xfId="42" applyNumberFormat="1" applyFont="1" applyFill="1" applyBorder="1" applyAlignment="1">
      <alignment horizontal="right" vertical="center"/>
      <protection/>
    </xf>
    <xf numFmtId="0" fontId="0" fillId="0" borderId="23" xfId="42" applyFont="1" applyFill="1" applyBorder="1" applyAlignment="1">
      <alignment horizontal="right" vertical="center"/>
      <protection/>
    </xf>
    <xf numFmtId="0" fontId="0" fillId="0" borderId="57" xfId="42" applyFont="1" applyFill="1" applyBorder="1" applyAlignment="1">
      <alignment horizontal="right" vertical="center"/>
      <protection/>
    </xf>
    <xf numFmtId="4" fontId="0" fillId="0" borderId="50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9" fontId="0" fillId="0" borderId="21" xfId="42" applyNumberFormat="1" applyFont="1" applyFill="1" applyBorder="1" applyAlignment="1">
      <alignment horizontal="right" vertical="center"/>
      <protection/>
    </xf>
    <xf numFmtId="49" fontId="7" fillId="0" borderId="22" xfId="42" applyNumberFormat="1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>
      <alignment horizontal="right" vertical="center"/>
      <protection/>
    </xf>
    <xf numFmtId="49" fontId="0" fillId="0" borderId="22" xfId="42" applyNumberFormat="1" applyFont="1" applyFill="1" applyBorder="1" applyAlignment="1">
      <alignment horizontal="right" vertical="center"/>
      <protection/>
    </xf>
    <xf numFmtId="175" fontId="0" fillId="0" borderId="27" xfId="42" applyNumberFormat="1" applyFont="1" applyFill="1" applyBorder="1" applyAlignment="1">
      <alignment horizontal="right" vertical="center"/>
      <protection/>
    </xf>
    <xf numFmtId="4" fontId="0" fillId="0" borderId="26" xfId="42" applyNumberFormat="1" applyFont="1" applyFill="1" applyBorder="1" applyAlignment="1">
      <alignment horizontal="right" vertical="center"/>
      <protection/>
    </xf>
    <xf numFmtId="4" fontId="0" fillId="0" borderId="22" xfId="46" applyNumberFormat="1" applyFont="1" applyFill="1" applyBorder="1" applyAlignment="1" applyProtection="1">
      <alignment horizontal="right" vertical="center"/>
      <protection locked="0"/>
    </xf>
    <xf numFmtId="4" fontId="0" fillId="0" borderId="27" xfId="46" applyNumberFormat="1" applyFont="1" applyFill="1" applyBorder="1" applyAlignment="1" applyProtection="1">
      <alignment horizontal="right" vertical="center"/>
      <protection locked="0"/>
    </xf>
    <xf numFmtId="4" fontId="0" fillId="0" borderId="16" xfId="46" applyNumberFormat="1" applyFont="1" applyFill="1" applyBorder="1" applyAlignment="1">
      <alignment horizontal="right" vertical="center"/>
      <protection/>
    </xf>
    <xf numFmtId="4" fontId="0" fillId="0" borderId="31" xfId="46" applyNumberFormat="1" applyFont="1" applyFill="1" applyBorder="1" applyAlignment="1">
      <alignment horizontal="right" vertical="center"/>
      <protection/>
    </xf>
    <xf numFmtId="4" fontId="0" fillId="0" borderId="16" xfId="46" applyNumberFormat="1" applyFont="1" applyFill="1" applyBorder="1" applyAlignment="1" applyProtection="1">
      <alignment horizontal="right" vertical="center"/>
      <protection locked="0"/>
    </xf>
    <xf numFmtId="49" fontId="7" fillId="0" borderId="23" xfId="42" applyNumberFormat="1" applyFont="1" applyFill="1" applyBorder="1" applyAlignment="1">
      <alignment horizontal="right" vertical="center"/>
      <protection/>
    </xf>
    <xf numFmtId="174" fontId="0" fillId="34" borderId="23" xfId="42" applyNumberFormat="1" applyFont="1" applyFill="1" applyBorder="1" applyAlignment="1">
      <alignment horizontal="right" vertical="center"/>
      <protection/>
    </xf>
    <xf numFmtId="0" fontId="0" fillId="0" borderId="57" xfId="42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175" fontId="0" fillId="0" borderId="73" xfId="42" applyNumberFormat="1" applyFont="1" applyFill="1" applyBorder="1" applyAlignment="1">
      <alignment horizontal="center" vertical="top"/>
      <protection/>
    </xf>
    <xf numFmtId="175" fontId="0" fillId="47" borderId="80" xfId="42" applyNumberFormat="1" applyFont="1" applyFill="1" applyBorder="1" applyAlignment="1">
      <alignment horizontal="center" vertical="top"/>
      <protection/>
    </xf>
    <xf numFmtId="4" fontId="0" fillId="0" borderId="88" xfId="46" applyNumberFormat="1" applyFont="1" applyFill="1" applyBorder="1" applyAlignment="1" applyProtection="1">
      <alignment horizontal="right" vertical="top"/>
      <protection locked="0"/>
    </xf>
    <xf numFmtId="4" fontId="0" fillId="0" borderId="89" xfId="46" applyNumberFormat="1" applyFont="1" applyFill="1" applyBorder="1" applyAlignment="1" applyProtection="1">
      <alignment horizontal="right" vertical="top"/>
      <protection locked="0"/>
    </xf>
    <xf numFmtId="4" fontId="0" fillId="0" borderId="90" xfId="46" applyNumberFormat="1" applyFont="1" applyFill="1" applyBorder="1" applyAlignment="1" applyProtection="1">
      <alignment horizontal="right" vertical="top"/>
      <protection locked="0"/>
    </xf>
    <xf numFmtId="4" fontId="0" fillId="0" borderId="64" xfId="46" applyNumberFormat="1" applyFont="1" applyFill="1" applyBorder="1" applyAlignment="1" applyProtection="1">
      <alignment horizontal="right" vertical="top"/>
      <protection locked="0"/>
    </xf>
    <xf numFmtId="4" fontId="0" fillId="0" borderId="48" xfId="46" applyNumberFormat="1" applyFont="1" applyFill="1" applyBorder="1" applyAlignment="1" applyProtection="1">
      <alignment horizontal="right" vertical="top"/>
      <protection locked="0"/>
    </xf>
    <xf numFmtId="4" fontId="74" fillId="47" borderId="0" xfId="0" applyNumberFormat="1" applyFont="1" applyFill="1" applyBorder="1" applyAlignment="1">
      <alignment horizontal="right" vertical="center" wrapText="1" readingOrder="1"/>
    </xf>
    <xf numFmtId="4" fontId="74" fillId="47" borderId="91" xfId="0" applyNumberFormat="1" applyFont="1" applyFill="1" applyBorder="1" applyAlignment="1">
      <alignment horizontal="right" vertical="center" wrapText="1" readingOrder="1"/>
    </xf>
    <xf numFmtId="0" fontId="75" fillId="47" borderId="0" xfId="0" applyFont="1" applyFill="1" applyBorder="1" applyAlignment="1">
      <alignment horizontal="right" wrapText="1"/>
    </xf>
    <xf numFmtId="4" fontId="74" fillId="47" borderId="0" xfId="0" applyNumberFormat="1" applyFont="1" applyFill="1" applyBorder="1" applyAlignment="1">
      <alignment horizontal="right" wrapText="1" readingOrder="1"/>
    </xf>
    <xf numFmtId="0" fontId="72" fillId="0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4" fontId="0" fillId="47" borderId="92" xfId="0" applyNumberFormat="1" applyFont="1" applyFill="1" applyBorder="1" applyAlignment="1">
      <alignment/>
    </xf>
    <xf numFmtId="49" fontId="4" fillId="42" borderId="81" xfId="42" applyNumberFormat="1" applyFont="1" applyFill="1" applyBorder="1" applyAlignment="1">
      <alignment horizontal="center"/>
      <protection/>
    </xf>
    <xf numFmtId="49" fontId="0" fillId="46" borderId="81" xfId="42" applyNumberFormat="1" applyFont="1" applyFill="1" applyBorder="1" applyAlignment="1">
      <alignment horizontal="center"/>
      <protection/>
    </xf>
    <xf numFmtId="0" fontId="0" fillId="47" borderId="16" xfId="42" applyFont="1" applyFill="1" applyBorder="1" applyAlignment="1">
      <alignment horizontal="center"/>
      <protection/>
    </xf>
    <xf numFmtId="0" fontId="10" fillId="0" borderId="33" xfId="0" applyFont="1" applyBorder="1" applyAlignment="1">
      <alignment horizontal="left" vertical="top"/>
    </xf>
    <xf numFmtId="0" fontId="0" fillId="0" borderId="34" xfId="45" applyFont="1" applyFill="1" applyBorder="1">
      <alignment/>
      <protection/>
    </xf>
    <xf numFmtId="0" fontId="12" fillId="0" borderId="25" xfId="0" applyFont="1" applyFill="1" applyBorder="1" applyAlignment="1">
      <alignment vertical="top"/>
    </xf>
    <xf numFmtId="176" fontId="10" fillId="47" borderId="18" xfId="45" applyNumberFormat="1" applyFont="1" applyFill="1" applyBorder="1" applyAlignment="1" applyProtection="1">
      <alignment horizontal="right" vertical="top"/>
      <protection locked="0"/>
    </xf>
    <xf numFmtId="0" fontId="10" fillId="0" borderId="34" xfId="0" applyFont="1" applyFill="1" applyBorder="1" applyAlignment="1">
      <alignment vertical="top"/>
    </xf>
    <xf numFmtId="174" fontId="10" fillId="0" borderId="16" xfId="45" applyNumberFormat="1" applyFont="1" applyFill="1" applyBorder="1" applyAlignment="1">
      <alignment horizontal="center" vertical="top"/>
      <protection/>
    </xf>
    <xf numFmtId="0" fontId="8" fillId="0" borderId="16" xfId="45" applyFont="1" applyBorder="1">
      <alignment/>
      <protection/>
    </xf>
    <xf numFmtId="4" fontId="4" fillId="42" borderId="3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center"/>
    </xf>
    <xf numFmtId="4" fontId="70" fillId="35" borderId="31" xfId="42" applyNumberFormat="1" applyFont="1" applyFill="1" applyBorder="1" applyAlignment="1">
      <alignment horizontal="right" vertical="top"/>
      <protection/>
    </xf>
    <xf numFmtId="4" fontId="4" fillId="0" borderId="34" xfId="42" applyNumberFormat="1" applyFont="1" applyFill="1" applyBorder="1" applyAlignment="1">
      <alignment horizontal="right" vertical="center"/>
      <protection/>
    </xf>
    <xf numFmtId="4" fontId="0" fillId="0" borderId="34" xfId="42" applyNumberFormat="1" applyFont="1" applyFill="1" applyBorder="1" applyAlignment="1">
      <alignment horizontal="right" vertical="center"/>
      <protection/>
    </xf>
    <xf numFmtId="4" fontId="4" fillId="34" borderId="34" xfId="42" applyNumberFormat="1" applyFont="1" applyFill="1" applyBorder="1" applyAlignment="1">
      <alignment horizontal="right" vertical="top"/>
      <protection/>
    </xf>
    <xf numFmtId="4" fontId="4" fillId="46" borderId="34" xfId="42" applyNumberFormat="1" applyFont="1" applyFill="1" applyBorder="1" applyAlignment="1">
      <alignment horizontal="right" vertical="top"/>
      <protection/>
    </xf>
    <xf numFmtId="4" fontId="4" fillId="0" borderId="31" xfId="0" applyNumberFormat="1" applyFont="1" applyFill="1" applyBorder="1" applyAlignment="1">
      <alignment horizontal="right"/>
    </xf>
    <xf numFmtId="4" fontId="4" fillId="0" borderId="34" xfId="42" applyNumberFormat="1" applyFont="1" applyFill="1" applyBorder="1" applyAlignment="1">
      <alignment horizontal="right" vertical="top"/>
      <protection/>
    </xf>
    <xf numFmtId="4" fontId="4" fillId="47" borderId="31" xfId="42" applyNumberFormat="1" applyFont="1" applyFill="1" applyBorder="1" applyAlignment="1">
      <alignment horizontal="right" vertical="top"/>
      <protection/>
    </xf>
    <xf numFmtId="4" fontId="4" fillId="49" borderId="3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46" borderId="40" xfId="42" applyNumberFormat="1" applyFont="1" applyFill="1" applyBorder="1" applyAlignment="1">
      <alignment horizontal="right" vertical="top"/>
      <protection/>
    </xf>
    <xf numFmtId="4" fontId="4" fillId="0" borderId="34" xfId="0" applyNumberFormat="1" applyFont="1" applyFill="1" applyBorder="1" applyAlignment="1">
      <alignment horizontal="right"/>
    </xf>
    <xf numFmtId="4" fontId="4" fillId="49" borderId="55" xfId="0" applyNumberFormat="1" applyFont="1" applyFill="1" applyBorder="1" applyAlignment="1">
      <alignment horizontal="right" vertical="center"/>
    </xf>
    <xf numFmtId="4" fontId="0" fillId="0" borderId="34" xfId="46" applyNumberFormat="1" applyFont="1" applyFill="1" applyBorder="1" applyAlignment="1" applyProtection="1">
      <alignment horizontal="right" vertical="center"/>
      <protection locked="0"/>
    </xf>
    <xf numFmtId="0" fontId="4" fillId="47" borderId="93" xfId="0" applyFont="1" applyFill="1" applyBorder="1" applyAlignment="1">
      <alignment horizontal="center" vertical="center" wrapText="1"/>
    </xf>
    <xf numFmtId="4" fontId="70" fillId="35" borderId="16" xfId="42" applyNumberFormat="1" applyFont="1" applyFill="1" applyBorder="1" applyAlignment="1">
      <alignment horizontal="right" vertical="center"/>
      <protection/>
    </xf>
    <xf numFmtId="4" fontId="70" fillId="35" borderId="16" xfId="42" applyNumberFormat="1" applyFont="1" applyFill="1" applyBorder="1" applyAlignment="1">
      <alignment horizontal="right" vertical="top"/>
      <protection/>
    </xf>
    <xf numFmtId="4" fontId="4" fillId="34" borderId="16" xfId="42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top"/>
    </xf>
    <xf numFmtId="4" fontId="70" fillId="35" borderId="16" xfId="42" applyNumberFormat="1" applyFont="1" applyFill="1" applyBorder="1" applyAlignment="1">
      <alignment vertical="center"/>
      <protection/>
    </xf>
    <xf numFmtId="4" fontId="0" fillId="47" borderId="16" xfId="42" applyNumberFormat="1" applyFont="1" applyFill="1" applyBorder="1" applyAlignment="1" applyProtection="1">
      <alignment horizontal="right" vertical="center"/>
      <protection locked="0"/>
    </xf>
    <xf numFmtId="4" fontId="0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42" borderId="16" xfId="42" applyNumberFormat="1" applyFont="1" applyFill="1" applyBorder="1" applyAlignment="1" applyProtection="1">
      <alignment horizontal="right" vertical="center"/>
      <protection locked="0"/>
    </xf>
    <xf numFmtId="4" fontId="4" fillId="47" borderId="16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center"/>
      <protection/>
    </xf>
    <xf numFmtId="4" fontId="4" fillId="33" borderId="16" xfId="42" applyNumberFormat="1" applyFont="1" applyFill="1" applyBorder="1" applyAlignment="1">
      <alignment horizontal="right" vertical="center"/>
      <protection/>
    </xf>
    <xf numFmtId="4" fontId="0" fillId="39" borderId="16" xfId="42" applyNumberFormat="1" applyFont="1" applyFill="1" applyBorder="1" applyAlignment="1">
      <alignment horizontal="right" vertical="center"/>
      <protection/>
    </xf>
    <xf numFmtId="4" fontId="73" fillId="42" borderId="16" xfId="42" applyNumberFormat="1" applyFont="1" applyFill="1" applyBorder="1" applyAlignment="1">
      <alignment horizontal="right"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5" fillId="0" borderId="11" xfId="0" applyFont="1" applyBorder="1" applyAlignment="1">
      <alignment horizontal="center" textRotation="90"/>
    </xf>
    <xf numFmtId="0" fontId="4" fillId="33" borderId="16" xfId="45" applyFont="1" applyFill="1" applyBorder="1" applyAlignment="1">
      <alignment horizontal="center"/>
      <protection/>
    </xf>
    <xf numFmtId="0" fontId="7" fillId="0" borderId="16" xfId="45" applyFont="1" applyBorder="1" applyAlignment="1">
      <alignment horizontal="center"/>
      <protection/>
    </xf>
    <xf numFmtId="182" fontId="12" fillId="0" borderId="16" xfId="45" applyNumberFormat="1" applyFont="1" applyBorder="1" applyAlignment="1">
      <alignment horizontal="center" vertical="top"/>
      <protection/>
    </xf>
    <xf numFmtId="182" fontId="12" fillId="0" borderId="16" xfId="45" applyNumberFormat="1" applyFont="1" applyFill="1" applyBorder="1" applyAlignment="1">
      <alignment horizontal="center" vertical="top"/>
      <protection/>
    </xf>
    <xf numFmtId="0" fontId="7" fillId="0" borderId="16" xfId="45" applyFont="1" applyFill="1" applyBorder="1" applyAlignment="1">
      <alignment horizontal="center"/>
      <protection/>
    </xf>
    <xf numFmtId="183" fontId="12" fillId="0" borderId="34" xfId="45" applyNumberFormat="1" applyFont="1" applyFill="1" applyBorder="1" applyAlignment="1">
      <alignment horizontal="center" vertical="top"/>
      <protection/>
    </xf>
    <xf numFmtId="182" fontId="10" fillId="0" borderId="16" xfId="45" applyNumberFormat="1" applyFont="1" applyBorder="1" applyAlignment="1">
      <alignment horizontal="center" vertical="top"/>
      <protection/>
    </xf>
    <xf numFmtId="0" fontId="0" fillId="0" borderId="16" xfId="45" applyFont="1" applyBorder="1" applyAlignment="1">
      <alignment horizontal="center"/>
      <protection/>
    </xf>
    <xf numFmtId="0" fontId="0" fillId="0" borderId="16" xfId="45" applyFont="1" applyBorder="1" applyAlignment="1">
      <alignment horizontal="center"/>
      <protection/>
    </xf>
    <xf numFmtId="174" fontId="11" fillId="33" borderId="16" xfId="45" applyNumberFormat="1" applyFont="1" applyFill="1" applyBorder="1" applyAlignment="1">
      <alignment horizontal="center" vertical="top"/>
      <protection/>
    </xf>
    <xf numFmtId="0" fontId="4" fillId="0" borderId="16" xfId="45" applyFont="1" applyBorder="1" applyAlignment="1">
      <alignment horizontal="center"/>
      <protection/>
    </xf>
    <xf numFmtId="0" fontId="0" fillId="0" borderId="24" xfId="45" applyFont="1" applyBorder="1" applyAlignment="1">
      <alignment horizontal="center"/>
      <protection/>
    </xf>
    <xf numFmtId="0" fontId="4" fillId="0" borderId="35" xfId="4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78" fontId="4" fillId="0" borderId="94" xfId="45" applyNumberFormat="1" applyFont="1" applyBorder="1" applyAlignment="1">
      <alignment horizontal="right" vertical="center"/>
      <protection/>
    </xf>
    <xf numFmtId="178" fontId="9" fillId="35" borderId="95" xfId="45" applyNumberFormat="1" applyFont="1" applyFill="1" applyBorder="1" applyAlignment="1">
      <alignment horizontal="right" vertical="top"/>
      <protection/>
    </xf>
    <xf numFmtId="4" fontId="4" fillId="33" borderId="95" xfId="45" applyNumberFormat="1" applyFont="1" applyFill="1" applyBorder="1">
      <alignment/>
      <protection/>
    </xf>
    <xf numFmtId="172" fontId="7" fillId="0" borderId="95" xfId="45" applyNumberFormat="1" applyFont="1" applyBorder="1" applyAlignment="1">
      <alignment horizontal="right" vertical="top"/>
      <protection/>
    </xf>
    <xf numFmtId="172" fontId="12" fillId="0" borderId="95" xfId="45" applyNumberFormat="1" applyFont="1" applyFill="1" applyBorder="1" applyAlignment="1" applyProtection="1">
      <alignment horizontal="right" vertical="top"/>
      <protection locked="0"/>
    </xf>
    <xf numFmtId="176" fontId="8" fillId="33" borderId="95" xfId="45" applyNumberFormat="1" applyFont="1" applyFill="1" applyBorder="1" applyAlignment="1">
      <alignment horizontal="right" vertical="top"/>
      <protection/>
    </xf>
    <xf numFmtId="176" fontId="7" fillId="0" borderId="95" xfId="45" applyNumberFormat="1" applyFont="1" applyBorder="1" applyAlignment="1">
      <alignment horizontal="right" vertical="top"/>
      <protection/>
    </xf>
    <xf numFmtId="176" fontId="12" fillId="0" borderId="95" xfId="45" applyNumberFormat="1" applyFont="1" applyBorder="1" applyAlignment="1" applyProtection="1">
      <alignment horizontal="right" vertical="top"/>
      <protection locked="0"/>
    </xf>
    <xf numFmtId="172" fontId="8" fillId="33" borderId="95" xfId="45" applyNumberFormat="1" applyFont="1" applyFill="1" applyBorder="1" applyAlignment="1">
      <alignment horizontal="right" vertical="top"/>
      <protection/>
    </xf>
    <xf numFmtId="173" fontId="7" fillId="0" borderId="95" xfId="45" applyNumberFormat="1" applyFont="1" applyBorder="1" applyAlignment="1">
      <alignment horizontal="right" vertical="top"/>
      <protection/>
    </xf>
    <xf numFmtId="173" fontId="12" fillId="0" borderId="95" xfId="45" applyNumberFormat="1" applyFont="1" applyFill="1" applyBorder="1" applyAlignment="1" applyProtection="1">
      <alignment horizontal="right" vertical="top"/>
      <protection locked="0"/>
    </xf>
    <xf numFmtId="176" fontId="10" fillId="0" borderId="95" xfId="45" applyNumberFormat="1" applyFont="1" applyBorder="1" applyAlignment="1">
      <alignment horizontal="right" vertical="top"/>
      <protection/>
    </xf>
    <xf numFmtId="177" fontId="12" fillId="0" borderId="95" xfId="45" applyNumberFormat="1" applyFont="1" applyBorder="1" applyAlignment="1" applyProtection="1">
      <alignment horizontal="right" vertical="top"/>
      <protection locked="0"/>
    </xf>
    <xf numFmtId="173" fontId="8" fillId="33" borderId="95" xfId="45" applyNumberFormat="1" applyFont="1" applyFill="1" applyBorder="1" applyAlignment="1">
      <alignment horizontal="right" vertical="top"/>
      <protection/>
    </xf>
    <xf numFmtId="177" fontId="7" fillId="0" borderId="95" xfId="45" applyNumberFormat="1" applyFont="1" applyBorder="1" applyAlignment="1">
      <alignment horizontal="right" vertical="top"/>
      <protection/>
    </xf>
    <xf numFmtId="177" fontId="0" fillId="0" borderId="95" xfId="45" applyNumberFormat="1" applyFont="1" applyFill="1" applyBorder="1" applyAlignment="1" applyProtection="1">
      <alignment horizontal="right" vertical="top"/>
      <protection locked="0"/>
    </xf>
    <xf numFmtId="173" fontId="12" fillId="0" borderId="95" xfId="45" applyNumberFormat="1" applyFont="1" applyBorder="1" applyAlignment="1" applyProtection="1">
      <alignment horizontal="right" vertical="top"/>
      <protection locked="0"/>
    </xf>
    <xf numFmtId="173" fontId="0" fillId="0" borderId="95" xfId="45" applyNumberFormat="1" applyFont="1" applyFill="1" applyBorder="1" applyAlignment="1" applyProtection="1">
      <alignment horizontal="right" vertical="top"/>
      <protection locked="0"/>
    </xf>
    <xf numFmtId="172" fontId="12" fillId="0" borderId="95" xfId="45" applyNumberFormat="1" applyFont="1" applyBorder="1" applyAlignment="1">
      <alignment horizontal="right" vertical="top"/>
      <protection/>
    </xf>
    <xf numFmtId="176" fontId="12" fillId="0" borderId="95" xfId="45" applyNumberFormat="1" applyFont="1" applyFill="1" applyBorder="1" applyAlignment="1" applyProtection="1">
      <alignment horizontal="right" vertical="top"/>
      <protection locked="0"/>
    </xf>
    <xf numFmtId="176" fontId="10" fillId="0" borderId="95" xfId="45" applyNumberFormat="1" applyFont="1" applyFill="1" applyBorder="1" applyAlignment="1" applyProtection="1">
      <alignment horizontal="right" vertical="top"/>
      <protection locked="0"/>
    </xf>
    <xf numFmtId="176" fontId="12" fillId="47" borderId="95" xfId="45" applyNumberFormat="1" applyFont="1" applyFill="1" applyBorder="1" applyAlignment="1" applyProtection="1">
      <alignment horizontal="right" vertical="top"/>
      <protection locked="0"/>
    </xf>
    <xf numFmtId="176" fontId="10" fillId="47" borderId="95" xfId="45" applyNumberFormat="1" applyFont="1" applyFill="1" applyBorder="1" applyAlignment="1" applyProtection="1">
      <alignment horizontal="right" vertical="top"/>
      <protection locked="0"/>
    </xf>
    <xf numFmtId="177" fontId="7" fillId="0" borderId="95" xfId="45" applyNumberFormat="1" applyFont="1" applyBorder="1" applyAlignment="1" applyProtection="1">
      <alignment horizontal="right" vertical="top"/>
      <protection locked="0"/>
    </xf>
    <xf numFmtId="177" fontId="0" fillId="0" borderId="95" xfId="45" applyNumberFormat="1" applyFont="1" applyBorder="1" applyAlignment="1" applyProtection="1">
      <alignment horizontal="right" vertical="top"/>
      <protection locked="0"/>
    </xf>
    <xf numFmtId="176" fontId="0" fillId="0" borderId="95" xfId="45" applyNumberFormat="1" applyFont="1" applyFill="1" applyBorder="1" applyAlignment="1" applyProtection="1">
      <alignment horizontal="right" vertical="top"/>
      <protection locked="0"/>
    </xf>
    <xf numFmtId="176" fontId="0" fillId="0" borderId="95" xfId="45" applyNumberFormat="1" applyFont="1" applyBorder="1" applyAlignment="1">
      <alignment horizontal="right" vertical="top"/>
      <protection/>
    </xf>
    <xf numFmtId="176" fontId="0" fillId="0" borderId="95" xfId="45" applyNumberFormat="1" applyFont="1" applyFill="1" applyBorder="1" applyAlignment="1">
      <alignment horizontal="right" vertical="top"/>
      <protection/>
    </xf>
    <xf numFmtId="176" fontId="0" fillId="0" borderId="95" xfId="45" applyNumberFormat="1" applyFont="1" applyFill="1" applyBorder="1" applyAlignment="1" applyProtection="1">
      <alignment horizontal="right" vertical="top"/>
      <protection locked="0"/>
    </xf>
    <xf numFmtId="173" fontId="0" fillId="0" borderId="95" xfId="45" applyNumberFormat="1" applyFont="1" applyBorder="1" applyAlignment="1" applyProtection="1">
      <alignment horizontal="right" vertical="top"/>
      <protection locked="0"/>
    </xf>
    <xf numFmtId="176" fontId="9" fillId="35" borderId="95" xfId="45" applyNumberFormat="1" applyFont="1" applyFill="1" applyBorder="1" applyAlignment="1">
      <alignment horizontal="right" vertical="top"/>
      <protection/>
    </xf>
    <xf numFmtId="176" fontId="0" fillId="0" borderId="95" xfId="45" applyNumberFormat="1" applyFont="1" applyBorder="1" applyAlignment="1" applyProtection="1">
      <alignment horizontal="right" vertical="top"/>
      <protection locked="0"/>
    </xf>
    <xf numFmtId="179" fontId="4" fillId="0" borderId="95" xfId="45" applyNumberFormat="1" applyFont="1" applyBorder="1" applyAlignment="1">
      <alignment horizontal="right" vertical="top"/>
      <protection/>
    </xf>
    <xf numFmtId="179" fontId="9" fillId="35" borderId="95" xfId="45" applyNumberFormat="1" applyFont="1" applyFill="1" applyBorder="1" applyAlignment="1">
      <alignment horizontal="right" vertical="top"/>
      <protection/>
    </xf>
    <xf numFmtId="179" fontId="4" fillId="0" borderId="95" xfId="45" applyNumberFormat="1" applyFont="1" applyFill="1" applyBorder="1" applyAlignment="1">
      <alignment horizontal="right" vertical="top"/>
      <protection/>
    </xf>
    <xf numFmtId="179" fontId="11" fillId="0" borderId="95" xfId="45" applyNumberFormat="1" applyFont="1" applyBorder="1" applyAlignment="1" applyProtection="1">
      <alignment horizontal="right" vertical="top"/>
      <protection locked="0"/>
    </xf>
    <xf numFmtId="179" fontId="12" fillId="0" borderId="95" xfId="45" applyNumberFormat="1" applyFont="1" applyBorder="1" applyAlignment="1" applyProtection="1">
      <alignment horizontal="right" vertical="top"/>
      <protection locked="0"/>
    </xf>
    <xf numFmtId="179" fontId="0" fillId="0" borderId="95" xfId="45" applyNumberFormat="1" applyFont="1" applyFill="1" applyBorder="1">
      <alignment/>
      <protection/>
    </xf>
    <xf numFmtId="179" fontId="10" fillId="0" borderId="95" xfId="45" applyNumberFormat="1" applyFont="1" applyBorder="1" applyAlignment="1" applyProtection="1">
      <alignment horizontal="right" vertical="top"/>
      <protection locked="0"/>
    </xf>
    <xf numFmtId="179" fontId="4" fillId="0" borderId="96" xfId="45" applyNumberFormat="1" applyFont="1" applyBorder="1" applyAlignment="1">
      <alignment horizontal="right" vertical="top"/>
      <protection/>
    </xf>
    <xf numFmtId="178" fontId="4" fillId="0" borderId="95" xfId="45" applyNumberFormat="1" applyFont="1" applyFill="1" applyBorder="1">
      <alignment/>
      <protection/>
    </xf>
    <xf numFmtId="179" fontId="0" fillId="0" borderId="96" xfId="45" applyNumberFormat="1" applyFont="1" applyBorder="1">
      <alignment/>
      <protection/>
    </xf>
    <xf numFmtId="178" fontId="4" fillId="0" borderId="37" xfId="45" applyNumberFormat="1" applyFont="1" applyFill="1" applyBorder="1">
      <alignment/>
      <protection/>
    </xf>
    <xf numFmtId="4" fontId="4" fillId="0" borderId="0" xfId="0" applyNumberFormat="1" applyFont="1" applyAlignment="1">
      <alignment horizontal="right"/>
    </xf>
    <xf numFmtId="4" fontId="0" fillId="0" borderId="0" xfId="42" applyNumberFormat="1" applyFont="1" applyBorder="1" applyAlignment="1">
      <alignment horizontal="right"/>
      <protection/>
    </xf>
    <xf numFmtId="4" fontId="70" fillId="35" borderId="72" xfId="0" applyNumberFormat="1" applyFont="1" applyFill="1" applyBorder="1" applyAlignment="1">
      <alignment horizontal="right" vertical="top"/>
    </xf>
    <xf numFmtId="4" fontId="73" fillId="46" borderId="72" xfId="0" applyNumberFormat="1" applyFont="1" applyFill="1" applyBorder="1" applyAlignment="1">
      <alignment horizontal="right" vertical="top"/>
    </xf>
    <xf numFmtId="4" fontId="4" fillId="42" borderId="50" xfId="0" applyNumberFormat="1" applyFont="1" applyFill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76" xfId="0" applyNumberFormat="1" applyFont="1" applyBorder="1" applyAlignment="1">
      <alignment horizontal="right" vertical="top"/>
    </xf>
    <xf numFmtId="4" fontId="4" fillId="46" borderId="50" xfId="0" applyNumberFormat="1" applyFont="1" applyFill="1" applyBorder="1" applyAlignment="1">
      <alignment horizontal="right" vertical="top"/>
    </xf>
    <xf numFmtId="4" fontId="0" fillId="0" borderId="31" xfId="0" applyNumberFormat="1" applyFont="1" applyBorder="1" applyAlignment="1">
      <alignment horizontal="right" vertical="top"/>
    </xf>
    <xf numFmtId="4" fontId="0" fillId="0" borderId="65" xfId="0" applyNumberFormat="1" applyFont="1" applyBorder="1" applyAlignment="1">
      <alignment horizontal="right" vertical="top"/>
    </xf>
    <xf numFmtId="4" fontId="0" fillId="0" borderId="34" xfId="0" applyNumberFormat="1" applyFont="1" applyBorder="1" applyAlignment="1">
      <alignment horizontal="right" vertical="top"/>
    </xf>
    <xf numFmtId="4" fontId="0" fillId="0" borderId="83" xfId="0" applyNumberFormat="1" applyFont="1" applyBorder="1" applyAlignment="1">
      <alignment horizontal="right" vertical="top"/>
    </xf>
    <xf numFmtId="4" fontId="70" fillId="35" borderId="50" xfId="0" applyNumberFormat="1" applyFont="1" applyFill="1" applyBorder="1" applyAlignment="1">
      <alignment horizontal="right" vertical="center"/>
    </xf>
    <xf numFmtId="4" fontId="0" fillId="0" borderId="5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top"/>
    </xf>
    <xf numFmtId="4" fontId="0" fillId="47" borderId="26" xfId="0" applyNumberFormat="1" applyFont="1" applyFill="1" applyBorder="1" applyAlignment="1">
      <alignment horizontal="right" vertical="top"/>
    </xf>
    <xf numFmtId="4" fontId="0" fillId="47" borderId="76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/>
    </xf>
    <xf numFmtId="4" fontId="0" fillId="0" borderId="76" xfId="0" applyNumberFormat="1" applyFont="1" applyFill="1" applyBorder="1" applyAlignment="1">
      <alignment horizontal="right"/>
    </xf>
    <xf numFmtId="4" fontId="4" fillId="46" borderId="72" xfId="0" applyNumberFormat="1" applyFont="1" applyFill="1" applyBorder="1" applyAlignment="1">
      <alignment horizontal="right" vertical="top"/>
    </xf>
    <xf numFmtId="4" fontId="0" fillId="0" borderId="50" xfId="0" applyNumberFormat="1" applyFont="1" applyBorder="1" applyAlignment="1">
      <alignment horizontal="right"/>
    </xf>
    <xf numFmtId="4" fontId="0" fillId="0" borderId="97" xfId="0" applyNumberFormat="1" applyFont="1" applyFill="1" applyBorder="1" applyAlignment="1">
      <alignment horizontal="right" vertical="top"/>
    </xf>
    <xf numFmtId="4" fontId="0" fillId="46" borderId="0" xfId="0" applyNumberFormat="1" applyFont="1" applyFill="1" applyBorder="1" applyAlignment="1">
      <alignment horizontal="right"/>
    </xf>
    <xf numFmtId="4" fontId="73" fillId="42" borderId="72" xfId="0" applyNumberFormat="1" applyFont="1" applyFill="1" applyBorder="1" applyAlignment="1">
      <alignment horizontal="right" vertical="top"/>
    </xf>
    <xf numFmtId="4" fontId="0" fillId="0" borderId="72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/>
    </xf>
    <xf numFmtId="4" fontId="0" fillId="0" borderId="76" xfId="0" applyNumberFormat="1" applyFont="1" applyFill="1" applyBorder="1" applyAlignment="1">
      <alignment horizontal="right" vertical="top"/>
    </xf>
    <xf numFmtId="4" fontId="4" fillId="46" borderId="50" xfId="0" applyNumberFormat="1" applyFont="1" applyFill="1" applyBorder="1" applyAlignment="1">
      <alignment horizontal="right" vertical="top" wrapText="1"/>
    </xf>
    <xf numFmtId="4" fontId="4" fillId="46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72" xfId="0" applyNumberFormat="1" applyFont="1" applyFill="1" applyBorder="1" applyAlignment="1">
      <alignment horizontal="right" vertical="top"/>
    </xf>
    <xf numFmtId="4" fontId="4" fillId="0" borderId="50" xfId="0" applyNumberFormat="1" applyFont="1" applyFill="1" applyBorder="1" applyAlignment="1">
      <alignment horizontal="right" vertical="top" wrapText="1"/>
    </xf>
    <xf numFmtId="4" fontId="0" fillId="0" borderId="50" xfId="0" applyNumberFormat="1" applyFont="1" applyFill="1" applyBorder="1" applyAlignment="1">
      <alignment horizontal="right" vertical="center" wrapText="1"/>
    </xf>
    <xf numFmtId="4" fontId="73" fillId="42" borderId="50" xfId="0" applyNumberFormat="1" applyFont="1" applyFill="1" applyBorder="1" applyAlignment="1">
      <alignment horizontal="right" vertical="top"/>
    </xf>
    <xf numFmtId="4" fontId="0" fillId="0" borderId="76" xfId="0" applyNumberFormat="1" applyFont="1" applyFill="1" applyBorder="1" applyAlignment="1">
      <alignment horizontal="right" vertical="center"/>
    </xf>
    <xf numFmtId="4" fontId="0" fillId="0" borderId="43" xfId="0" applyNumberFormat="1" applyFont="1" applyFill="1" applyBorder="1" applyAlignment="1">
      <alignment horizontal="right" vertical="top"/>
    </xf>
    <xf numFmtId="4" fontId="4" fillId="46" borderId="5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33" xfId="0" applyNumberFormat="1" applyFont="1" applyFill="1" applyBorder="1" applyAlignment="1">
      <alignment horizontal="right" vertical="top"/>
    </xf>
    <xf numFmtId="4" fontId="4" fillId="33" borderId="0" xfId="42" applyNumberFormat="1" applyFont="1" applyFill="1" applyBorder="1" applyAlignment="1">
      <alignment horizontal="right"/>
      <protection/>
    </xf>
    <xf numFmtId="4" fontId="4" fillId="33" borderId="55" xfId="42" applyNumberFormat="1" applyFont="1" applyFill="1" applyBorder="1" applyAlignment="1">
      <alignment horizontal="right"/>
      <protection/>
    </xf>
    <xf numFmtId="4" fontId="4" fillId="33" borderId="50" xfId="0" applyNumberFormat="1" applyFont="1" applyFill="1" applyBorder="1" applyAlignment="1">
      <alignment horizontal="right" vertical="top"/>
    </xf>
    <xf numFmtId="4" fontId="0" fillId="39" borderId="31" xfId="42" applyNumberFormat="1" applyFont="1" applyFill="1" applyBorder="1" applyAlignment="1">
      <alignment horizontal="right"/>
      <protection/>
    </xf>
    <xf numFmtId="4" fontId="0" fillId="0" borderId="31" xfId="0" applyNumberFormat="1" applyFont="1" applyFill="1" applyBorder="1" applyAlignment="1">
      <alignment horizontal="right"/>
    </xf>
    <xf numFmtId="4" fontId="0" fillId="0" borderId="7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top"/>
    </xf>
    <xf numFmtId="4" fontId="0" fillId="39" borderId="98" xfId="42" applyNumberFormat="1" applyFont="1" applyFill="1" applyBorder="1" applyAlignment="1">
      <alignment horizontal="right"/>
      <protection/>
    </xf>
    <xf numFmtId="4" fontId="73" fillId="46" borderId="16" xfId="0" applyNumberFormat="1" applyFont="1" applyFill="1" applyBorder="1" applyAlignment="1">
      <alignment horizontal="right" vertical="top"/>
    </xf>
    <xf numFmtId="4" fontId="0" fillId="0" borderId="65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4" fillId="46" borderId="10" xfId="45" applyFont="1" applyFill="1" applyBorder="1" applyAlignment="1">
      <alignment horizontal="center" vertical="center" wrapText="1"/>
      <protection/>
    </xf>
    <xf numFmtId="179" fontId="0" fillId="0" borderId="95" xfId="45" applyNumberFormat="1" applyFont="1" applyFill="1" applyBorder="1" applyAlignment="1">
      <alignment horizontal="right"/>
      <protection/>
    </xf>
    <xf numFmtId="179" fontId="0" fillId="0" borderId="95" xfId="45" applyNumberFormat="1" applyFont="1" applyBorder="1" applyAlignment="1">
      <alignment horizontal="right"/>
      <protection/>
    </xf>
    <xf numFmtId="0" fontId="25" fillId="0" borderId="99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5" fillId="0" borderId="10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1" xfId="0" applyNumberFormat="1" applyFont="1" applyFill="1" applyBorder="1" applyAlignment="1">
      <alignment horizontal="right" vertical="center" wrapText="1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left"/>
    </xf>
    <xf numFmtId="4" fontId="25" fillId="0" borderId="101" xfId="0" applyNumberFormat="1" applyFont="1" applyFill="1" applyBorder="1" applyAlignment="1">
      <alignment/>
    </xf>
    <xf numFmtId="0" fontId="26" fillId="0" borderId="102" xfId="0" applyFont="1" applyBorder="1" applyAlignment="1">
      <alignment horizontal="center" vertical="center"/>
    </xf>
    <xf numFmtId="0" fontId="26" fillId="0" borderId="81" xfId="0" applyFont="1" applyBorder="1" applyAlignment="1">
      <alignment/>
    </xf>
    <xf numFmtId="4" fontId="26" fillId="0" borderId="81" xfId="0" applyNumberFormat="1" applyFont="1" applyFill="1" applyBorder="1" applyAlignment="1">
      <alignment/>
    </xf>
    <xf numFmtId="4" fontId="26" fillId="0" borderId="103" xfId="0" applyNumberFormat="1" applyFont="1" applyFill="1" applyBorder="1" applyAlignment="1">
      <alignment horizontal="righ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26" fillId="0" borderId="39" xfId="0" applyFont="1" applyBorder="1" applyAlignment="1">
      <alignment horizontal="center" vertical="center"/>
    </xf>
    <xf numFmtId="0" fontId="26" fillId="0" borderId="24" xfId="0" applyFont="1" applyBorder="1" applyAlignment="1">
      <alignment/>
    </xf>
    <xf numFmtId="4" fontId="26" fillId="0" borderId="24" xfId="0" applyNumberFormat="1" applyFont="1" applyFill="1" applyBorder="1" applyAlignment="1">
      <alignment/>
    </xf>
    <xf numFmtId="0" fontId="25" fillId="0" borderId="100" xfId="0" applyFont="1" applyBorder="1" applyAlignment="1">
      <alignment/>
    </xf>
    <xf numFmtId="4" fontId="25" fillId="0" borderId="100" xfId="0" applyNumberFormat="1" applyFont="1" applyFill="1" applyBorder="1" applyAlignment="1">
      <alignment/>
    </xf>
    <xf numFmtId="0" fontId="25" fillId="0" borderId="100" xfId="0" applyFont="1" applyBorder="1" applyAlignment="1">
      <alignment/>
    </xf>
    <xf numFmtId="0" fontId="26" fillId="0" borderId="104" xfId="0" applyFont="1" applyBorder="1" applyAlignment="1">
      <alignment horizontal="center" vertical="center"/>
    </xf>
    <xf numFmtId="0" fontId="26" fillId="0" borderId="47" xfId="0" applyFont="1" applyBorder="1" applyAlignment="1">
      <alignment/>
    </xf>
    <xf numFmtId="4" fontId="26" fillId="0" borderId="47" xfId="0" applyNumberFormat="1" applyFont="1" applyFill="1" applyBorder="1" applyAlignment="1">
      <alignment/>
    </xf>
    <xf numFmtId="4" fontId="26" fillId="0" borderId="101" xfId="0" applyNumberFormat="1" applyFont="1" applyFill="1" applyBorder="1" applyAlignment="1">
      <alignment horizontal="right" vertical="center" wrapText="1"/>
    </xf>
    <xf numFmtId="0" fontId="25" fillId="0" borderId="100" xfId="0" applyFont="1" applyFill="1" applyBorder="1" applyAlignment="1">
      <alignment/>
    </xf>
    <xf numFmtId="0" fontId="26" fillId="0" borderId="105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4" fontId="26" fillId="0" borderId="46" xfId="0" applyNumberFormat="1" applyFont="1" applyFill="1" applyBorder="1" applyAlignment="1">
      <alignment/>
    </xf>
    <xf numFmtId="0" fontId="26" fillId="0" borderId="10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/>
    </xf>
    <xf numFmtId="0" fontId="26" fillId="0" borderId="16" xfId="0" applyFont="1" applyBorder="1" applyAlignment="1">
      <alignment vertical="top"/>
    </xf>
    <xf numFmtId="4" fontId="26" fillId="0" borderId="16" xfId="0" applyNumberFormat="1" applyFont="1" applyBorder="1" applyAlignment="1">
      <alignment/>
    </xf>
    <xf numFmtId="0" fontId="26" fillId="0" borderId="36" xfId="0" applyFont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25" fillId="0" borderId="106" xfId="0" applyFont="1" applyBorder="1" applyAlignment="1">
      <alignment/>
    </xf>
    <xf numFmtId="4" fontId="25" fillId="0" borderId="106" xfId="0" applyNumberFormat="1" applyFont="1" applyFill="1" applyBorder="1" applyAlignment="1">
      <alignment/>
    </xf>
    <xf numFmtId="0" fontId="26" fillId="0" borderId="107" xfId="0" applyFont="1" applyBorder="1" applyAlignment="1">
      <alignment/>
    </xf>
    <xf numFmtId="4" fontId="26" fillId="0" borderId="107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0" fontId="25" fillId="43" borderId="16" xfId="60" applyFont="1" applyFill="1" applyBorder="1" applyAlignment="1">
      <alignment horizontal="center" vertical="center" wrapText="1"/>
      <protection/>
    </xf>
    <xf numFmtId="49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42" applyNumberFormat="1" applyFont="1" applyFill="1" applyBorder="1" applyAlignment="1">
      <alignment horizontal="center" vertical="center" wrapText="1"/>
      <protection/>
    </xf>
    <xf numFmtId="10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60" applyNumberFormat="1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/>
    </xf>
    <xf numFmtId="49" fontId="29" fillId="39" borderId="16" xfId="0" applyNumberFormat="1" applyFont="1" applyFill="1" applyBorder="1" applyAlignment="1" applyProtection="1">
      <alignment horizontal="center" vertical="top"/>
      <protection/>
    </xf>
    <xf numFmtId="49" fontId="29" fillId="39" borderId="16" xfId="0" applyNumberFormat="1" applyFont="1" applyFill="1" applyBorder="1" applyAlignment="1" applyProtection="1">
      <alignment horizontal="left" vertical="top"/>
      <protection/>
    </xf>
    <xf numFmtId="0" fontId="29" fillId="39" borderId="16" xfId="0" applyFont="1" applyFill="1" applyBorder="1" applyAlignment="1" applyProtection="1">
      <alignment horizontal="left" vertical="top"/>
      <protection/>
    </xf>
    <xf numFmtId="3" fontId="29" fillId="39" borderId="16" xfId="42" applyNumberFormat="1" applyFont="1" applyFill="1" applyBorder="1" applyAlignment="1">
      <alignment vertical="center"/>
      <protection/>
    </xf>
    <xf numFmtId="10" fontId="29" fillId="51" borderId="16" xfId="42" applyNumberFormat="1" applyFont="1" applyFill="1" applyBorder="1" applyAlignment="1">
      <alignment vertical="center"/>
      <protection/>
    </xf>
    <xf numFmtId="0" fontId="28" fillId="39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horizontal="left"/>
      <protection/>
    </xf>
    <xf numFmtId="3" fontId="28" fillId="0" borderId="16" xfId="42" applyNumberFormat="1" applyFont="1" applyBorder="1" applyAlignment="1">
      <alignment vertical="center"/>
      <protection/>
    </xf>
    <xf numFmtId="0" fontId="28" fillId="0" borderId="16" xfId="0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6" xfId="42" applyNumberFormat="1" applyFont="1" applyFill="1" applyBorder="1" applyAlignment="1" applyProtection="1">
      <alignment vertical="center"/>
      <protection/>
    </xf>
    <xf numFmtId="3" fontId="28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left"/>
    </xf>
    <xf numFmtId="0" fontId="26" fillId="0" borderId="16" xfId="0" applyFont="1" applyFill="1" applyBorder="1" applyAlignment="1">
      <alignment vertical="top" wrapText="1"/>
    </xf>
    <xf numFmtId="4" fontId="26" fillId="0" borderId="16" xfId="0" applyNumberFormat="1" applyFont="1" applyFill="1" applyBorder="1" applyAlignment="1">
      <alignment vertical="top"/>
    </xf>
    <xf numFmtId="4" fontId="28" fillId="0" borderId="16" xfId="0" applyNumberFormat="1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 wrapText="1"/>
      <protection/>
    </xf>
    <xf numFmtId="3" fontId="29" fillId="39" borderId="16" xfId="0" applyNumberFormat="1" applyFont="1" applyFill="1" applyBorder="1" applyAlignment="1">
      <alignment vertical="center"/>
    </xf>
    <xf numFmtId="0" fontId="29" fillId="39" borderId="16" xfId="0" applyFont="1" applyFill="1" applyBorder="1" applyAlignment="1">
      <alignment vertical="center"/>
    </xf>
    <xf numFmtId="49" fontId="28" fillId="0" borderId="16" xfId="0" applyNumberFormat="1" applyFont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left" vertical="top"/>
      <protection/>
    </xf>
    <xf numFmtId="49" fontId="28" fillId="0" borderId="16" xfId="0" applyNumberFormat="1" applyFont="1" applyBorder="1" applyAlignment="1" applyProtection="1">
      <alignment horizontal="center" vertical="top"/>
      <protection/>
    </xf>
    <xf numFmtId="0" fontId="28" fillId="0" borderId="16" xfId="0" applyFont="1" applyFill="1" applyBorder="1" applyAlignment="1" applyProtection="1">
      <alignment horizontal="center" vertical="top"/>
      <protection/>
    </xf>
    <xf numFmtId="3" fontId="29" fillId="39" borderId="16" xfId="42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0" applyFont="1" applyBorder="1" applyAlignment="1">
      <alignment vertical="center" wrapText="1"/>
    </xf>
    <xf numFmtId="0" fontId="28" fillId="0" borderId="16" xfId="0" applyFont="1" applyBorder="1" applyAlignment="1">
      <alignment/>
    </xf>
    <xf numFmtId="0" fontId="28" fillId="0" borderId="16" xfId="0" applyFont="1" applyBorder="1" applyAlignment="1" applyProtection="1">
      <alignment horizontal="left" vertical="top"/>
      <protection/>
    </xf>
    <xf numFmtId="3" fontId="28" fillId="0" borderId="16" xfId="42" applyNumberFormat="1" applyFont="1" applyFill="1" applyBorder="1" applyAlignment="1">
      <alignment vertical="center"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3" fontId="26" fillId="0" borderId="16" xfId="0" applyNumberFormat="1" applyFont="1" applyFill="1" applyBorder="1" applyAlignment="1">
      <alignment vertical="top"/>
    </xf>
    <xf numFmtId="49" fontId="28" fillId="0" borderId="16" xfId="0" applyNumberFormat="1" applyFont="1" applyFill="1" applyBorder="1" applyAlignment="1" applyProtection="1">
      <alignment horizontal="center" vertical="top"/>
      <protection/>
    </xf>
    <xf numFmtId="0" fontId="28" fillId="0" borderId="16" xfId="0" applyFont="1" applyBorder="1" applyAlignment="1" applyProtection="1">
      <alignment horizontal="left" vertical="top" wrapText="1"/>
      <protection/>
    </xf>
    <xf numFmtId="0" fontId="28" fillId="0" borderId="16" xfId="0" applyFont="1" applyBorder="1" applyAlignment="1">
      <alignment horizontal="left" wrapText="1"/>
    </xf>
    <xf numFmtId="4" fontId="28" fillId="0" borderId="16" xfId="42" applyNumberFormat="1" applyFont="1" applyFill="1" applyBorder="1" applyAlignment="1">
      <alignment vertical="center"/>
      <protection/>
    </xf>
    <xf numFmtId="0" fontId="25" fillId="43" borderId="16" xfId="60" applyFont="1" applyFill="1" applyBorder="1" applyAlignment="1">
      <alignment horizontal="left" vertical="center" wrapText="1"/>
      <protection/>
    </xf>
    <xf numFmtId="3" fontId="25" fillId="43" borderId="16" xfId="42" applyNumberFormat="1" applyFont="1" applyFill="1" applyBorder="1" applyAlignment="1">
      <alignment vertical="center" wrapText="1"/>
      <protection/>
    </xf>
    <xf numFmtId="10" fontId="25" fillId="43" borderId="16" xfId="60" applyNumberFormat="1" applyFont="1" applyFill="1" applyBorder="1" applyAlignment="1">
      <alignment vertical="center" wrapText="1"/>
      <protection/>
    </xf>
    <xf numFmtId="4" fontId="0" fillId="46" borderId="50" xfId="0" applyNumberFormat="1" applyFont="1" applyFill="1" applyBorder="1" applyAlignment="1">
      <alignment horizontal="right"/>
    </xf>
    <xf numFmtId="4" fontId="4" fillId="42" borderId="81" xfId="42" applyNumberFormat="1" applyFont="1" applyFill="1" applyBorder="1" applyAlignment="1">
      <alignment horizontal="right" vertical="center"/>
      <protection/>
    </xf>
    <xf numFmtId="49" fontId="0" fillId="0" borderId="47" xfId="42" applyNumberFormat="1" applyFont="1" applyFill="1" applyBorder="1" applyAlignment="1">
      <alignment horizontal="center"/>
      <protection/>
    </xf>
    <xf numFmtId="4" fontId="4" fillId="46" borderId="55" xfId="0" applyNumberFormat="1" applyFont="1" applyFill="1" applyBorder="1" applyAlignment="1">
      <alignment horizontal="right" vertical="top"/>
    </xf>
    <xf numFmtId="4" fontId="4" fillId="46" borderId="16" xfId="0" applyNumberFormat="1" applyFont="1" applyFill="1" applyBorder="1" applyAlignment="1">
      <alignment horizontal="right" vertical="center"/>
    </xf>
    <xf numFmtId="4" fontId="0" fillId="47" borderId="61" xfId="46" applyNumberFormat="1" applyFont="1" applyFill="1" applyBorder="1" applyAlignment="1" applyProtection="1">
      <alignment horizontal="right" vertical="top"/>
      <protection locked="0"/>
    </xf>
    <xf numFmtId="4" fontId="0" fillId="47" borderId="16" xfId="0" applyNumberFormat="1" applyFont="1" applyFill="1" applyBorder="1" applyAlignment="1">
      <alignment horizontal="right" vertical="top"/>
    </xf>
    <xf numFmtId="0" fontId="70" fillId="35" borderId="57" xfId="42" applyFont="1" applyFill="1" applyBorder="1" applyAlignment="1">
      <alignment horizontal="center"/>
      <protection/>
    </xf>
    <xf numFmtId="0" fontId="0" fillId="47" borderId="16" xfId="0" applyFont="1" applyFill="1" applyBorder="1" applyAlignment="1">
      <alignment/>
    </xf>
    <xf numFmtId="0" fontId="0" fillId="47" borderId="16" xfId="0" applyFont="1" applyFill="1" applyBorder="1" applyAlignment="1">
      <alignment horizontal="left" vertical="top"/>
    </xf>
    <xf numFmtId="4" fontId="0" fillId="0" borderId="73" xfId="46" applyNumberFormat="1" applyFont="1" applyFill="1" applyBorder="1" applyAlignment="1" applyProtection="1">
      <alignment horizontal="right" vertical="top"/>
      <protection locked="0"/>
    </xf>
    <xf numFmtId="4" fontId="4" fillId="46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9" fontId="0" fillId="0" borderId="0" xfId="42" applyNumberFormat="1" applyFont="1" applyFill="1" applyBorder="1" applyAlignment="1">
      <alignment horizontal="center" vertical="top"/>
      <protection/>
    </xf>
    <xf numFmtId="0" fontId="4" fillId="0" borderId="76" xfId="0" applyFont="1" applyFill="1" applyBorder="1" applyAlignment="1">
      <alignment/>
    </xf>
    <xf numFmtId="49" fontId="4" fillId="0" borderId="27" xfId="42" applyNumberFormat="1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horizontal="center"/>
      <protection/>
    </xf>
    <xf numFmtId="0" fontId="4" fillId="0" borderId="31" xfId="42" applyFont="1" applyFill="1" applyBorder="1" applyAlignment="1">
      <alignment horizontal="center"/>
      <protection/>
    </xf>
    <xf numFmtId="4" fontId="0" fillId="0" borderId="33" xfId="42" applyNumberFormat="1" applyFont="1" applyFill="1" applyBorder="1" applyAlignment="1">
      <alignment horizontal="right" vertical="top"/>
      <protection/>
    </xf>
    <xf numFmtId="4" fontId="0" fillId="0" borderId="16" xfId="0" applyNumberFormat="1" applyFont="1" applyBorder="1" applyAlignment="1">
      <alignment horizontal="right"/>
    </xf>
    <xf numFmtId="4" fontId="73" fillId="42" borderId="16" xfId="0" applyNumberFormat="1" applyFont="1" applyFill="1" applyBorder="1" applyAlignment="1">
      <alignment horizontal="right" vertical="top"/>
    </xf>
    <xf numFmtId="0" fontId="4" fillId="0" borderId="57" xfId="42" applyFont="1" applyFill="1" applyBorder="1" applyAlignment="1">
      <alignment horizontal="center"/>
      <protection/>
    </xf>
    <xf numFmtId="4" fontId="73" fillId="42" borderId="0" xfId="0" applyNumberFormat="1" applyFont="1" applyFill="1" applyBorder="1" applyAlignment="1">
      <alignment horizontal="right" vertical="top"/>
    </xf>
    <xf numFmtId="4" fontId="0" fillId="0" borderId="65" xfId="0" applyNumberFormat="1" applyFont="1" applyFill="1" applyBorder="1" applyAlignment="1">
      <alignment horizontal="right" vertical="top"/>
    </xf>
    <xf numFmtId="4" fontId="4" fillId="0" borderId="72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left"/>
    </xf>
    <xf numFmtId="0" fontId="0" fillId="47" borderId="0" xfId="0" applyFont="1" applyFill="1" applyBorder="1" applyAlignment="1">
      <alignment horizontal="left" vertical="top"/>
    </xf>
    <xf numFmtId="4" fontId="73" fillId="46" borderId="0" xfId="0" applyNumberFormat="1" applyFont="1" applyFill="1" applyBorder="1" applyAlignment="1">
      <alignment horizontal="right" vertical="top"/>
    </xf>
    <xf numFmtId="4" fontId="4" fillId="46" borderId="55" xfId="0" applyNumberFormat="1" applyFont="1" applyFill="1" applyBorder="1" applyAlignment="1">
      <alignment horizontal="right" vertical="top" wrapText="1"/>
    </xf>
    <xf numFmtId="4" fontId="0" fillId="39" borderId="26" xfId="42" applyNumberFormat="1" applyFont="1" applyFill="1" applyBorder="1" applyAlignment="1">
      <alignment horizontal="right" vertical="top"/>
      <protection/>
    </xf>
    <xf numFmtId="4" fontId="0" fillId="39" borderId="16" xfId="42" applyNumberFormat="1" applyFont="1" applyFill="1" applyBorder="1" applyAlignment="1">
      <alignment horizontal="right"/>
      <protection/>
    </xf>
    <xf numFmtId="4" fontId="4" fillId="46" borderId="16" xfId="0" applyNumberFormat="1" applyFont="1" applyFill="1" applyBorder="1" applyAlignment="1">
      <alignment horizontal="right" vertical="top" wrapText="1"/>
    </xf>
    <xf numFmtId="4" fontId="4" fillId="33" borderId="55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4" fontId="0" fillId="0" borderId="48" xfId="0" applyNumberFormat="1" applyFont="1" applyFill="1" applyBorder="1" applyAlignment="1">
      <alignment horizontal="right" vertical="top"/>
    </xf>
    <xf numFmtId="4" fontId="4" fillId="33" borderId="16" xfId="42" applyNumberFormat="1" applyFont="1" applyFill="1" applyBorder="1" applyAlignment="1">
      <alignment horizontal="right"/>
      <protection/>
    </xf>
    <xf numFmtId="4" fontId="0" fillId="47" borderId="31" xfId="0" applyNumberFormat="1" applyFont="1" applyFill="1" applyBorder="1" applyAlignment="1">
      <alignment horizontal="right" vertical="top"/>
    </xf>
    <xf numFmtId="4" fontId="4" fillId="0" borderId="55" xfId="0" applyNumberFormat="1" applyFont="1" applyFill="1" applyBorder="1" applyAlignment="1">
      <alignment horizontal="right" vertical="top"/>
    </xf>
    <xf numFmtId="4" fontId="73" fillId="42" borderId="81" xfId="0" applyNumberFormat="1" applyFont="1" applyFill="1" applyBorder="1" applyAlignment="1">
      <alignment horizontal="right" vertical="top"/>
    </xf>
    <xf numFmtId="4" fontId="0" fillId="0" borderId="72" xfId="0" applyNumberFormat="1" applyFont="1" applyBorder="1" applyAlignment="1">
      <alignment horizontal="right"/>
    </xf>
    <xf numFmtId="4" fontId="4" fillId="0" borderId="72" xfId="0" applyNumberFormat="1" applyFont="1" applyFill="1" applyBorder="1" applyAlignment="1">
      <alignment horizontal="right" vertical="top"/>
    </xf>
    <xf numFmtId="4" fontId="4" fillId="0" borderId="47" xfId="0" applyNumberFormat="1" applyFont="1" applyFill="1" applyBorder="1" applyAlignment="1">
      <alignment horizontal="right" vertical="top"/>
    </xf>
    <xf numFmtId="4" fontId="4" fillId="46" borderId="72" xfId="0" applyNumberFormat="1" applyFont="1" applyFill="1" applyBorder="1" applyAlignment="1">
      <alignment horizontal="right" vertical="top" wrapText="1"/>
    </xf>
    <xf numFmtId="4" fontId="0" fillId="46" borderId="72" xfId="0" applyNumberFormat="1" applyFont="1" applyFill="1" applyBorder="1" applyAlignment="1">
      <alignment horizontal="right"/>
    </xf>
    <xf numFmtId="4" fontId="0" fillId="46" borderId="16" xfId="0" applyNumberFormat="1" applyFont="1" applyFill="1" applyBorder="1" applyAlignment="1">
      <alignment horizontal="right"/>
    </xf>
    <xf numFmtId="4" fontId="0" fillId="39" borderId="55" xfId="42" applyNumberFormat="1" applyFont="1" applyFill="1" applyBorder="1" applyAlignment="1">
      <alignment horizontal="right"/>
      <protection/>
    </xf>
    <xf numFmtId="4" fontId="4" fillId="14" borderId="84" xfId="0" applyNumberFormat="1" applyFont="1" applyFill="1" applyBorder="1" applyAlignment="1">
      <alignment horizontal="center" vertical="center"/>
    </xf>
    <xf numFmtId="4" fontId="4" fillId="14" borderId="84" xfId="0" applyNumberFormat="1" applyFont="1" applyFill="1" applyBorder="1" applyAlignment="1">
      <alignment horizontal="center" vertical="center" wrapText="1"/>
    </xf>
    <xf numFmtId="4" fontId="0" fillId="34" borderId="50" xfId="42" applyNumberFormat="1" applyFont="1" applyFill="1" applyBorder="1" applyAlignment="1">
      <alignment horizontal="right" vertical="top"/>
      <protection/>
    </xf>
    <xf numFmtId="4" fontId="0" fillId="34" borderId="72" xfId="42" applyNumberFormat="1" applyFont="1" applyFill="1" applyBorder="1" applyAlignment="1">
      <alignment horizontal="right" vertical="top"/>
      <protection/>
    </xf>
    <xf numFmtId="184" fontId="0" fillId="0" borderId="108" xfId="0" applyNumberFormat="1" applyFont="1" applyFill="1" applyBorder="1" applyAlignment="1">
      <alignment horizontal="center" vertical="center" wrapText="1"/>
    </xf>
    <xf numFmtId="184" fontId="4" fillId="52" borderId="16" xfId="44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horizontal="right" vertical="top"/>
    </xf>
    <xf numFmtId="4" fontId="73" fillId="46" borderId="16" xfId="42" applyNumberFormat="1" applyFont="1" applyFill="1" applyBorder="1" applyAlignment="1">
      <alignment horizontal="right" vertical="center"/>
      <protection/>
    </xf>
    <xf numFmtId="4" fontId="70" fillId="53" borderId="16" xfId="42" applyNumberFormat="1" applyFont="1" applyFill="1" applyBorder="1" applyAlignment="1">
      <alignment horizontal="right" vertical="center"/>
      <protection/>
    </xf>
    <xf numFmtId="4" fontId="4" fillId="54" borderId="16" xfId="42" applyNumberFormat="1" applyFont="1" applyFill="1" applyBorder="1" applyAlignment="1">
      <alignment horizontal="right" vertical="center"/>
      <protection/>
    </xf>
    <xf numFmtId="4" fontId="0" fillId="0" borderId="55" xfId="0" applyNumberFormat="1" applyFont="1" applyBorder="1" applyAlignment="1">
      <alignment horizontal="right" vertical="top"/>
    </xf>
    <xf numFmtId="4" fontId="0" fillId="0" borderId="34" xfId="0" applyNumberFormat="1" applyFont="1" applyFill="1" applyBorder="1" applyAlignment="1">
      <alignment horizontal="right" vertical="top"/>
    </xf>
    <xf numFmtId="4" fontId="76" fillId="47" borderId="16" xfId="0" applyNumberFormat="1" applyFont="1" applyFill="1" applyBorder="1" applyAlignment="1">
      <alignment horizontal="right" vertical="top"/>
    </xf>
    <xf numFmtId="4" fontId="73" fillId="46" borderId="34" xfId="0" applyNumberFormat="1" applyFont="1" applyFill="1" applyBorder="1" applyAlignment="1">
      <alignment horizontal="right" vertical="top"/>
    </xf>
    <xf numFmtId="4" fontId="4" fillId="46" borderId="34" xfId="0" applyNumberFormat="1" applyFont="1" applyFill="1" applyBorder="1" applyAlignment="1">
      <alignment horizontal="right" vertical="top"/>
    </xf>
    <xf numFmtId="4" fontId="4" fillId="0" borderId="34" xfId="0" applyNumberFormat="1" applyFont="1" applyFill="1" applyBorder="1" applyAlignment="1">
      <alignment horizontal="right" vertical="top"/>
    </xf>
    <xf numFmtId="4" fontId="70" fillId="35" borderId="0" xfId="0" applyNumberFormat="1" applyFont="1" applyFill="1" applyBorder="1" applyAlignment="1">
      <alignment horizontal="right" vertical="top"/>
    </xf>
    <xf numFmtId="4" fontId="4" fillId="0" borderId="65" xfId="0" applyNumberFormat="1" applyFont="1" applyFill="1" applyBorder="1" applyAlignment="1">
      <alignment horizontal="right" vertical="top"/>
    </xf>
    <xf numFmtId="4" fontId="70" fillId="35" borderId="55" xfId="0" applyNumberFormat="1" applyFont="1" applyFill="1" applyBorder="1" applyAlignment="1">
      <alignment horizontal="right" vertical="center"/>
    </xf>
    <xf numFmtId="4" fontId="0" fillId="47" borderId="65" xfId="0" applyNumberFormat="1" applyFont="1" applyFill="1" applyBorder="1" applyAlignment="1">
      <alignment horizontal="right" vertical="top"/>
    </xf>
    <xf numFmtId="4" fontId="4" fillId="0" borderId="34" xfId="0" applyNumberFormat="1" applyFont="1" applyFill="1" applyBorder="1" applyAlignment="1">
      <alignment horizontal="right" vertical="top" wrapText="1"/>
    </xf>
    <xf numFmtId="4" fontId="0" fillId="0" borderId="34" xfId="0" applyNumberFormat="1" applyFont="1" applyFill="1" applyBorder="1" applyAlignment="1">
      <alignment horizontal="right" vertical="top" wrapText="1"/>
    </xf>
    <xf numFmtId="4" fontId="73" fillId="42" borderId="34" xfId="0" applyNumberFormat="1" applyFont="1" applyFill="1" applyBorder="1" applyAlignment="1">
      <alignment horizontal="right" vertical="top"/>
    </xf>
    <xf numFmtId="4" fontId="73" fillId="42" borderId="83" xfId="0" applyNumberFormat="1" applyFont="1" applyFill="1" applyBorder="1" applyAlignment="1">
      <alignment horizontal="right" vertical="top"/>
    </xf>
    <xf numFmtId="4" fontId="4" fillId="46" borderId="34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top"/>
    </xf>
    <xf numFmtId="4" fontId="73" fillId="42" borderId="55" xfId="0" applyNumberFormat="1" applyFont="1" applyFill="1" applyBorder="1" applyAlignment="1">
      <alignment horizontal="right" vertical="top"/>
    </xf>
    <xf numFmtId="4" fontId="4" fillId="46" borderId="55" xfId="0" applyNumberFormat="1" applyFont="1" applyFill="1" applyBorder="1" applyAlignment="1">
      <alignment horizontal="right" vertical="center"/>
    </xf>
    <xf numFmtId="4" fontId="77" fillId="46" borderId="16" xfId="0" applyNumberFormat="1" applyFont="1" applyFill="1" applyBorder="1" applyAlignment="1">
      <alignment horizontal="right" vertical="top"/>
    </xf>
    <xf numFmtId="4" fontId="70" fillId="35" borderId="16" xfId="0" applyNumberFormat="1" applyFont="1" applyFill="1" applyBorder="1" applyAlignment="1">
      <alignment horizontal="right" vertical="top"/>
    </xf>
    <xf numFmtId="4" fontId="77" fillId="47" borderId="16" xfId="0" applyNumberFormat="1" applyFont="1" applyFill="1" applyBorder="1" applyAlignment="1">
      <alignment horizontal="right" vertical="top"/>
    </xf>
    <xf numFmtId="49" fontId="76" fillId="47" borderId="49" xfId="42" applyNumberFormat="1" applyFont="1" applyFill="1" applyBorder="1" applyAlignment="1">
      <alignment horizontal="center"/>
      <protection/>
    </xf>
    <xf numFmtId="49" fontId="76" fillId="47" borderId="23" xfId="42" applyNumberFormat="1" applyFont="1" applyFill="1" applyBorder="1" applyAlignment="1">
      <alignment horizontal="center"/>
      <protection/>
    </xf>
    <xf numFmtId="0" fontId="76" fillId="47" borderId="23" xfId="42" applyFont="1" applyFill="1" applyBorder="1" applyAlignment="1">
      <alignment horizontal="center"/>
      <protection/>
    </xf>
    <xf numFmtId="49" fontId="76" fillId="47" borderId="22" xfId="42" applyNumberFormat="1" applyFont="1" applyFill="1" applyBorder="1" applyAlignment="1">
      <alignment horizontal="center" vertical="top"/>
      <protection/>
    </xf>
    <xf numFmtId="175" fontId="76" fillId="47" borderId="80" xfId="42" applyNumberFormat="1" applyFont="1" applyFill="1" applyBorder="1" applyAlignment="1">
      <alignment horizontal="center" vertical="top"/>
      <protection/>
    </xf>
    <xf numFmtId="4" fontId="76" fillId="47" borderId="50" xfId="0" applyNumberFormat="1" applyFont="1" applyFill="1" applyBorder="1" applyAlignment="1">
      <alignment horizontal="right" vertical="top"/>
    </xf>
    <xf numFmtId="4" fontId="76" fillId="47" borderId="55" xfId="0" applyNumberFormat="1" applyFont="1" applyFill="1" applyBorder="1" applyAlignment="1">
      <alignment horizontal="right" vertical="top"/>
    </xf>
    <xf numFmtId="4" fontId="76" fillId="47" borderId="16" xfId="42" applyNumberFormat="1" applyFont="1" applyFill="1" applyBorder="1" applyAlignment="1">
      <alignment horizontal="right" vertical="center"/>
      <protection/>
    </xf>
    <xf numFmtId="0" fontId="76" fillId="47" borderId="0" xfId="0" applyFont="1" applyFill="1" applyAlignment="1">
      <alignment/>
    </xf>
    <xf numFmtId="49" fontId="0" fillId="0" borderId="77" xfId="42" applyNumberFormat="1" applyFont="1" applyFill="1" applyBorder="1" applyAlignment="1">
      <alignment horizontal="center"/>
      <protection/>
    </xf>
    <xf numFmtId="0" fontId="0" fillId="0" borderId="73" xfId="42" applyFont="1" applyFill="1" applyBorder="1" applyAlignment="1">
      <alignment horizontal="center"/>
      <protection/>
    </xf>
    <xf numFmtId="0" fontId="0" fillId="0" borderId="8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24" xfId="0" applyNumberFormat="1" applyFont="1" applyBorder="1" applyAlignment="1">
      <alignment horizontal="right" vertical="top"/>
    </xf>
    <xf numFmtId="4" fontId="0" fillId="0" borderId="72" xfId="46" applyNumberFormat="1" applyFont="1" applyFill="1" applyBorder="1" applyAlignment="1" applyProtection="1">
      <alignment horizontal="right" vertical="top"/>
      <protection locked="0"/>
    </xf>
    <xf numFmtId="4" fontId="0" fillId="0" borderId="40" xfId="46" applyNumberFormat="1" applyFont="1" applyFill="1" applyBorder="1" applyAlignment="1" applyProtection="1">
      <alignment horizontal="right" vertical="top"/>
      <protection locked="0"/>
    </xf>
    <xf numFmtId="4" fontId="0" fillId="0" borderId="24" xfId="42" applyNumberFormat="1" applyFont="1" applyFill="1" applyBorder="1" applyAlignment="1" applyProtection="1">
      <alignment horizontal="right" vertical="center"/>
      <protection locked="0"/>
    </xf>
    <xf numFmtId="49" fontId="4" fillId="42" borderId="109" xfId="42" applyNumberFormat="1" applyFont="1" applyFill="1" applyBorder="1" applyAlignment="1">
      <alignment horizontal="center" vertical="top"/>
      <protection/>
    </xf>
    <xf numFmtId="49" fontId="4" fillId="42" borderId="110" xfId="42" applyNumberFormat="1" applyFont="1" applyFill="1" applyBorder="1" applyAlignment="1">
      <alignment horizontal="center"/>
      <protection/>
    </xf>
    <xf numFmtId="0" fontId="0" fillId="42" borderId="110" xfId="42" applyFont="1" applyFill="1" applyBorder="1" applyAlignment="1">
      <alignment horizontal="center"/>
      <protection/>
    </xf>
    <xf numFmtId="49" fontId="72" fillId="46" borderId="110" xfId="42" applyNumberFormat="1" applyFont="1" applyFill="1" applyBorder="1" applyAlignment="1">
      <alignment horizontal="center"/>
      <protection/>
    </xf>
    <xf numFmtId="0" fontId="0" fillId="42" borderId="111" xfId="42" applyFont="1" applyFill="1" applyBorder="1" applyAlignment="1">
      <alignment horizontal="center"/>
      <protection/>
    </xf>
    <xf numFmtId="4" fontId="73" fillId="42" borderId="112" xfId="0" applyNumberFormat="1" applyFont="1" applyFill="1" applyBorder="1" applyAlignment="1">
      <alignment horizontal="right" vertical="top"/>
    </xf>
    <xf numFmtId="4" fontId="73" fillId="42" borderId="44" xfId="0" applyNumberFormat="1" applyFont="1" applyFill="1" applyBorder="1" applyAlignment="1">
      <alignment horizontal="right" vertical="top"/>
    </xf>
    <xf numFmtId="4" fontId="4" fillId="42" borderId="113" xfId="42" applyNumberFormat="1" applyFont="1" applyFill="1" applyBorder="1" applyAlignment="1">
      <alignment horizontal="right" vertical="top"/>
      <protection/>
    </xf>
    <xf numFmtId="4" fontId="4" fillId="42" borderId="114" xfId="42" applyNumberFormat="1" applyFont="1" applyFill="1" applyBorder="1" applyAlignment="1">
      <alignment horizontal="right" vertical="top"/>
      <protection/>
    </xf>
    <xf numFmtId="4" fontId="4" fillId="46" borderId="115" xfId="42" applyNumberFormat="1" applyFont="1" applyFill="1" applyBorder="1" applyAlignment="1">
      <alignment horizontal="right" vertical="top"/>
      <protection/>
    </xf>
    <xf numFmtId="4" fontId="4" fillId="46" borderId="116" xfId="42" applyNumberFormat="1" applyFont="1" applyFill="1" applyBorder="1" applyAlignment="1">
      <alignment horizontal="right" vertical="top"/>
      <protection/>
    </xf>
    <xf numFmtId="4" fontId="4" fillId="42" borderId="115" xfId="42" applyNumberFormat="1" applyFont="1" applyFill="1" applyBorder="1" applyAlignment="1">
      <alignment horizontal="right" vertical="center"/>
      <protection/>
    </xf>
    <xf numFmtId="49" fontId="4" fillId="42" borderId="117" xfId="42" applyNumberFormat="1" applyFont="1" applyFill="1" applyBorder="1" applyAlignment="1">
      <alignment horizontal="center" vertical="top"/>
      <protection/>
    </xf>
    <xf numFmtId="49" fontId="0" fillId="34" borderId="118" xfId="42" applyNumberFormat="1" applyFont="1" applyFill="1" applyBorder="1" applyAlignment="1">
      <alignment horizontal="center"/>
      <protection/>
    </xf>
    <xf numFmtId="49" fontId="0" fillId="0" borderId="118" xfId="42" applyNumberFormat="1" applyFont="1" applyFill="1" applyBorder="1" applyAlignment="1">
      <alignment horizontal="center"/>
      <protection/>
    </xf>
    <xf numFmtId="49" fontId="0" fillId="47" borderId="118" xfId="42" applyNumberFormat="1" applyFont="1" applyFill="1" applyBorder="1" applyAlignment="1">
      <alignment horizontal="center"/>
      <protection/>
    </xf>
    <xf numFmtId="49" fontId="0" fillId="0" borderId="117" xfId="42" applyNumberFormat="1" applyFont="1" applyFill="1" applyBorder="1" applyAlignment="1">
      <alignment horizontal="center"/>
      <protection/>
    </xf>
    <xf numFmtId="49" fontId="0" fillId="0" borderId="119" xfId="42" applyNumberFormat="1" applyFont="1" applyFill="1" applyBorder="1" applyAlignment="1">
      <alignment horizontal="center"/>
      <protection/>
    </xf>
    <xf numFmtId="49" fontId="0" fillId="0" borderId="120" xfId="42" applyNumberFormat="1" applyFont="1" applyFill="1" applyBorder="1" applyAlignment="1">
      <alignment horizontal="center"/>
      <protection/>
    </xf>
    <xf numFmtId="0" fontId="0" fillId="0" borderId="120" xfId="42" applyFont="1" applyFill="1" applyBorder="1" applyAlignment="1">
      <alignment horizontal="center"/>
      <protection/>
    </xf>
    <xf numFmtId="175" fontId="0" fillId="47" borderId="121" xfId="42" applyNumberFormat="1" applyFont="1" applyFill="1" applyBorder="1" applyAlignment="1">
      <alignment horizontal="center" vertical="top"/>
      <protection/>
    </xf>
    <xf numFmtId="4" fontId="0" fillId="0" borderId="35" xfId="0" applyNumberFormat="1" applyFont="1" applyBorder="1" applyAlignment="1">
      <alignment horizontal="right" vertical="top"/>
    </xf>
    <xf numFmtId="4" fontId="0" fillId="0" borderId="122" xfId="42" applyNumberFormat="1" applyFont="1" applyFill="1" applyBorder="1" applyAlignment="1">
      <alignment horizontal="right" vertical="top"/>
      <protection/>
    </xf>
    <xf numFmtId="4" fontId="0" fillId="0" borderId="106" xfId="46" applyNumberFormat="1" applyFont="1" applyFill="1" applyBorder="1" applyAlignment="1" applyProtection="1">
      <alignment horizontal="right" vertical="top"/>
      <protection locked="0"/>
    </xf>
    <xf numFmtId="4" fontId="0" fillId="0" borderId="35" xfId="46" applyNumberFormat="1" applyFont="1" applyFill="1" applyBorder="1" applyAlignment="1" applyProtection="1">
      <alignment horizontal="right" vertical="top"/>
      <protection locked="0"/>
    </xf>
    <xf numFmtId="4" fontId="0" fillId="0" borderId="121" xfId="46" applyNumberFormat="1" applyFont="1" applyFill="1" applyBorder="1" applyAlignment="1" applyProtection="1">
      <alignment horizontal="right" vertical="top"/>
      <protection locked="0"/>
    </xf>
    <xf numFmtId="4" fontId="0" fillId="0" borderId="35" xfId="42" applyNumberFormat="1" applyFont="1" applyFill="1" applyBorder="1" applyAlignment="1" applyProtection="1">
      <alignment horizontal="right" vertical="center"/>
      <protection locked="0"/>
    </xf>
    <xf numFmtId="4" fontId="4" fillId="47" borderId="16" xfId="42" applyNumberFormat="1" applyFont="1" applyFill="1" applyBorder="1" applyAlignment="1">
      <alignment horizontal="right" vertical="center"/>
      <protection/>
    </xf>
    <xf numFmtId="4" fontId="0" fillId="50" borderId="16" xfId="42" applyNumberFormat="1" applyFont="1" applyFill="1" applyBorder="1" applyAlignment="1">
      <alignment horizontal="right" vertical="center"/>
      <protection/>
    </xf>
    <xf numFmtId="4" fontId="4" fillId="55" borderId="16" xfId="42" applyNumberFormat="1" applyFont="1" applyFill="1" applyBorder="1" applyAlignment="1">
      <alignment horizontal="right" vertical="center"/>
      <protection/>
    </xf>
    <xf numFmtId="4" fontId="4" fillId="50" borderId="16" xfId="42" applyNumberFormat="1" applyFont="1" applyFill="1" applyBorder="1" applyAlignment="1">
      <alignment horizontal="right" vertical="center"/>
      <protection/>
    </xf>
    <xf numFmtId="4" fontId="4" fillId="0" borderId="29" xfId="42" applyNumberFormat="1" applyFont="1" applyBorder="1" applyAlignment="1">
      <alignment horizontal="right" vertical="center"/>
      <protection/>
    </xf>
    <xf numFmtId="4" fontId="4" fillId="47" borderId="10" xfId="42" applyNumberFormat="1" applyFont="1" applyFill="1" applyBorder="1" applyAlignment="1">
      <alignment horizontal="right" vertical="center"/>
      <protection/>
    </xf>
    <xf numFmtId="0" fontId="0" fillId="0" borderId="61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49" fontId="0" fillId="0" borderId="43" xfId="42" applyNumberFormat="1" applyFont="1" applyFill="1" applyBorder="1" applyAlignment="1">
      <alignment horizontal="center"/>
      <protection/>
    </xf>
    <xf numFmtId="0" fontId="0" fillId="0" borderId="76" xfId="0" applyFont="1" applyBorder="1" applyAlignment="1">
      <alignment horizontal="left" vertical="top"/>
    </xf>
    <xf numFmtId="0" fontId="0" fillId="34" borderId="24" xfId="42" applyFont="1" applyFill="1" applyBorder="1" applyAlignment="1">
      <alignment horizontal="center"/>
      <protection/>
    </xf>
    <xf numFmtId="0" fontId="76" fillId="47" borderId="27" xfId="0" applyFont="1" applyFill="1" applyBorder="1" applyAlignment="1">
      <alignment horizontal="left" vertical="top"/>
    </xf>
    <xf numFmtId="0" fontId="76" fillId="47" borderId="31" xfId="0" applyFont="1" applyFill="1" applyBorder="1" applyAlignment="1">
      <alignment horizontal="left" vertical="top"/>
    </xf>
    <xf numFmtId="0" fontId="76" fillId="47" borderId="26" xfId="0" applyFont="1" applyFill="1" applyBorder="1" applyAlignment="1">
      <alignment horizontal="left" vertical="top"/>
    </xf>
    <xf numFmtId="4" fontId="73" fillId="46" borderId="23" xfId="42" applyNumberFormat="1" applyFont="1" applyFill="1" applyBorder="1" applyAlignment="1">
      <alignment horizontal="right" vertical="top"/>
      <protection/>
    </xf>
    <xf numFmtId="4" fontId="73" fillId="46" borderId="55" xfId="42" applyNumberFormat="1" applyFont="1" applyFill="1" applyBorder="1" applyAlignment="1">
      <alignment horizontal="right" vertical="top"/>
      <protection/>
    </xf>
    <xf numFmtId="4" fontId="73" fillId="46" borderId="0" xfId="42" applyNumberFormat="1" applyFont="1" applyFill="1" applyBorder="1" applyAlignment="1">
      <alignment horizontal="right" vertical="top"/>
      <protection/>
    </xf>
    <xf numFmtId="4" fontId="73" fillId="46" borderId="116" xfId="42" applyNumberFormat="1" applyFont="1" applyFill="1" applyBorder="1" applyAlignment="1">
      <alignment horizontal="right" vertical="top"/>
      <protection/>
    </xf>
    <xf numFmtId="4" fontId="73" fillId="46" borderId="55" xfId="42" applyNumberFormat="1" applyFont="1" applyFill="1" applyBorder="1" applyAlignment="1">
      <alignment horizontal="right" vertical="center"/>
      <protection/>
    </xf>
    <xf numFmtId="4" fontId="77" fillId="46" borderId="23" xfId="42" applyNumberFormat="1" applyFont="1" applyFill="1" applyBorder="1" applyAlignment="1">
      <alignment horizontal="right" vertical="top"/>
      <protection/>
    </xf>
    <xf numFmtId="4" fontId="77" fillId="46" borderId="55" xfId="42" applyNumberFormat="1" applyFont="1" applyFill="1" applyBorder="1" applyAlignment="1">
      <alignment horizontal="right" vertical="center"/>
      <protection/>
    </xf>
    <xf numFmtId="4" fontId="77" fillId="46" borderId="16" xfId="42" applyNumberFormat="1" applyFont="1" applyFill="1" applyBorder="1" applyAlignment="1">
      <alignment horizontal="right" vertical="center"/>
      <protection/>
    </xf>
    <xf numFmtId="4" fontId="77" fillId="46" borderId="34" xfId="42" applyNumberFormat="1" applyFont="1" applyFill="1" applyBorder="1" applyAlignment="1">
      <alignment horizontal="right" vertical="center"/>
      <protection/>
    </xf>
    <xf numFmtId="4" fontId="77" fillId="46" borderId="55" xfId="42" applyNumberFormat="1" applyFont="1" applyFill="1" applyBorder="1" applyAlignment="1">
      <alignment horizontal="right" vertical="top"/>
      <protection/>
    </xf>
    <xf numFmtId="4" fontId="77" fillId="46" borderId="34" xfId="42" applyNumberFormat="1" applyFont="1" applyFill="1" applyBorder="1" applyAlignment="1">
      <alignment horizontal="right" vertical="top"/>
      <protection/>
    </xf>
    <xf numFmtId="4" fontId="77" fillId="46" borderId="40" xfId="42" applyNumberFormat="1" applyFont="1" applyFill="1" applyBorder="1" applyAlignment="1">
      <alignment horizontal="right" vertical="top"/>
      <protection/>
    </xf>
    <xf numFmtId="4" fontId="77" fillId="46" borderId="50" xfId="0" applyNumberFormat="1" applyFont="1" applyFill="1" applyBorder="1" applyAlignment="1">
      <alignment horizontal="right" vertical="top"/>
    </xf>
    <xf numFmtId="4" fontId="77" fillId="47" borderId="23" xfId="42" applyNumberFormat="1" applyFont="1" applyFill="1" applyBorder="1" applyAlignment="1">
      <alignment horizontal="right" vertical="top"/>
      <protection/>
    </xf>
    <xf numFmtId="4" fontId="77" fillId="47" borderId="16" xfId="42" applyNumberFormat="1" applyFont="1" applyFill="1" applyBorder="1" applyAlignment="1">
      <alignment horizontal="right" vertical="center"/>
      <protection/>
    </xf>
    <xf numFmtId="4" fontId="77" fillId="47" borderId="31" xfId="42" applyNumberFormat="1" applyFont="1" applyFill="1" applyBorder="1" applyAlignment="1">
      <alignment horizontal="right" vertical="top"/>
      <protection/>
    </xf>
    <xf numFmtId="4" fontId="76" fillId="47" borderId="31" xfId="46" applyNumberFormat="1" applyFont="1" applyFill="1" applyBorder="1" applyAlignment="1" applyProtection="1">
      <alignment horizontal="right" vertical="top"/>
      <protection locked="0"/>
    </xf>
    <xf numFmtId="4" fontId="76" fillId="47" borderId="16" xfId="0" applyNumberFormat="1" applyFont="1" applyFill="1" applyBorder="1" applyAlignment="1">
      <alignment horizontal="right"/>
    </xf>
    <xf numFmtId="4" fontId="76" fillId="47" borderId="72" xfId="0" applyNumberFormat="1" applyFont="1" applyFill="1" applyBorder="1" applyAlignment="1">
      <alignment horizontal="right" vertical="top"/>
    </xf>
    <xf numFmtId="4" fontId="76" fillId="47" borderId="23" xfId="42" applyNumberFormat="1" applyFont="1" applyFill="1" applyBorder="1" applyAlignment="1">
      <alignment horizontal="right" vertical="top"/>
      <protection/>
    </xf>
    <xf numFmtId="4" fontId="76" fillId="47" borderId="31" xfId="42" applyNumberFormat="1" applyFont="1" applyFill="1" applyBorder="1" applyAlignment="1">
      <alignment horizontal="right" vertical="top"/>
      <protection/>
    </xf>
    <xf numFmtId="4" fontId="0" fillId="46" borderId="34" xfId="0" applyNumberFormat="1" applyFont="1" applyFill="1" applyBorder="1" applyAlignment="1">
      <alignment horizontal="right"/>
    </xf>
    <xf numFmtId="4" fontId="4" fillId="0" borderId="121" xfId="0" applyNumberFormat="1" applyFont="1" applyBorder="1" applyAlignment="1">
      <alignment horizontal="right"/>
    </xf>
    <xf numFmtId="4" fontId="70" fillId="35" borderId="50" xfId="42" applyNumberFormat="1" applyFont="1" applyFill="1" applyBorder="1" applyAlignment="1">
      <alignment horizontal="right" vertical="top"/>
      <protection/>
    </xf>
    <xf numFmtId="4" fontId="73" fillId="46" borderId="50" xfId="42" applyNumberFormat="1" applyFont="1" applyFill="1" applyBorder="1" applyAlignment="1">
      <alignment horizontal="right" vertical="top"/>
      <protection/>
    </xf>
    <xf numFmtId="4" fontId="77" fillId="46" borderId="50" xfId="42" applyNumberFormat="1" applyFont="1" applyFill="1" applyBorder="1" applyAlignment="1">
      <alignment horizontal="right" vertical="top"/>
      <protection/>
    </xf>
    <xf numFmtId="4" fontId="76" fillId="47" borderId="50" xfId="42" applyNumberFormat="1" applyFont="1" applyFill="1" applyBorder="1" applyAlignment="1">
      <alignment horizontal="right" vertical="top"/>
      <protection/>
    </xf>
    <xf numFmtId="4" fontId="77" fillId="47" borderId="50" xfId="42" applyNumberFormat="1" applyFont="1" applyFill="1" applyBorder="1" applyAlignment="1">
      <alignment horizontal="right" vertical="top"/>
      <protection/>
    </xf>
    <xf numFmtId="0" fontId="4" fillId="0" borderId="12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" fontId="77" fillId="47" borderId="31" xfId="42" applyNumberFormat="1" applyFont="1" applyFill="1" applyBorder="1" applyAlignment="1">
      <alignment horizontal="right" vertical="center"/>
      <protection/>
    </xf>
    <xf numFmtId="4" fontId="76" fillId="47" borderId="27" xfId="46" applyNumberFormat="1" applyFont="1" applyFill="1" applyBorder="1" applyAlignment="1" applyProtection="1">
      <alignment horizontal="right" vertical="top"/>
      <protection locked="0"/>
    </xf>
    <xf numFmtId="4" fontId="77" fillId="47" borderId="31" xfId="0" applyNumberFormat="1" applyFont="1" applyFill="1" applyBorder="1" applyAlignment="1">
      <alignment horizontal="right" vertical="top"/>
    </xf>
    <xf numFmtId="4" fontId="76" fillId="47" borderId="57" xfId="46" applyNumberFormat="1" applyFont="1" applyFill="1" applyBorder="1" applyAlignment="1" applyProtection="1">
      <alignment horizontal="right" vertical="top"/>
      <protection locked="0"/>
    </xf>
    <xf numFmtId="4" fontId="70" fillId="53" borderId="16" xfId="0" applyNumberFormat="1" applyFont="1" applyFill="1" applyBorder="1" applyAlignment="1">
      <alignment horizontal="right" vertical="top"/>
    </xf>
    <xf numFmtId="4" fontId="70" fillId="53" borderId="50" xfId="42" applyNumberFormat="1" applyFont="1" applyFill="1" applyBorder="1" applyAlignment="1">
      <alignment horizontal="right" vertical="top"/>
      <protection/>
    </xf>
    <xf numFmtId="4" fontId="70" fillId="53" borderId="23" xfId="42" applyNumberFormat="1" applyFont="1" applyFill="1" applyBorder="1" applyAlignment="1">
      <alignment horizontal="right" vertical="top"/>
      <protection/>
    </xf>
    <xf numFmtId="4" fontId="70" fillId="53" borderId="57" xfId="42" applyNumberFormat="1" applyFont="1" applyFill="1" applyBorder="1" applyAlignment="1">
      <alignment horizontal="right" vertical="top"/>
      <protection/>
    </xf>
    <xf numFmtId="4" fontId="76" fillId="0" borderId="27" xfId="46" applyNumberFormat="1" applyFont="1" applyFill="1" applyBorder="1" applyAlignment="1" applyProtection="1">
      <alignment horizontal="right" vertical="top"/>
      <protection locked="0"/>
    </xf>
    <xf numFmtId="4" fontId="77" fillId="47" borderId="27" xfId="42" applyNumberFormat="1" applyFont="1" applyFill="1" applyBorder="1" applyAlignment="1">
      <alignment horizontal="right" vertical="top"/>
      <protection/>
    </xf>
    <xf numFmtId="4" fontId="76" fillId="47" borderId="55" xfId="46" applyNumberFormat="1" applyFont="1" applyFill="1" applyBorder="1" applyAlignment="1" applyProtection="1">
      <alignment horizontal="right" vertical="top"/>
      <protection locked="0"/>
    </xf>
    <xf numFmtId="4" fontId="77" fillId="47" borderId="31" xfId="0" applyNumberFormat="1" applyFont="1" applyFill="1" applyBorder="1" applyAlignment="1">
      <alignment horizontal="right" vertical="center"/>
    </xf>
    <xf numFmtId="4" fontId="77" fillId="0" borderId="16" xfId="0" applyNumberFormat="1" applyFont="1" applyFill="1" applyBorder="1" applyAlignment="1">
      <alignment horizontal="right" vertical="top"/>
    </xf>
    <xf numFmtId="4" fontId="77" fillId="0" borderId="50" xfId="42" applyNumberFormat="1" applyFont="1" applyFill="1" applyBorder="1" applyAlignment="1">
      <alignment horizontal="right" vertical="top"/>
      <protection/>
    </xf>
    <xf numFmtId="4" fontId="77" fillId="0" borderId="23" xfId="42" applyNumberFormat="1" applyFont="1" applyFill="1" applyBorder="1" applyAlignment="1">
      <alignment horizontal="right" vertical="top"/>
      <protection/>
    </xf>
    <xf numFmtId="4" fontId="77" fillId="0" borderId="26" xfId="0" applyNumberFormat="1" applyFont="1" applyFill="1" applyBorder="1" applyAlignment="1">
      <alignment horizontal="right" vertical="center"/>
    </xf>
    <xf numFmtId="4" fontId="77" fillId="0" borderId="16" xfId="42" applyNumberFormat="1" applyFont="1" applyFill="1" applyBorder="1" applyAlignment="1">
      <alignment horizontal="right" vertical="center"/>
      <protection/>
    </xf>
    <xf numFmtId="4" fontId="76" fillId="0" borderId="16" xfId="0" applyNumberFormat="1" applyFont="1" applyFill="1" applyBorder="1" applyAlignment="1">
      <alignment horizontal="right" vertical="top"/>
    </xf>
    <xf numFmtId="4" fontId="76" fillId="0" borderId="50" xfId="42" applyNumberFormat="1" applyFont="1" applyFill="1" applyBorder="1" applyAlignment="1">
      <alignment horizontal="right" vertical="top"/>
      <protection/>
    </xf>
    <xf numFmtId="4" fontId="76" fillId="0" borderId="23" xfId="42" applyNumberFormat="1" applyFont="1" applyFill="1" applyBorder="1" applyAlignment="1">
      <alignment horizontal="right" vertical="top"/>
      <protection/>
    </xf>
    <xf numFmtId="4" fontId="76" fillId="0" borderId="16" xfId="42" applyNumberFormat="1" applyFont="1" applyFill="1" applyBorder="1" applyAlignment="1">
      <alignment horizontal="right" vertical="center"/>
      <protection/>
    </xf>
    <xf numFmtId="4" fontId="76" fillId="47" borderId="27" xfId="46" applyNumberFormat="1" applyFont="1" applyFill="1" applyBorder="1" applyAlignment="1">
      <alignment horizontal="right" vertical="top"/>
      <protection/>
    </xf>
    <xf numFmtId="4" fontId="76" fillId="47" borderId="27" xfId="42" applyNumberFormat="1" applyFont="1" applyFill="1" applyBorder="1" applyAlignment="1">
      <alignment horizontal="right" vertical="top"/>
      <protection/>
    </xf>
    <xf numFmtId="4" fontId="76" fillId="47" borderId="31" xfId="0" applyNumberFormat="1" applyFont="1" applyFill="1" applyBorder="1" applyAlignment="1">
      <alignment horizontal="right" vertical="top"/>
    </xf>
    <xf numFmtId="4" fontId="76" fillId="46" borderId="27" xfId="46" applyNumberFormat="1" applyFont="1" applyFill="1" applyBorder="1" applyAlignment="1" applyProtection="1">
      <alignment horizontal="right" vertical="top"/>
      <protection locked="0"/>
    </xf>
    <xf numFmtId="49" fontId="76" fillId="47" borderId="118" xfId="42" applyNumberFormat="1" applyFont="1" applyFill="1" applyBorder="1" applyAlignment="1">
      <alignment horizontal="center"/>
      <protection/>
    </xf>
    <xf numFmtId="49" fontId="76" fillId="47" borderId="22" xfId="42" applyNumberFormat="1" applyFont="1" applyFill="1" applyBorder="1" applyAlignment="1">
      <alignment horizontal="center"/>
      <protection/>
    </xf>
    <xf numFmtId="174" fontId="77" fillId="47" borderId="22" xfId="42" applyNumberFormat="1" applyFont="1" applyFill="1" applyBorder="1" applyAlignment="1">
      <alignment horizontal="center" vertical="top"/>
      <protection/>
    </xf>
    <xf numFmtId="49" fontId="77" fillId="47" borderId="22" xfId="42" applyNumberFormat="1" applyFont="1" applyFill="1" applyBorder="1" applyAlignment="1">
      <alignment horizontal="center" vertical="top"/>
      <protection/>
    </xf>
    <xf numFmtId="0" fontId="76" fillId="47" borderId="22" xfId="42" applyFont="1" applyFill="1" applyBorder="1" applyAlignment="1">
      <alignment horizontal="center"/>
      <protection/>
    </xf>
    <xf numFmtId="0" fontId="76" fillId="47" borderId="27" xfId="42" applyFont="1" applyFill="1" applyBorder="1" applyAlignment="1">
      <alignment horizontal="center"/>
      <protection/>
    </xf>
    <xf numFmtId="4" fontId="77" fillId="47" borderId="26" xfId="0" applyNumberFormat="1" applyFont="1" applyFill="1" applyBorder="1" applyAlignment="1">
      <alignment horizontal="right" vertical="top"/>
    </xf>
    <xf numFmtId="0" fontId="77" fillId="47" borderId="27" xfId="0" applyFont="1" applyFill="1" applyBorder="1" applyAlignment="1">
      <alignment vertical="top"/>
    </xf>
    <xf numFmtId="0" fontId="77" fillId="47" borderId="31" xfId="0" applyFont="1" applyFill="1" applyBorder="1" applyAlignment="1">
      <alignment vertical="top"/>
    </xf>
    <xf numFmtId="0" fontId="77" fillId="47" borderId="26" xfId="0" applyFont="1" applyFill="1" applyBorder="1" applyAlignment="1">
      <alignment vertical="top"/>
    </xf>
    <xf numFmtId="175" fontId="76" fillId="47" borderId="22" xfId="42" applyNumberFormat="1" applyFont="1" applyFill="1" applyBorder="1" applyAlignment="1">
      <alignment horizontal="center" vertical="top"/>
      <protection/>
    </xf>
    <xf numFmtId="175" fontId="76" fillId="47" borderId="27" xfId="42" applyNumberFormat="1" applyFont="1" applyFill="1" applyBorder="1" applyAlignment="1">
      <alignment horizontal="center" vertical="top"/>
      <protection/>
    </xf>
    <xf numFmtId="0" fontId="76" fillId="47" borderId="27" xfId="0" applyFont="1" applyFill="1" applyBorder="1" applyAlignment="1">
      <alignment vertical="top"/>
    </xf>
    <xf numFmtId="0" fontId="76" fillId="47" borderId="31" xfId="0" applyFont="1" applyFill="1" applyBorder="1" applyAlignment="1">
      <alignment vertical="top"/>
    </xf>
    <xf numFmtId="0" fontId="76" fillId="47" borderId="26" xfId="0" applyFont="1" applyFill="1" applyBorder="1" applyAlignment="1">
      <alignment/>
    </xf>
    <xf numFmtId="4" fontId="76" fillId="47" borderId="26" xfId="0" applyNumberFormat="1" applyFont="1" applyFill="1" applyBorder="1" applyAlignment="1">
      <alignment horizontal="right"/>
    </xf>
    <xf numFmtId="4" fontId="76" fillId="47" borderId="31" xfId="0" applyNumberFormat="1" applyFont="1" applyFill="1" applyBorder="1" applyAlignment="1">
      <alignment horizontal="right"/>
    </xf>
    <xf numFmtId="4" fontId="76" fillId="47" borderId="16" xfId="42" applyNumberFormat="1" applyFont="1" applyFill="1" applyBorder="1" applyAlignment="1" applyProtection="1">
      <alignment horizontal="right" vertical="center"/>
      <protection locked="0"/>
    </xf>
    <xf numFmtId="4" fontId="76" fillId="47" borderId="26" xfId="0" applyNumberFormat="1" applyFont="1" applyFill="1" applyBorder="1" applyAlignment="1">
      <alignment horizontal="right" vertical="top"/>
    </xf>
    <xf numFmtId="0" fontId="76" fillId="47" borderId="26" xfId="0" applyFont="1" applyFill="1" applyBorder="1" applyAlignment="1">
      <alignment vertical="top"/>
    </xf>
    <xf numFmtId="4" fontId="76" fillId="47" borderId="76" xfId="0" applyNumberFormat="1" applyFont="1" applyFill="1" applyBorder="1" applyAlignment="1">
      <alignment horizontal="right" vertical="top"/>
    </xf>
    <xf numFmtId="4" fontId="76" fillId="47" borderId="65" xfId="0" applyNumberFormat="1" applyFont="1" applyFill="1" applyBorder="1" applyAlignment="1">
      <alignment horizontal="right" vertical="top"/>
    </xf>
    <xf numFmtId="0" fontId="76" fillId="47" borderId="31" xfId="0" applyFont="1" applyFill="1" applyBorder="1" applyAlignment="1">
      <alignment/>
    </xf>
    <xf numFmtId="4" fontId="76" fillId="47" borderId="34" xfId="0" applyNumberFormat="1" applyFont="1" applyFill="1" applyBorder="1" applyAlignment="1">
      <alignment horizontal="right"/>
    </xf>
    <xf numFmtId="175" fontId="76" fillId="47" borderId="61" xfId="42" applyNumberFormat="1" applyFont="1" applyFill="1" applyBorder="1" applyAlignment="1">
      <alignment horizontal="center" vertical="top"/>
      <protection/>
    </xf>
    <xf numFmtId="4" fontId="76" fillId="47" borderId="34" xfId="0" applyNumberFormat="1" applyFont="1" applyFill="1" applyBorder="1" applyAlignment="1">
      <alignment horizontal="right" vertical="top"/>
    </xf>
    <xf numFmtId="4" fontId="76" fillId="47" borderId="61" xfId="46" applyNumberFormat="1" applyFont="1" applyFill="1" applyBorder="1" applyAlignment="1" applyProtection="1">
      <alignment horizontal="right" vertical="top"/>
      <protection locked="0"/>
    </xf>
    <xf numFmtId="49" fontId="77" fillId="47" borderId="22" xfId="42" applyNumberFormat="1" applyFont="1" applyFill="1" applyBorder="1" applyAlignment="1">
      <alignment horizontal="center"/>
      <protection/>
    </xf>
    <xf numFmtId="0" fontId="77" fillId="47" borderId="22" xfId="42" applyFont="1" applyFill="1" applyBorder="1" applyAlignment="1">
      <alignment horizontal="center"/>
      <protection/>
    </xf>
    <xf numFmtId="0" fontId="77" fillId="47" borderId="26" xfId="0" applyFont="1" applyFill="1" applyBorder="1" applyAlignment="1">
      <alignment/>
    </xf>
    <xf numFmtId="4" fontId="77" fillId="47" borderId="26" xfId="0" applyNumberFormat="1" applyFont="1" applyFill="1" applyBorder="1" applyAlignment="1">
      <alignment horizontal="right"/>
    </xf>
    <xf numFmtId="4" fontId="77" fillId="47" borderId="31" xfId="0" applyNumberFormat="1" applyFont="1" applyFill="1" applyBorder="1" applyAlignment="1">
      <alignment horizontal="right"/>
    </xf>
    <xf numFmtId="0" fontId="77" fillId="47" borderId="0" xfId="0" applyFont="1" applyFill="1" applyAlignment="1">
      <alignment/>
    </xf>
    <xf numFmtId="4" fontId="77" fillId="47" borderId="76" xfId="0" applyNumberFormat="1" applyFont="1" applyFill="1" applyBorder="1" applyAlignment="1">
      <alignment horizontal="right" vertical="top"/>
    </xf>
    <xf numFmtId="4" fontId="77" fillId="47" borderId="65" xfId="0" applyNumberFormat="1" applyFont="1" applyFill="1" applyBorder="1" applyAlignment="1">
      <alignment horizontal="right" vertical="top"/>
    </xf>
    <xf numFmtId="4" fontId="77" fillId="47" borderId="34" xfId="0" applyNumberFormat="1" applyFont="1" applyFill="1" applyBorder="1" applyAlignment="1">
      <alignment horizontal="right"/>
    </xf>
    <xf numFmtId="4" fontId="77" fillId="47" borderId="34" xfId="0" applyNumberFormat="1" applyFont="1" applyFill="1" applyBorder="1" applyAlignment="1">
      <alignment horizontal="right" vertical="top"/>
    </xf>
    <xf numFmtId="49" fontId="77" fillId="47" borderId="23" xfId="42" applyNumberFormat="1" applyFont="1" applyFill="1" applyBorder="1" applyAlignment="1">
      <alignment horizontal="center"/>
      <protection/>
    </xf>
    <xf numFmtId="0" fontId="77" fillId="47" borderId="23" xfId="42" applyFont="1" applyFill="1" applyBorder="1" applyAlignment="1">
      <alignment horizontal="center"/>
      <protection/>
    </xf>
    <xf numFmtId="175" fontId="76" fillId="47" borderId="57" xfId="42" applyNumberFormat="1" applyFont="1" applyFill="1" applyBorder="1" applyAlignment="1">
      <alignment horizontal="center" vertical="top"/>
      <protection/>
    </xf>
    <xf numFmtId="4" fontId="77" fillId="47" borderId="50" xfId="0" applyNumberFormat="1" applyFont="1" applyFill="1" applyBorder="1" applyAlignment="1">
      <alignment horizontal="right" vertical="top"/>
    </xf>
    <xf numFmtId="4" fontId="77" fillId="47" borderId="55" xfId="0" applyNumberFormat="1" applyFont="1" applyFill="1" applyBorder="1" applyAlignment="1">
      <alignment horizontal="right" vertical="top"/>
    </xf>
    <xf numFmtId="49" fontId="76" fillId="47" borderId="21" xfId="42" applyNumberFormat="1" applyFont="1" applyFill="1" applyBorder="1" applyAlignment="1">
      <alignment horizontal="center"/>
      <protection/>
    </xf>
    <xf numFmtId="49" fontId="77" fillId="47" borderId="21" xfId="42" applyNumberFormat="1" applyFont="1" applyFill="1" applyBorder="1" applyAlignment="1">
      <alignment horizontal="center"/>
      <protection/>
    </xf>
    <xf numFmtId="0" fontId="77" fillId="47" borderId="27" xfId="42" applyFont="1" applyFill="1" applyBorder="1" applyAlignment="1">
      <alignment horizontal="center"/>
      <protection/>
    </xf>
    <xf numFmtId="174" fontId="76" fillId="47" borderId="22" xfId="42" applyNumberFormat="1" applyFont="1" applyFill="1" applyBorder="1" applyAlignment="1">
      <alignment horizontal="center" vertical="top"/>
      <protection/>
    </xf>
    <xf numFmtId="0" fontId="76" fillId="47" borderId="61" xfId="0" applyFont="1" applyFill="1" applyBorder="1" applyAlignment="1">
      <alignment vertical="top"/>
    </xf>
    <xf numFmtId="0" fontId="76" fillId="47" borderId="65" xfId="0" applyFont="1" applyFill="1" applyBorder="1" applyAlignment="1">
      <alignment vertical="top"/>
    </xf>
    <xf numFmtId="0" fontId="76" fillId="47" borderId="76" xfId="0" applyFont="1" applyFill="1" applyBorder="1" applyAlignment="1">
      <alignment vertical="top"/>
    </xf>
    <xf numFmtId="0" fontId="77" fillId="47" borderId="61" xfId="0" applyFont="1" applyFill="1" applyBorder="1" applyAlignment="1">
      <alignment vertical="top"/>
    </xf>
    <xf numFmtId="0" fontId="77" fillId="47" borderId="65" xfId="0" applyFont="1" applyFill="1" applyBorder="1" applyAlignment="1">
      <alignment vertical="top"/>
    </xf>
    <xf numFmtId="0" fontId="76" fillId="47" borderId="67" xfId="42" applyFont="1" applyFill="1" applyBorder="1" applyAlignment="1">
      <alignment horizontal="center"/>
      <protection/>
    </xf>
    <xf numFmtId="49" fontId="76" fillId="47" borderId="67" xfId="42" applyNumberFormat="1" applyFont="1" applyFill="1" applyBorder="1" applyAlignment="1">
      <alignment horizontal="center"/>
      <protection/>
    </xf>
    <xf numFmtId="49" fontId="76" fillId="47" borderId="57" xfId="42" applyNumberFormat="1" applyFont="1" applyFill="1" applyBorder="1" applyAlignment="1">
      <alignment horizontal="center"/>
      <protection/>
    </xf>
    <xf numFmtId="0" fontId="76" fillId="47" borderId="16" xfId="42" applyFont="1" applyFill="1" applyBorder="1" applyAlignment="1">
      <alignment horizontal="center"/>
      <protection/>
    </xf>
    <xf numFmtId="49" fontId="76" fillId="47" borderId="16" xfId="42" applyNumberFormat="1" applyFont="1" applyFill="1" applyBorder="1" applyAlignment="1">
      <alignment horizontal="center"/>
      <protection/>
    </xf>
    <xf numFmtId="175" fontId="76" fillId="47" borderId="16" xfId="42" applyNumberFormat="1" applyFont="1" applyFill="1" applyBorder="1" applyAlignment="1">
      <alignment horizontal="center" vertical="top"/>
      <protection/>
    </xf>
    <xf numFmtId="49" fontId="77" fillId="47" borderId="49" xfId="42" applyNumberFormat="1" applyFont="1" applyFill="1" applyBorder="1" applyAlignment="1">
      <alignment horizontal="center"/>
      <protection/>
    </xf>
    <xf numFmtId="0" fontId="77" fillId="47" borderId="16" xfId="42" applyFont="1" applyFill="1" applyBorder="1" applyAlignment="1">
      <alignment horizontal="center"/>
      <protection/>
    </xf>
    <xf numFmtId="175" fontId="76" fillId="47" borderId="59" xfId="42" applyNumberFormat="1" applyFont="1" applyFill="1" applyBorder="1" applyAlignment="1">
      <alignment horizontal="center" vertical="top"/>
      <protection/>
    </xf>
    <xf numFmtId="0" fontId="76" fillId="47" borderId="0" xfId="0" applyFont="1" applyFill="1" applyBorder="1" applyAlignment="1">
      <alignment vertical="top"/>
    </xf>
    <xf numFmtId="0" fontId="76" fillId="47" borderId="0" xfId="0" applyFont="1" applyFill="1" applyBorder="1" applyAlignment="1">
      <alignment/>
    </xf>
    <xf numFmtId="49" fontId="77" fillId="47" borderId="16" xfId="42" applyNumberFormat="1" applyFont="1" applyFill="1" applyBorder="1" applyAlignment="1">
      <alignment horizontal="center" vertical="top"/>
      <protection/>
    </xf>
    <xf numFmtId="0" fontId="76" fillId="47" borderId="16" xfId="0" applyFont="1" applyFill="1" applyBorder="1" applyAlignment="1">
      <alignment vertical="top"/>
    </xf>
    <xf numFmtId="4" fontId="76" fillId="47" borderId="34" xfId="46" applyNumberFormat="1" applyFont="1" applyFill="1" applyBorder="1" applyAlignment="1" applyProtection="1">
      <alignment horizontal="right" vertical="top"/>
      <protection locked="0"/>
    </xf>
    <xf numFmtId="174" fontId="76" fillId="47" borderId="23" xfId="42" applyNumberFormat="1" applyFont="1" applyFill="1" applyBorder="1" applyAlignment="1">
      <alignment horizontal="center" vertical="top"/>
      <protection/>
    </xf>
    <xf numFmtId="4" fontId="76" fillId="47" borderId="50" xfId="0" applyNumberFormat="1" applyFont="1" applyFill="1" applyBorder="1" applyAlignment="1">
      <alignment horizontal="right"/>
    </xf>
    <xf numFmtId="4" fontId="76" fillId="47" borderId="55" xfId="0" applyNumberFormat="1" applyFont="1" applyFill="1" applyBorder="1" applyAlignment="1">
      <alignment horizontal="right"/>
    </xf>
    <xf numFmtId="49" fontId="76" fillId="47" borderId="74" xfId="42" applyNumberFormat="1" applyFont="1" applyFill="1" applyBorder="1" applyAlignment="1">
      <alignment horizontal="center"/>
      <protection/>
    </xf>
    <xf numFmtId="4" fontId="77" fillId="47" borderId="50" xfId="0" applyNumberFormat="1" applyFont="1" applyFill="1" applyBorder="1" applyAlignment="1">
      <alignment horizontal="right"/>
    </xf>
    <xf numFmtId="4" fontId="77" fillId="47" borderId="55" xfId="0" applyNumberFormat="1" applyFont="1" applyFill="1" applyBorder="1" applyAlignment="1">
      <alignment horizontal="right"/>
    </xf>
    <xf numFmtId="4" fontId="77" fillId="47" borderId="76" xfId="0" applyNumberFormat="1" applyFont="1" applyFill="1" applyBorder="1" applyAlignment="1">
      <alignment horizontal="right"/>
    </xf>
    <xf numFmtId="4" fontId="77" fillId="47" borderId="65" xfId="0" applyNumberFormat="1" applyFont="1" applyFill="1" applyBorder="1" applyAlignment="1">
      <alignment horizontal="right"/>
    </xf>
    <xf numFmtId="49" fontId="76" fillId="47" borderId="78" xfId="42" applyNumberFormat="1" applyFont="1" applyFill="1" applyBorder="1" applyAlignment="1">
      <alignment horizontal="center"/>
      <protection/>
    </xf>
    <xf numFmtId="175" fontId="76" fillId="47" borderId="79" xfId="42" applyNumberFormat="1" applyFont="1" applyFill="1" applyBorder="1" applyAlignment="1">
      <alignment horizontal="center" vertical="top"/>
      <protection/>
    </xf>
    <xf numFmtId="4" fontId="76" fillId="47" borderId="72" xfId="0" applyNumberFormat="1" applyFont="1" applyFill="1" applyBorder="1" applyAlignment="1">
      <alignment horizontal="right"/>
    </xf>
    <xf numFmtId="4" fontId="76" fillId="47" borderId="0" xfId="0" applyNumberFormat="1" applyFont="1" applyFill="1" applyBorder="1" applyAlignment="1">
      <alignment horizontal="right"/>
    </xf>
    <xf numFmtId="49" fontId="76" fillId="47" borderId="0" xfId="42" applyNumberFormat="1" applyFont="1" applyFill="1" applyBorder="1" applyAlignment="1">
      <alignment horizontal="center"/>
      <protection/>
    </xf>
    <xf numFmtId="49" fontId="77" fillId="47" borderId="23" xfId="42" applyNumberFormat="1" applyFont="1" applyFill="1" applyBorder="1" applyAlignment="1">
      <alignment horizontal="center" vertical="top"/>
      <protection/>
    </xf>
    <xf numFmtId="4" fontId="77" fillId="47" borderId="0" xfId="0" applyNumberFormat="1" applyFont="1" applyFill="1" applyBorder="1" applyAlignment="1">
      <alignment horizontal="right" vertical="top"/>
    </xf>
    <xf numFmtId="4" fontId="77" fillId="47" borderId="34" xfId="42" applyNumberFormat="1" applyFont="1" applyFill="1" applyBorder="1" applyAlignment="1">
      <alignment horizontal="right" vertical="top"/>
      <protection/>
    </xf>
    <xf numFmtId="4" fontId="77" fillId="47" borderId="0" xfId="0" applyNumberFormat="1" applyFont="1" applyFill="1" applyBorder="1" applyAlignment="1">
      <alignment horizontal="right"/>
    </xf>
    <xf numFmtId="49" fontId="76" fillId="47" borderId="23" xfId="42" applyNumberFormat="1" applyFont="1" applyFill="1" applyBorder="1" applyAlignment="1">
      <alignment horizontal="center" vertical="top"/>
      <protection/>
    </xf>
    <xf numFmtId="4" fontId="76" fillId="47" borderId="0" xfId="0" applyNumberFormat="1" applyFont="1" applyFill="1" applyBorder="1" applyAlignment="1">
      <alignment horizontal="right" vertical="top"/>
    </xf>
    <xf numFmtId="4" fontId="76" fillId="47" borderId="34" xfId="42" applyNumberFormat="1" applyFont="1" applyFill="1" applyBorder="1" applyAlignment="1">
      <alignment horizontal="right" vertical="top"/>
      <protection/>
    </xf>
    <xf numFmtId="49" fontId="76" fillId="47" borderId="77" xfId="42" applyNumberFormat="1" applyFont="1" applyFill="1" applyBorder="1" applyAlignment="1">
      <alignment horizontal="center"/>
      <protection/>
    </xf>
    <xf numFmtId="0" fontId="76" fillId="47" borderId="73" xfId="42" applyFont="1" applyFill="1" applyBorder="1" applyAlignment="1">
      <alignment horizontal="center"/>
      <protection/>
    </xf>
    <xf numFmtId="49" fontId="76" fillId="47" borderId="73" xfId="42" applyNumberFormat="1" applyFont="1" applyFill="1" applyBorder="1" applyAlignment="1">
      <alignment horizontal="center"/>
      <protection/>
    </xf>
    <xf numFmtId="175" fontId="76" fillId="47" borderId="67" xfId="42" applyNumberFormat="1" applyFont="1" applyFill="1" applyBorder="1" applyAlignment="1">
      <alignment horizontal="center" vertical="top"/>
      <protection/>
    </xf>
    <xf numFmtId="0" fontId="76" fillId="47" borderId="80" xfId="0" applyFont="1" applyFill="1" applyBorder="1" applyAlignment="1">
      <alignment vertical="top"/>
    </xf>
    <xf numFmtId="4" fontId="76" fillId="47" borderId="24" xfId="0" applyNumberFormat="1" applyFont="1" applyFill="1" applyBorder="1" applyAlignment="1">
      <alignment horizontal="right" vertical="top"/>
    </xf>
    <xf numFmtId="4" fontId="76" fillId="47" borderId="40" xfId="0" applyNumberFormat="1" applyFont="1" applyFill="1" applyBorder="1" applyAlignment="1">
      <alignment horizontal="right" vertical="top"/>
    </xf>
    <xf numFmtId="4" fontId="76" fillId="47" borderId="40" xfId="46" applyNumberFormat="1" applyFont="1" applyFill="1" applyBorder="1" applyAlignment="1" applyProtection="1">
      <alignment horizontal="right" vertical="top"/>
      <protection locked="0"/>
    </xf>
    <xf numFmtId="4" fontId="76" fillId="47" borderId="24" xfId="42" applyNumberFormat="1" applyFont="1" applyFill="1" applyBorder="1" applyAlignment="1" applyProtection="1">
      <alignment horizontal="right" vertical="center"/>
      <protection locked="0"/>
    </xf>
    <xf numFmtId="49" fontId="77" fillId="47" borderId="27" xfId="42" applyNumberFormat="1" applyFont="1" applyFill="1" applyBorder="1" applyAlignment="1">
      <alignment horizontal="center"/>
      <protection/>
    </xf>
    <xf numFmtId="0" fontId="77" fillId="47" borderId="31" xfId="42" applyFont="1" applyFill="1" applyBorder="1" applyAlignment="1">
      <alignment horizontal="center"/>
      <protection/>
    </xf>
    <xf numFmtId="4" fontId="77" fillId="47" borderId="16" xfId="42" applyNumberFormat="1" applyFont="1" applyFill="1" applyBorder="1" applyAlignment="1">
      <alignment horizontal="right" vertical="top"/>
      <protection/>
    </xf>
    <xf numFmtId="49" fontId="78" fillId="47" borderId="22" xfId="42" applyNumberFormat="1" applyFont="1" applyFill="1" applyBorder="1" applyAlignment="1">
      <alignment horizontal="center" vertical="top"/>
      <protection/>
    </xf>
    <xf numFmtId="49" fontId="79" fillId="47" borderId="22" xfId="42" applyNumberFormat="1" applyFont="1" applyFill="1" applyBorder="1" applyAlignment="1">
      <alignment horizontal="center" vertical="top"/>
      <protection/>
    </xf>
    <xf numFmtId="49" fontId="78" fillId="47" borderId="23" xfId="42" applyNumberFormat="1" applyFont="1" applyFill="1" applyBorder="1" applyAlignment="1">
      <alignment horizontal="center" vertical="top"/>
      <protection/>
    </xf>
    <xf numFmtId="0" fontId="76" fillId="47" borderId="57" xfId="42" applyFont="1" applyFill="1" applyBorder="1" applyAlignment="1">
      <alignment horizontal="center"/>
      <protection/>
    </xf>
    <xf numFmtId="0" fontId="77" fillId="47" borderId="57" xfId="42" applyFont="1" applyFill="1" applyBorder="1" applyAlignment="1">
      <alignment horizontal="center"/>
      <protection/>
    </xf>
    <xf numFmtId="4" fontId="76" fillId="47" borderId="34" xfId="46" applyNumberFormat="1" applyFont="1" applyFill="1" applyBorder="1" applyAlignment="1">
      <alignment horizontal="right" vertical="top"/>
      <protection/>
    </xf>
    <xf numFmtId="49" fontId="77" fillId="47" borderId="49" xfId="42" applyNumberFormat="1" applyFont="1" applyFill="1" applyBorder="1" applyAlignment="1">
      <alignment horizontal="center" vertical="top"/>
      <protection/>
    </xf>
    <xf numFmtId="4" fontId="77" fillId="47" borderId="50" xfId="0" applyNumberFormat="1" applyFont="1" applyFill="1" applyBorder="1" applyAlignment="1">
      <alignment horizontal="right" vertical="top" wrapText="1"/>
    </xf>
    <xf numFmtId="4" fontId="77" fillId="47" borderId="55" xfId="0" applyNumberFormat="1" applyFont="1" applyFill="1" applyBorder="1" applyAlignment="1">
      <alignment horizontal="right" vertical="top" wrapText="1"/>
    </xf>
    <xf numFmtId="4" fontId="77" fillId="47" borderId="55" xfId="42" applyNumberFormat="1" applyFont="1" applyFill="1" applyBorder="1" applyAlignment="1">
      <alignment horizontal="right" vertical="center"/>
      <protection/>
    </xf>
    <xf numFmtId="175" fontId="76" fillId="47" borderId="23" xfId="42" applyNumberFormat="1" applyFont="1" applyFill="1" applyBorder="1" applyAlignment="1">
      <alignment horizontal="center" vertical="top"/>
      <protection/>
    </xf>
    <xf numFmtId="4" fontId="76" fillId="47" borderId="31" xfId="46" applyNumberFormat="1" applyFont="1" applyFill="1" applyBorder="1" applyAlignment="1">
      <alignment horizontal="right" vertical="top"/>
      <protection/>
    </xf>
    <xf numFmtId="0" fontId="76" fillId="47" borderId="57" xfId="42" applyFont="1" applyFill="1" applyBorder="1" applyAlignment="1">
      <alignment horizontal="center" vertical="center"/>
      <protection/>
    </xf>
    <xf numFmtId="49" fontId="76" fillId="47" borderId="49" xfId="42" applyNumberFormat="1" applyFont="1" applyFill="1" applyBorder="1" applyAlignment="1">
      <alignment horizontal="right" vertical="center"/>
      <protection/>
    </xf>
    <xf numFmtId="49" fontId="78" fillId="47" borderId="23" xfId="42" applyNumberFormat="1" applyFont="1" applyFill="1" applyBorder="1" applyAlignment="1">
      <alignment horizontal="right" vertical="center"/>
      <protection/>
    </xf>
    <xf numFmtId="174" fontId="76" fillId="47" borderId="23" xfId="42" applyNumberFormat="1" applyFont="1" applyFill="1" applyBorder="1" applyAlignment="1">
      <alignment horizontal="right" vertical="center"/>
      <protection/>
    </xf>
    <xf numFmtId="49" fontId="76" fillId="47" borderId="23" xfId="42" applyNumberFormat="1" applyFont="1" applyFill="1" applyBorder="1" applyAlignment="1">
      <alignment horizontal="right" vertical="center"/>
      <protection/>
    </xf>
    <xf numFmtId="4" fontId="76" fillId="47" borderId="50" xfId="0" applyNumberFormat="1" applyFont="1" applyFill="1" applyBorder="1" applyAlignment="1">
      <alignment horizontal="right" vertical="center" wrapText="1"/>
    </xf>
    <xf numFmtId="4" fontId="76" fillId="47" borderId="55" xfId="0" applyNumberFormat="1" applyFont="1" applyFill="1" applyBorder="1" applyAlignment="1">
      <alignment horizontal="right" vertical="center" wrapText="1"/>
    </xf>
    <xf numFmtId="0" fontId="76" fillId="47" borderId="0" xfId="0" applyFont="1" applyFill="1" applyAlignment="1">
      <alignment horizontal="right" vertical="center"/>
    </xf>
    <xf numFmtId="4" fontId="76" fillId="47" borderId="55" xfId="0" applyNumberFormat="1" applyFont="1" applyFill="1" applyBorder="1" applyAlignment="1">
      <alignment horizontal="right" vertical="center"/>
    </xf>
    <xf numFmtId="4" fontId="76" fillId="47" borderId="55" xfId="46" applyNumberFormat="1" applyFont="1" applyFill="1" applyBorder="1" applyAlignment="1">
      <alignment horizontal="right" vertical="top"/>
      <protection/>
    </xf>
    <xf numFmtId="4" fontId="77" fillId="47" borderId="65" xfId="42" applyNumberFormat="1" applyFont="1" applyFill="1" applyBorder="1" applyAlignment="1">
      <alignment horizontal="right" vertical="top"/>
      <protection/>
    </xf>
    <xf numFmtId="49" fontId="76" fillId="47" borderId="21" xfId="42" applyNumberFormat="1" applyFont="1" applyFill="1" applyBorder="1" applyAlignment="1">
      <alignment horizontal="right" vertical="center"/>
      <protection/>
    </xf>
    <xf numFmtId="49" fontId="78" fillId="47" borderId="22" xfId="42" applyNumberFormat="1" applyFont="1" applyFill="1" applyBorder="1" applyAlignment="1">
      <alignment horizontal="right" vertical="center"/>
      <protection/>
    </xf>
    <xf numFmtId="0" fontId="76" fillId="47" borderId="22" xfId="42" applyFont="1" applyFill="1" applyBorder="1" applyAlignment="1">
      <alignment horizontal="right" vertical="center"/>
      <protection/>
    </xf>
    <xf numFmtId="49" fontId="76" fillId="47" borderId="22" xfId="42" applyNumberFormat="1" applyFont="1" applyFill="1" applyBorder="1" applyAlignment="1">
      <alignment horizontal="right" vertical="center"/>
      <protection/>
    </xf>
    <xf numFmtId="175" fontId="76" fillId="47" borderId="27" xfId="42" applyNumberFormat="1" applyFont="1" applyFill="1" applyBorder="1" applyAlignment="1">
      <alignment horizontal="right" vertical="center"/>
      <protection/>
    </xf>
    <xf numFmtId="4" fontId="76" fillId="47" borderId="76" xfId="0" applyNumberFormat="1" applyFont="1" applyFill="1" applyBorder="1" applyAlignment="1">
      <alignment horizontal="right" vertical="center"/>
    </xf>
    <xf numFmtId="4" fontId="76" fillId="47" borderId="65" xfId="0" applyNumberFormat="1" applyFont="1" applyFill="1" applyBorder="1" applyAlignment="1">
      <alignment horizontal="right" vertical="center"/>
    </xf>
    <xf numFmtId="4" fontId="76" fillId="47" borderId="34" xfId="46" applyNumberFormat="1" applyFont="1" applyFill="1" applyBorder="1" applyAlignment="1" applyProtection="1">
      <alignment horizontal="right" vertical="center"/>
      <protection locked="0"/>
    </xf>
    <xf numFmtId="0" fontId="77" fillId="47" borderId="76" xfId="0" applyFont="1" applyFill="1" applyBorder="1" applyAlignment="1">
      <alignment/>
    </xf>
    <xf numFmtId="4" fontId="77" fillId="47" borderId="76" xfId="42" applyNumberFormat="1" applyFont="1" applyFill="1" applyBorder="1" applyAlignment="1">
      <alignment horizontal="right" vertical="top"/>
      <protection/>
    </xf>
    <xf numFmtId="0" fontId="76" fillId="47" borderId="61" xfId="42" applyFont="1" applyFill="1" applyBorder="1" applyAlignment="1">
      <alignment horizontal="center"/>
      <protection/>
    </xf>
    <xf numFmtId="0" fontId="76" fillId="47" borderId="40" xfId="0" applyFont="1" applyFill="1" applyBorder="1" applyAlignment="1">
      <alignment vertical="top"/>
    </xf>
    <xf numFmtId="0" fontId="76" fillId="47" borderId="48" xfId="0" applyFont="1" applyFill="1" applyBorder="1" applyAlignment="1">
      <alignment vertical="top"/>
    </xf>
    <xf numFmtId="0" fontId="76" fillId="47" borderId="43" xfId="0" applyFont="1" applyFill="1" applyBorder="1" applyAlignment="1">
      <alignment vertical="top"/>
    </xf>
    <xf numFmtId="4" fontId="76" fillId="47" borderId="43" xfId="0" applyNumberFormat="1" applyFont="1" applyFill="1" applyBorder="1" applyAlignment="1">
      <alignment horizontal="right" vertical="top"/>
    </xf>
    <xf numFmtId="4" fontId="76" fillId="47" borderId="48" xfId="0" applyNumberFormat="1" applyFont="1" applyFill="1" applyBorder="1" applyAlignment="1">
      <alignment horizontal="right" vertical="top"/>
    </xf>
    <xf numFmtId="0" fontId="76" fillId="47" borderId="23" xfId="42" applyFont="1" applyFill="1" applyBorder="1" applyAlignment="1">
      <alignment horizontal="right" vertical="center"/>
      <protection/>
    </xf>
    <xf numFmtId="0" fontId="76" fillId="47" borderId="57" xfId="42" applyFont="1" applyFill="1" applyBorder="1" applyAlignment="1">
      <alignment horizontal="right" vertical="center"/>
      <protection/>
    </xf>
    <xf numFmtId="4" fontId="76" fillId="47" borderId="16" xfId="0" applyNumberFormat="1" applyFont="1" applyFill="1" applyBorder="1" applyAlignment="1">
      <alignment horizontal="right" vertical="center"/>
    </xf>
    <xf numFmtId="4" fontId="76" fillId="47" borderId="34" xfId="0" applyNumberFormat="1" applyFont="1" applyFill="1" applyBorder="1" applyAlignment="1">
      <alignment horizontal="right" vertical="center"/>
    </xf>
    <xf numFmtId="4" fontId="76" fillId="47" borderId="33" xfId="0" applyNumberFormat="1" applyFont="1" applyFill="1" applyBorder="1" applyAlignment="1">
      <alignment horizontal="right" vertical="top"/>
    </xf>
    <xf numFmtId="4" fontId="76" fillId="47" borderId="25" xfId="0" applyNumberFormat="1" applyFont="1" applyFill="1" applyBorder="1" applyAlignment="1">
      <alignment horizontal="right" vertical="top"/>
    </xf>
    <xf numFmtId="4" fontId="76" fillId="47" borderId="65" xfId="42" applyNumberFormat="1" applyFont="1" applyFill="1" applyBorder="1" applyAlignment="1">
      <alignment horizontal="right" vertical="top"/>
      <protection/>
    </xf>
    <xf numFmtId="4" fontId="77" fillId="47" borderId="16" xfId="0" applyNumberFormat="1" applyFont="1" applyFill="1" applyBorder="1" applyAlignment="1">
      <alignment horizontal="right" vertical="top" wrapText="1"/>
    </xf>
    <xf numFmtId="4" fontId="77" fillId="47" borderId="34" xfId="0" applyNumberFormat="1" applyFont="1" applyFill="1" applyBorder="1" applyAlignment="1">
      <alignment horizontal="right" vertical="top" wrapText="1"/>
    </xf>
    <xf numFmtId="4" fontId="77" fillId="47" borderId="34" xfId="42" applyNumberFormat="1" applyFont="1" applyFill="1" applyBorder="1" applyAlignment="1">
      <alignment horizontal="right" vertical="center"/>
      <protection/>
    </xf>
    <xf numFmtId="49" fontId="76" fillId="47" borderId="49" xfId="42" applyNumberFormat="1" applyFont="1" applyFill="1" applyBorder="1" applyAlignment="1">
      <alignment horizontal="center" vertical="top"/>
      <protection/>
    </xf>
    <xf numFmtId="0" fontId="76" fillId="47" borderId="80" xfId="42" applyFont="1" applyFill="1" applyBorder="1" applyAlignment="1">
      <alignment horizontal="center"/>
      <protection/>
    </xf>
    <xf numFmtId="4" fontId="76" fillId="47" borderId="16" xfId="0" applyNumberFormat="1" applyFont="1" applyFill="1" applyBorder="1" applyAlignment="1">
      <alignment horizontal="right" vertical="top" wrapText="1"/>
    </xf>
    <xf numFmtId="4" fontId="76" fillId="47" borderId="34" xfId="0" applyNumberFormat="1" applyFont="1" applyFill="1" applyBorder="1" applyAlignment="1">
      <alignment horizontal="right" vertical="top" wrapText="1"/>
    </xf>
    <xf numFmtId="4" fontId="76" fillId="47" borderId="34" xfId="42" applyNumberFormat="1" applyFont="1" applyFill="1" applyBorder="1" applyAlignment="1">
      <alignment horizontal="right" vertical="center"/>
      <protection/>
    </xf>
    <xf numFmtId="49" fontId="76" fillId="47" borderId="27" xfId="42" applyNumberFormat="1" applyFont="1" applyFill="1" applyBorder="1" applyAlignment="1">
      <alignment horizontal="center" vertical="top"/>
      <protection/>
    </xf>
    <xf numFmtId="49" fontId="76" fillId="47" borderId="57" xfId="42" applyNumberFormat="1" applyFont="1" applyFill="1" applyBorder="1" applyAlignment="1">
      <alignment horizontal="center" vertical="top"/>
      <protection/>
    </xf>
    <xf numFmtId="0" fontId="76" fillId="47" borderId="79" xfId="42" applyFont="1" applyFill="1" applyBorder="1" applyAlignment="1">
      <alignment horizontal="center"/>
      <protection/>
    </xf>
    <xf numFmtId="4" fontId="77" fillId="47" borderId="91" xfId="0" applyNumberFormat="1" applyFont="1" applyFill="1" applyBorder="1" applyAlignment="1">
      <alignment horizontal="right" vertical="center" wrapText="1" readingOrder="1"/>
    </xf>
    <xf numFmtId="0" fontId="80" fillId="47" borderId="0" xfId="0" applyFont="1" applyFill="1" applyBorder="1" applyAlignment="1">
      <alignment horizontal="right" wrapText="1"/>
    </xf>
    <xf numFmtId="4" fontId="76" fillId="47" borderId="91" xfId="0" applyNumberFormat="1" applyFont="1" applyFill="1" applyBorder="1" applyAlignment="1">
      <alignment horizontal="right" vertical="center" wrapText="1" readingOrder="1"/>
    </xf>
    <xf numFmtId="4" fontId="76" fillId="47" borderId="0" xfId="0" applyNumberFormat="1" applyFont="1" applyFill="1" applyBorder="1" applyAlignment="1">
      <alignment horizontal="right" vertical="center" wrapText="1" readingOrder="1"/>
    </xf>
    <xf numFmtId="0" fontId="76" fillId="47" borderId="27" xfId="0" applyFont="1" applyFill="1" applyBorder="1" applyAlignment="1">
      <alignment vertical="top"/>
    </xf>
    <xf numFmtId="0" fontId="76" fillId="47" borderId="31" xfId="0" applyFont="1" applyFill="1" applyBorder="1" applyAlignment="1">
      <alignment vertical="top"/>
    </xf>
    <xf numFmtId="0" fontId="76" fillId="47" borderId="26" xfId="0" applyFont="1" applyFill="1" applyBorder="1" applyAlignment="1">
      <alignment vertical="top"/>
    </xf>
    <xf numFmtId="0" fontId="76" fillId="47" borderId="61" xfId="0" applyFont="1" applyFill="1" applyBorder="1" applyAlignment="1">
      <alignment horizontal="left" vertical="top"/>
    </xf>
    <xf numFmtId="0" fontId="76" fillId="47" borderId="65" xfId="0" applyFont="1" applyFill="1" applyBorder="1" applyAlignment="1">
      <alignment horizontal="left" vertical="top"/>
    </xf>
    <xf numFmtId="0" fontId="76" fillId="47" borderId="76" xfId="0" applyFont="1" applyFill="1" applyBorder="1" applyAlignment="1">
      <alignment horizontal="left" vertical="top"/>
    </xf>
    <xf numFmtId="4" fontId="77" fillId="54" borderId="16" xfId="0" applyNumberFormat="1" applyFont="1" applyFill="1" applyBorder="1" applyAlignment="1">
      <alignment horizontal="right" vertical="top"/>
    </xf>
    <xf numFmtId="4" fontId="77" fillId="54" borderId="50" xfId="42" applyNumberFormat="1" applyFont="1" applyFill="1" applyBorder="1" applyAlignment="1">
      <alignment horizontal="right" vertical="top"/>
      <protection/>
    </xf>
    <xf numFmtId="4" fontId="77" fillId="54" borderId="23" xfId="42" applyNumberFormat="1" applyFont="1" applyFill="1" applyBorder="1" applyAlignment="1">
      <alignment horizontal="right" vertical="top"/>
      <protection/>
    </xf>
    <xf numFmtId="4" fontId="77" fillId="54" borderId="31" xfId="42" applyNumberFormat="1" applyFont="1" applyFill="1" applyBorder="1" applyAlignment="1">
      <alignment horizontal="right" vertical="top"/>
      <protection/>
    </xf>
    <xf numFmtId="4" fontId="77" fillId="54" borderId="16" xfId="42" applyNumberFormat="1" applyFont="1" applyFill="1" applyBorder="1" applyAlignment="1">
      <alignment horizontal="right" vertical="center"/>
      <protection/>
    </xf>
    <xf numFmtId="4" fontId="77" fillId="54" borderId="55" xfId="42" applyNumberFormat="1" applyFont="1" applyFill="1" applyBorder="1" applyAlignment="1">
      <alignment horizontal="right" vertical="top"/>
      <protection/>
    </xf>
    <xf numFmtId="4" fontId="76" fillId="47" borderId="0" xfId="42" applyNumberFormat="1" applyFont="1" applyFill="1" applyBorder="1" applyAlignment="1" applyProtection="1">
      <alignment horizontal="right" vertical="center"/>
      <protection locked="0"/>
    </xf>
    <xf numFmtId="4" fontId="76" fillId="47" borderId="0" xfId="42" applyNumberFormat="1" applyFont="1" applyFill="1" applyBorder="1" applyAlignment="1">
      <alignment horizontal="right" vertical="center"/>
      <protection/>
    </xf>
    <xf numFmtId="175" fontId="76" fillId="47" borderId="89" xfId="42" applyNumberFormat="1" applyFont="1" applyFill="1" applyBorder="1" applyAlignment="1">
      <alignment horizontal="center" vertical="top"/>
      <protection/>
    </xf>
    <xf numFmtId="4" fontId="76" fillId="47" borderId="72" xfId="42" applyNumberFormat="1" applyFont="1" applyFill="1" applyBorder="1" applyAlignment="1">
      <alignment horizontal="right" vertical="top"/>
      <protection/>
    </xf>
    <xf numFmtId="4" fontId="76" fillId="47" borderId="73" xfId="42" applyNumberFormat="1" applyFont="1" applyFill="1" applyBorder="1" applyAlignment="1">
      <alignment horizontal="right" vertical="top"/>
      <protection/>
    </xf>
    <xf numFmtId="4" fontId="76" fillId="47" borderId="65" xfId="46" applyNumberFormat="1" applyFont="1" applyFill="1" applyBorder="1" applyAlignment="1" applyProtection="1">
      <alignment horizontal="right" vertical="top"/>
      <protection locked="0"/>
    </xf>
    <xf numFmtId="4" fontId="77" fillId="47" borderId="124" xfId="0" applyNumberFormat="1" applyFont="1" applyFill="1" applyBorder="1" applyAlignment="1">
      <alignment horizontal="right" vertical="top"/>
    </xf>
    <xf numFmtId="4" fontId="77" fillId="47" borderId="106" xfId="0" applyNumberFormat="1" applyFont="1" applyFill="1" applyBorder="1" applyAlignment="1">
      <alignment horizontal="right" vertical="top"/>
    </xf>
    <xf numFmtId="4" fontId="77" fillId="47" borderId="106" xfId="42" applyNumberFormat="1" applyFont="1" applyFill="1" applyBorder="1" applyAlignment="1">
      <alignment horizontal="right" vertical="top"/>
      <protection/>
    </xf>
    <xf numFmtId="4" fontId="77" fillId="47" borderId="106" xfId="42" applyNumberFormat="1" applyFont="1" applyFill="1" applyBorder="1" applyAlignment="1">
      <alignment horizontal="right" vertical="center"/>
      <protection/>
    </xf>
    <xf numFmtId="4" fontId="77" fillId="47" borderId="125" xfId="42" applyNumberFormat="1" applyFont="1" applyFill="1" applyBorder="1" applyAlignment="1">
      <alignment horizontal="right" vertical="center"/>
      <protection/>
    </xf>
    <xf numFmtId="4" fontId="76" fillId="47" borderId="16" xfId="42" applyNumberFormat="1" applyFont="1" applyFill="1" applyBorder="1" applyAlignment="1">
      <alignment horizontal="right" vertical="top"/>
      <protection/>
    </xf>
    <xf numFmtId="4" fontId="76" fillId="47" borderId="16" xfId="46" applyNumberFormat="1" applyFont="1" applyFill="1" applyBorder="1" applyAlignment="1" applyProtection="1">
      <alignment horizontal="right" vertical="top"/>
      <protection locked="0"/>
    </xf>
    <xf numFmtId="49" fontId="76" fillId="47" borderId="50" xfId="42" applyNumberFormat="1" applyFont="1" applyFill="1" applyBorder="1" applyAlignment="1">
      <alignment horizontal="center"/>
      <protection/>
    </xf>
    <xf numFmtId="4" fontId="76" fillId="47" borderId="81" xfId="42" applyNumberFormat="1" applyFont="1" applyFill="1" applyBorder="1" applyAlignment="1" applyProtection="1">
      <alignment horizontal="right" vertical="center"/>
      <protection locked="0"/>
    </xf>
    <xf numFmtId="4" fontId="76" fillId="47" borderId="16" xfId="0" applyNumberFormat="1" applyFont="1" applyFill="1" applyBorder="1" applyAlignment="1">
      <alignment vertical="top"/>
    </xf>
    <xf numFmtId="4" fontId="73" fillId="46" borderId="16" xfId="42" applyNumberFormat="1" applyFont="1" applyFill="1" applyBorder="1" applyAlignment="1">
      <alignment horizontal="right" vertical="top"/>
      <protection/>
    </xf>
    <xf numFmtId="4" fontId="73" fillId="42" borderId="115" xfId="42" applyNumberFormat="1" applyFont="1" applyFill="1" applyBorder="1" applyAlignment="1">
      <alignment horizontal="right" vertical="center"/>
      <protection/>
    </xf>
    <xf numFmtId="4" fontId="73" fillId="42" borderId="81" xfId="42" applyNumberFormat="1" applyFont="1" applyFill="1" applyBorder="1" applyAlignment="1">
      <alignment horizontal="right" vertical="center"/>
      <protection/>
    </xf>
    <xf numFmtId="49" fontId="0" fillId="0" borderId="108" xfId="0" applyNumberFormat="1" applyFont="1" applyFill="1" applyBorder="1" applyAlignment="1">
      <alignment horizontal="center"/>
    </xf>
    <xf numFmtId="0" fontId="0" fillId="0" borderId="108" xfId="0" applyFont="1" applyFill="1" applyBorder="1" applyAlignment="1">
      <alignment horizontal="left" wrapText="1"/>
    </xf>
    <xf numFmtId="49" fontId="0" fillId="52" borderId="16" xfId="0" applyNumberFormat="1" applyFont="1" applyFill="1" applyBorder="1" applyAlignment="1">
      <alignment horizontal="center"/>
    </xf>
    <xf numFmtId="0" fontId="4" fillId="52" borderId="16" xfId="0" applyFont="1" applyFill="1" applyBorder="1" applyAlignment="1">
      <alignment horizontal="center" vertical="center"/>
    </xf>
    <xf numFmtId="4" fontId="0" fillId="47" borderId="24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56" borderId="16" xfId="42" applyNumberFormat="1" applyFont="1" applyFill="1" applyBorder="1" applyAlignment="1">
      <alignment horizontal="right" vertical="center"/>
      <protection/>
    </xf>
    <xf numFmtId="0" fontId="0" fillId="47" borderId="80" xfId="0" applyFont="1" applyFill="1" applyBorder="1" applyAlignment="1">
      <alignment horizontal="left" vertical="top"/>
    </xf>
    <xf numFmtId="0" fontId="0" fillId="47" borderId="72" xfId="0" applyFont="1" applyFill="1" applyBorder="1" applyAlignment="1">
      <alignment horizontal="left" vertical="top"/>
    </xf>
    <xf numFmtId="4" fontId="0" fillId="47" borderId="72" xfId="0" applyNumberFormat="1" applyFont="1" applyFill="1" applyBorder="1" applyAlignment="1">
      <alignment horizontal="right" vertical="top"/>
    </xf>
    <xf numFmtId="4" fontId="4" fillId="46" borderId="72" xfId="0" applyNumberFormat="1" applyFont="1" applyFill="1" applyBorder="1" applyAlignment="1">
      <alignment horizontal="right"/>
    </xf>
    <xf numFmtId="49" fontId="4" fillId="0" borderId="50" xfId="42" applyNumberFormat="1" applyFont="1" applyFill="1" applyBorder="1" applyAlignment="1">
      <alignment horizontal="center" vertical="top"/>
      <protection/>
    </xf>
    <xf numFmtId="174" fontId="4" fillId="0" borderId="50" xfId="42" applyNumberFormat="1" applyFont="1" applyFill="1" applyBorder="1" applyAlignment="1">
      <alignment horizontal="center" vertical="top"/>
      <protection/>
    </xf>
    <xf numFmtId="4" fontId="0" fillId="0" borderId="57" xfId="46" applyNumberFormat="1" applyFont="1" applyFill="1" applyBorder="1" applyAlignment="1">
      <alignment horizontal="right" vertical="top"/>
      <protection/>
    </xf>
    <xf numFmtId="4" fontId="0" fillId="47" borderId="81" xfId="42" applyNumberFormat="1" applyFont="1" applyFill="1" applyBorder="1" applyAlignment="1">
      <alignment horizontal="right" vertical="center"/>
      <protection/>
    </xf>
    <xf numFmtId="4" fontId="0" fillId="0" borderId="81" xfId="42" applyNumberFormat="1" applyFont="1" applyFill="1" applyBorder="1" applyAlignment="1" applyProtection="1">
      <alignment horizontal="right" vertical="center"/>
      <protection locked="0"/>
    </xf>
    <xf numFmtId="4" fontId="4" fillId="34" borderId="65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top"/>
      <protection/>
    </xf>
    <xf numFmtId="4" fontId="0" fillId="0" borderId="80" xfId="46" applyNumberFormat="1" applyFont="1" applyFill="1" applyBorder="1" applyAlignment="1">
      <alignment horizontal="right" vertical="top"/>
      <protection/>
    </xf>
    <xf numFmtId="4" fontId="0" fillId="0" borderId="80" xfId="46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0" fillId="47" borderId="0" xfId="42" applyFont="1" applyFill="1" applyBorder="1" applyAlignment="1">
      <alignment horizontal="center"/>
      <protection/>
    </xf>
    <xf numFmtId="4" fontId="0" fillId="0" borderId="81" xfId="0" applyNumberFormat="1" applyFont="1" applyBorder="1" applyAlignment="1">
      <alignment horizontal="right" vertical="top"/>
    </xf>
    <xf numFmtId="0" fontId="0" fillId="0" borderId="55" xfId="0" applyFont="1" applyFill="1" applyBorder="1" applyAlignment="1">
      <alignment vertical="top"/>
    </xf>
    <xf numFmtId="4" fontId="0" fillId="34" borderId="55" xfId="42" applyNumberFormat="1" applyFont="1" applyFill="1" applyBorder="1" applyAlignment="1">
      <alignment horizontal="right" vertical="top"/>
      <protection/>
    </xf>
    <xf numFmtId="49" fontId="0" fillId="34" borderId="74" xfId="42" applyNumberFormat="1" applyFont="1" applyFill="1" applyBorder="1" applyAlignment="1">
      <alignment horizontal="center"/>
      <protection/>
    </xf>
    <xf numFmtId="49" fontId="0" fillId="34" borderId="67" xfId="42" applyNumberFormat="1" applyFont="1" applyFill="1" applyBorder="1" applyAlignment="1">
      <alignment horizontal="center"/>
      <protection/>
    </xf>
    <xf numFmtId="49" fontId="0" fillId="34" borderId="67" xfId="42" applyNumberFormat="1" applyFont="1" applyFill="1" applyBorder="1" applyAlignment="1">
      <alignment horizontal="center" vertical="top"/>
      <protection/>
    </xf>
    <xf numFmtId="0" fontId="0" fillId="47" borderId="24" xfId="42" applyFont="1" applyFill="1" applyBorder="1" applyAlignment="1">
      <alignment horizontal="center"/>
      <protection/>
    </xf>
    <xf numFmtId="49" fontId="4" fillId="42" borderId="81" xfId="42" applyNumberFormat="1" applyFont="1" applyFill="1" applyBorder="1" applyAlignment="1">
      <alignment horizontal="center" vertical="top"/>
      <protection/>
    </xf>
    <xf numFmtId="49" fontId="0" fillId="34" borderId="16" xfId="42" applyNumberFormat="1" applyFont="1" applyFill="1" applyBorder="1" applyAlignment="1">
      <alignment horizontal="center" vertical="top"/>
      <protection/>
    </xf>
    <xf numFmtId="0" fontId="0" fillId="0" borderId="16" xfId="0" applyFont="1" applyFill="1" applyBorder="1" applyAlignment="1">
      <alignment horizontal="left" vertical="top"/>
    </xf>
    <xf numFmtId="0" fontId="0" fillId="34" borderId="40" xfId="42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left" vertical="top"/>
    </xf>
    <xf numFmtId="0" fontId="0" fillId="0" borderId="7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5" fontId="0" fillId="0" borderId="89" xfId="42" applyNumberFormat="1" applyFont="1" applyFill="1" applyBorder="1" applyAlignment="1">
      <alignment horizontal="center" vertical="top"/>
      <protection/>
    </xf>
    <xf numFmtId="0" fontId="0" fillId="0" borderId="90" xfId="0" applyFont="1" applyFill="1" applyBorder="1" applyAlignment="1">
      <alignment vertical="top"/>
    </xf>
    <xf numFmtId="0" fontId="0" fillId="0" borderId="48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54" borderId="16" xfId="45" applyFont="1" applyFill="1" applyBorder="1">
      <alignment/>
      <protection/>
    </xf>
    <xf numFmtId="182" fontId="12" fillId="54" borderId="16" xfId="45" applyNumberFormat="1" applyFont="1" applyFill="1" applyBorder="1" applyAlignment="1">
      <alignment horizontal="center" vertical="top"/>
      <protection/>
    </xf>
    <xf numFmtId="0" fontId="0" fillId="54" borderId="34" xfId="45" applyFont="1" applyFill="1" applyBorder="1">
      <alignment/>
      <protection/>
    </xf>
    <xf numFmtId="0" fontId="5" fillId="54" borderId="34" xfId="0" applyFont="1" applyFill="1" applyBorder="1" applyAlignment="1">
      <alignment vertical="top"/>
    </xf>
    <xf numFmtId="0" fontId="12" fillId="54" borderId="25" xfId="0" applyFont="1" applyFill="1" applyBorder="1" applyAlignment="1">
      <alignment vertical="top"/>
    </xf>
    <xf numFmtId="0" fontId="0" fillId="54" borderId="25" xfId="0" applyFont="1" applyFill="1" applyBorder="1" applyAlignment="1">
      <alignment/>
    </xf>
    <xf numFmtId="0" fontId="7" fillId="54" borderId="33" xfId="0" applyFont="1" applyFill="1" applyBorder="1" applyAlignment="1">
      <alignment/>
    </xf>
    <xf numFmtId="4" fontId="7" fillId="54" borderId="25" xfId="0" applyNumberFormat="1" applyFont="1" applyFill="1" applyBorder="1" applyAlignment="1">
      <alignment horizontal="right"/>
    </xf>
    <xf numFmtId="176" fontId="12" fillId="54" borderId="18" xfId="45" applyNumberFormat="1" applyFont="1" applyFill="1" applyBorder="1" applyAlignment="1" applyProtection="1">
      <alignment horizontal="right" vertical="top"/>
      <protection locked="0"/>
    </xf>
    <xf numFmtId="176" fontId="12" fillId="54" borderId="95" xfId="45" applyNumberFormat="1" applyFont="1" applyFill="1" applyBorder="1" applyAlignment="1" applyProtection="1">
      <alignment horizontal="right" vertical="top"/>
      <protection locked="0"/>
    </xf>
    <xf numFmtId="0" fontId="4" fillId="0" borderId="126" xfId="0" applyFont="1" applyFill="1" applyBorder="1" applyAlignment="1">
      <alignment horizontal="center" vertical="center" wrapText="1"/>
    </xf>
    <xf numFmtId="10" fontId="4" fillId="0" borderId="54" xfId="64" applyNumberFormat="1" applyFont="1" applyFill="1" applyBorder="1" applyAlignment="1">
      <alignment horizontal="center" vertical="center" wrapText="1"/>
      <protection/>
    </xf>
    <xf numFmtId="10" fontId="29" fillId="0" borderId="16" xfId="42" applyNumberFormat="1" applyFont="1" applyFill="1" applyBorder="1" applyAlignment="1">
      <alignment vertical="center"/>
      <protection/>
    </xf>
    <xf numFmtId="4" fontId="0" fillId="0" borderId="0" xfId="42" applyNumberFormat="1" applyFont="1" applyFill="1" applyBorder="1" applyAlignment="1">
      <alignment horizontal="right" vertical="top"/>
      <protection/>
    </xf>
    <xf numFmtId="10" fontId="25" fillId="0" borderId="16" xfId="42" applyNumberFormat="1" applyFont="1" applyFill="1" applyBorder="1" applyAlignment="1">
      <alignment vertical="center"/>
      <protection/>
    </xf>
    <xf numFmtId="0" fontId="4" fillId="46" borderId="64" xfId="0" applyFont="1" applyFill="1" applyBorder="1" applyAlignment="1">
      <alignment vertical="top" wrapText="1"/>
    </xf>
    <xf numFmtId="0" fontId="4" fillId="46" borderId="127" xfId="0" applyFont="1" applyFill="1" applyBorder="1" applyAlignment="1">
      <alignment vertical="top"/>
    </xf>
    <xf numFmtId="0" fontId="4" fillId="46" borderId="128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29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/>
    </xf>
    <xf numFmtId="0" fontId="0" fillId="0" borderId="65" xfId="0" applyFont="1" applyFill="1" applyBorder="1" applyAlignment="1">
      <alignment horizontal="left" vertical="top"/>
    </xf>
    <xf numFmtId="0" fontId="0" fillId="0" borderId="76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73" fillId="42" borderId="87" xfId="0" applyFont="1" applyFill="1" applyBorder="1" applyAlignment="1">
      <alignment horizontal="left" vertical="top"/>
    </xf>
    <xf numFmtId="0" fontId="73" fillId="46" borderId="88" xfId="0" applyFont="1" applyFill="1" applyBorder="1" applyAlignment="1">
      <alignment horizontal="left" vertical="top"/>
    </xf>
    <xf numFmtId="0" fontId="73" fillId="46" borderId="85" xfId="0" applyFont="1" applyFill="1" applyBorder="1" applyAlignment="1">
      <alignment horizontal="left" vertical="top"/>
    </xf>
    <xf numFmtId="0" fontId="0" fillId="39" borderId="27" xfId="42" applyFont="1" applyFill="1" applyBorder="1" applyAlignment="1">
      <alignment horizontal="left"/>
      <protection/>
    </xf>
    <xf numFmtId="0" fontId="0" fillId="39" borderId="31" xfId="42" applyFont="1" applyFill="1" applyBorder="1" applyAlignment="1">
      <alignment horizontal="left"/>
      <protection/>
    </xf>
    <xf numFmtId="0" fontId="0" fillId="39" borderId="129" xfId="42" applyFont="1" applyFill="1" applyBorder="1" applyAlignment="1">
      <alignment horizontal="left"/>
      <protection/>
    </xf>
    <xf numFmtId="0" fontId="0" fillId="0" borderId="27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73" fillId="42" borderId="87" xfId="0" applyFont="1" applyFill="1" applyBorder="1" applyAlignment="1">
      <alignment vertical="top"/>
    </xf>
    <xf numFmtId="0" fontId="73" fillId="42" borderId="88" xfId="0" applyFont="1" applyFill="1" applyBorder="1" applyAlignment="1">
      <alignment vertical="top"/>
    </xf>
    <xf numFmtId="0" fontId="73" fillId="42" borderId="85" xfId="0" applyFont="1" applyFill="1" applyBorder="1" applyAlignment="1">
      <alignment vertical="top"/>
    </xf>
    <xf numFmtId="0" fontId="0" fillId="0" borderId="34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73" fillId="42" borderId="79" xfId="0" applyFont="1" applyFill="1" applyBorder="1" applyAlignment="1">
      <alignment horizontal="left" vertical="top"/>
    </xf>
    <xf numFmtId="0" fontId="73" fillId="42" borderId="97" xfId="0" applyFont="1" applyFill="1" applyBorder="1" applyAlignment="1">
      <alignment horizontal="left" vertical="top"/>
    </xf>
    <xf numFmtId="0" fontId="73" fillId="42" borderId="130" xfId="0" applyFont="1" applyFill="1" applyBorder="1" applyAlignment="1">
      <alignment horizontal="left" vertical="top"/>
    </xf>
    <xf numFmtId="0" fontId="4" fillId="0" borderId="131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61" xfId="0" applyFont="1" applyFill="1" applyBorder="1" applyAlignment="1">
      <alignment vertical="top"/>
    </xf>
    <xf numFmtId="0" fontId="0" fillId="0" borderId="65" xfId="0" applyFont="1" applyFill="1" applyBorder="1" applyAlignment="1">
      <alignment vertical="top"/>
    </xf>
    <xf numFmtId="0" fontId="4" fillId="42" borderId="64" xfId="0" applyFont="1" applyFill="1" applyBorder="1" applyAlignment="1">
      <alignment horizontal="left" vertical="top" wrapText="1"/>
    </xf>
    <xf numFmtId="0" fontId="4" fillId="42" borderId="127" xfId="0" applyFont="1" applyFill="1" applyBorder="1" applyAlignment="1">
      <alignment horizontal="left" vertical="top" wrapText="1"/>
    </xf>
    <xf numFmtId="0" fontId="4" fillId="42" borderId="128" xfId="0" applyFont="1" applyFill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top" wrapText="1"/>
    </xf>
    <xf numFmtId="0" fontId="0" fillId="0" borderId="97" xfId="0" applyFont="1" applyFill="1" applyBorder="1" applyAlignment="1">
      <alignment horizontal="left" vertical="top" wrapText="1"/>
    </xf>
    <xf numFmtId="0" fontId="0" fillId="0" borderId="133" xfId="0" applyFont="1" applyFill="1" applyBorder="1" applyAlignment="1">
      <alignment horizontal="left" vertical="top"/>
    </xf>
    <xf numFmtId="0" fontId="0" fillId="0" borderId="127" xfId="0" applyFont="1" applyFill="1" applyBorder="1" applyAlignment="1">
      <alignment horizontal="left" vertical="top"/>
    </xf>
    <xf numFmtId="0" fontId="0" fillId="0" borderId="134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/>
    </xf>
    <xf numFmtId="0" fontId="0" fillId="0" borderId="135" xfId="0" applyFont="1" applyFill="1" applyBorder="1" applyAlignment="1">
      <alignment horizontal="left" vertical="top"/>
    </xf>
    <xf numFmtId="0" fontId="0" fillId="0" borderId="97" xfId="0" applyFont="1" applyFill="1" applyBorder="1" applyAlignment="1">
      <alignment horizontal="left" vertical="top"/>
    </xf>
    <xf numFmtId="0" fontId="0" fillId="0" borderId="79" xfId="0" applyFont="1" applyBorder="1" applyAlignment="1">
      <alignment horizontal="left" vertical="top"/>
    </xf>
    <xf numFmtId="0" fontId="0" fillId="0" borderId="97" xfId="0" applyFont="1" applyBorder="1" applyAlignment="1">
      <alignment horizontal="left" vertical="top"/>
    </xf>
    <xf numFmtId="0" fontId="0" fillId="0" borderId="130" xfId="0" applyFont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0" fillId="0" borderId="136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top"/>
    </xf>
    <xf numFmtId="0" fontId="4" fillId="46" borderId="57" xfId="0" applyFont="1" applyFill="1" applyBorder="1" applyAlignment="1">
      <alignment vertical="top" wrapText="1"/>
    </xf>
    <xf numFmtId="0" fontId="4" fillId="46" borderId="55" xfId="0" applyFont="1" applyFill="1" applyBorder="1" applyAlignment="1">
      <alignment vertical="top"/>
    </xf>
    <xf numFmtId="0" fontId="4" fillId="46" borderId="50" xfId="0" applyFont="1" applyFill="1" applyBorder="1" applyAlignment="1">
      <alignment vertical="top"/>
    </xf>
    <xf numFmtId="0" fontId="4" fillId="46" borderId="127" xfId="0" applyFont="1" applyFill="1" applyBorder="1" applyAlignment="1">
      <alignment vertical="top" wrapText="1"/>
    </xf>
    <xf numFmtId="0" fontId="4" fillId="46" borderId="128" xfId="0" applyFont="1" applyFill="1" applyBorder="1" applyAlignment="1">
      <alignment vertical="top" wrapText="1"/>
    </xf>
    <xf numFmtId="0" fontId="73" fillId="42" borderId="22" xfId="0" applyFont="1" applyFill="1" applyBorder="1" applyAlignment="1">
      <alignment vertical="top" wrapText="1"/>
    </xf>
    <xf numFmtId="0" fontId="73" fillId="42" borderId="22" xfId="0" applyFont="1" applyFill="1" applyBorder="1" applyAlignment="1">
      <alignment vertical="top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vertical="top"/>
    </xf>
    <xf numFmtId="0" fontId="73" fillId="42" borderId="136" xfId="0" applyFont="1" applyFill="1" applyBorder="1" applyAlignment="1">
      <alignment vertical="top"/>
    </xf>
    <xf numFmtId="0" fontId="73" fillId="42" borderId="25" xfId="0" applyFont="1" applyFill="1" applyBorder="1" applyAlignment="1">
      <alignment vertical="top"/>
    </xf>
    <xf numFmtId="0" fontId="73" fillId="42" borderId="137" xfId="0" applyFont="1" applyFill="1" applyBorder="1" applyAlignment="1">
      <alignment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0" fontId="0" fillId="0" borderId="130" xfId="0" applyFont="1" applyFill="1" applyBorder="1" applyAlignment="1">
      <alignment horizontal="left" vertical="top"/>
    </xf>
    <xf numFmtId="0" fontId="0" fillId="0" borderId="76" xfId="0" applyFont="1" applyBorder="1" applyAlignment="1">
      <alignment vertical="top"/>
    </xf>
    <xf numFmtId="0" fontId="0" fillId="47" borderId="27" xfId="0" applyFont="1" applyFill="1" applyBorder="1" applyAlignment="1">
      <alignment horizontal="left" vertical="top"/>
    </xf>
    <xf numFmtId="0" fontId="0" fillId="47" borderId="31" xfId="0" applyFont="1" applyFill="1" applyBorder="1" applyAlignment="1">
      <alignment horizontal="left" vertical="top"/>
    </xf>
    <xf numFmtId="0" fontId="0" fillId="47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33" borderId="64" xfId="42" applyFont="1" applyFill="1" applyBorder="1" applyAlignment="1">
      <alignment horizontal="left"/>
      <protection/>
    </xf>
    <xf numFmtId="0" fontId="4" fillId="33" borderId="127" xfId="42" applyFont="1" applyFill="1" applyBorder="1" applyAlignment="1">
      <alignment horizontal="left"/>
      <protection/>
    </xf>
    <xf numFmtId="0" fontId="73" fillId="42" borderId="87" xfId="0" applyFont="1" applyFill="1" applyBorder="1" applyAlignment="1">
      <alignment vertical="top" wrapText="1"/>
    </xf>
    <xf numFmtId="0" fontId="73" fillId="42" borderId="79" xfId="0" applyFont="1" applyFill="1" applyBorder="1" applyAlignment="1">
      <alignment vertical="top"/>
    </xf>
    <xf numFmtId="0" fontId="73" fillId="42" borderId="97" xfId="0" applyFont="1" applyFill="1" applyBorder="1" applyAlignment="1">
      <alignment vertical="top"/>
    </xf>
    <xf numFmtId="0" fontId="73" fillId="42" borderId="130" xfId="0" applyFont="1" applyFill="1" applyBorder="1" applyAlignment="1">
      <alignment vertical="top"/>
    </xf>
    <xf numFmtId="0" fontId="4" fillId="46" borderId="90" xfId="0" applyFont="1" applyFill="1" applyBorder="1" applyAlignment="1">
      <alignment vertical="top" wrapText="1"/>
    </xf>
    <xf numFmtId="0" fontId="4" fillId="46" borderId="48" xfId="0" applyFont="1" applyFill="1" applyBorder="1" applyAlignment="1">
      <alignment vertical="top"/>
    </xf>
    <xf numFmtId="0" fontId="0" fillId="0" borderId="130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left" vertical="top"/>
    </xf>
    <xf numFmtId="0" fontId="4" fillId="33" borderId="27" xfId="42" applyFont="1" applyFill="1" applyBorder="1" applyAlignment="1">
      <alignment horizontal="left"/>
      <protection/>
    </xf>
    <xf numFmtId="0" fontId="4" fillId="33" borderId="31" xfId="42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left" vertical="top" wrapText="1"/>
    </xf>
    <xf numFmtId="0" fontId="4" fillId="42" borderId="127" xfId="0" applyFont="1" applyFill="1" applyBorder="1" applyAlignment="1">
      <alignment horizontal="left" vertical="top"/>
    </xf>
    <xf numFmtId="0" fontId="4" fillId="42" borderId="128" xfId="0" applyFont="1" applyFill="1" applyBorder="1" applyAlignment="1">
      <alignment horizontal="left" vertical="top"/>
    </xf>
    <xf numFmtId="0" fontId="70" fillId="35" borderId="57" xfId="0" applyFont="1" applyFill="1" applyBorder="1" applyAlignment="1">
      <alignment vertical="top"/>
    </xf>
    <xf numFmtId="0" fontId="70" fillId="35" borderId="55" xfId="0" applyFont="1" applyFill="1" applyBorder="1" applyAlignment="1">
      <alignment vertical="top"/>
    </xf>
    <xf numFmtId="0" fontId="70" fillId="35" borderId="50" xfId="0" applyFont="1" applyFill="1" applyBorder="1" applyAlignment="1">
      <alignment vertical="top"/>
    </xf>
    <xf numFmtId="0" fontId="0" fillId="0" borderId="27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57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4" fillId="0" borderId="65" xfId="0" applyFont="1" applyFill="1" applyBorder="1" applyAlignment="1">
      <alignment vertical="top"/>
    </xf>
    <xf numFmtId="0" fontId="4" fillId="0" borderId="61" xfId="0" applyFont="1" applyFill="1" applyBorder="1" applyAlignment="1">
      <alignment horizontal="left" vertical="top"/>
    </xf>
    <xf numFmtId="0" fontId="4" fillId="0" borderId="65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50" xfId="0" applyFont="1" applyBorder="1" applyAlignment="1">
      <alignment vertical="top"/>
    </xf>
    <xf numFmtId="0" fontId="0" fillId="39" borderId="83" xfId="42" applyFont="1" applyFill="1" applyBorder="1" applyAlignment="1">
      <alignment horizontal="left"/>
      <protection/>
    </xf>
    <xf numFmtId="0" fontId="0" fillId="39" borderId="88" xfId="42" applyFont="1" applyFill="1" applyBorder="1" applyAlignment="1">
      <alignment horizontal="left"/>
      <protection/>
    </xf>
    <xf numFmtId="0" fontId="0" fillId="39" borderId="98" xfId="42" applyFont="1" applyFill="1" applyBorder="1" applyAlignment="1">
      <alignment horizontal="left"/>
      <protection/>
    </xf>
    <xf numFmtId="0" fontId="0" fillId="0" borderId="136" xfId="0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8" xfId="0" applyFont="1" applyBorder="1" applyAlignment="1">
      <alignment vertical="top"/>
    </xf>
    <xf numFmtId="0" fontId="73" fillId="42" borderId="16" xfId="0" applyFont="1" applyFill="1" applyBorder="1" applyAlignment="1">
      <alignment horizontal="left" vertical="top"/>
    </xf>
    <xf numFmtId="0" fontId="73" fillId="46" borderId="16" xfId="0" applyFont="1" applyFill="1" applyBorder="1" applyAlignment="1">
      <alignment horizontal="left" vertical="top"/>
    </xf>
    <xf numFmtId="0" fontId="4" fillId="42" borderId="27" xfId="0" applyFont="1" applyFill="1" applyBorder="1" applyAlignment="1">
      <alignment vertical="center" wrapText="1"/>
    </xf>
    <xf numFmtId="0" fontId="4" fillId="42" borderId="31" xfId="0" applyFont="1" applyFill="1" applyBorder="1" applyAlignment="1">
      <alignment vertical="center"/>
    </xf>
    <xf numFmtId="0" fontId="4" fillId="42" borderId="26" xfId="0" applyFont="1" applyFill="1" applyBorder="1" applyAlignment="1">
      <alignment vertical="center"/>
    </xf>
    <xf numFmtId="0" fontId="0" fillId="47" borderId="61" xfId="0" applyFont="1" applyFill="1" applyBorder="1" applyAlignment="1">
      <alignment horizontal="left" vertical="top"/>
    </xf>
    <xf numFmtId="0" fontId="0" fillId="47" borderId="65" xfId="0" applyFont="1" applyFill="1" applyBorder="1" applyAlignment="1">
      <alignment horizontal="left" vertical="top"/>
    </xf>
    <xf numFmtId="0" fontId="0" fillId="47" borderId="76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vertical="top"/>
    </xf>
    <xf numFmtId="0" fontId="4" fillId="33" borderId="27" xfId="0" applyFont="1" applyFill="1" applyBorder="1" applyAlignment="1">
      <alignment horizontal="left" vertical="top"/>
    </xf>
    <xf numFmtId="0" fontId="4" fillId="33" borderId="31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46" borderId="27" xfId="0" applyFont="1" applyFill="1" applyBorder="1" applyAlignment="1">
      <alignment horizontal="left" vertical="center" wrapText="1"/>
    </xf>
    <xf numFmtId="0" fontId="4" fillId="46" borderId="31" xfId="0" applyFont="1" applyFill="1" applyBorder="1" applyAlignment="1">
      <alignment horizontal="left" vertical="center"/>
    </xf>
    <xf numFmtId="0" fontId="4" fillId="46" borderId="26" xfId="0" applyFont="1" applyFill="1" applyBorder="1" applyAlignment="1">
      <alignment horizontal="left" vertical="center"/>
    </xf>
    <xf numFmtId="0" fontId="4" fillId="46" borderId="87" xfId="0" applyFont="1" applyFill="1" applyBorder="1" applyAlignment="1">
      <alignment horizontal="left" vertical="top" wrapText="1"/>
    </xf>
    <xf numFmtId="0" fontId="4" fillId="46" borderId="88" xfId="0" applyFont="1" applyFill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70" fillId="35" borderId="138" xfId="0" applyFont="1" applyFill="1" applyBorder="1" applyAlignment="1">
      <alignment vertical="top"/>
    </xf>
    <xf numFmtId="0" fontId="70" fillId="35" borderId="139" xfId="0" applyFont="1" applyFill="1" applyBorder="1" applyAlignment="1">
      <alignment vertical="top"/>
    </xf>
    <xf numFmtId="0" fontId="70" fillId="35" borderId="140" xfId="0" applyFont="1" applyFill="1" applyBorder="1" applyAlignment="1">
      <alignment vertical="top"/>
    </xf>
    <xf numFmtId="0" fontId="70" fillId="35" borderId="57" xfId="0" applyFont="1" applyFill="1" applyBorder="1" applyAlignment="1">
      <alignment vertical="center" wrapText="1"/>
    </xf>
    <xf numFmtId="0" fontId="70" fillId="35" borderId="55" xfId="0" applyFont="1" applyFill="1" applyBorder="1" applyAlignment="1">
      <alignment vertical="center"/>
    </xf>
    <xf numFmtId="0" fontId="70" fillId="35" borderId="50" xfId="0" applyFont="1" applyFill="1" applyBorder="1" applyAlignment="1">
      <alignment vertical="center"/>
    </xf>
    <xf numFmtId="0" fontId="0" fillId="0" borderId="65" xfId="0" applyFont="1" applyBorder="1" applyAlignment="1">
      <alignment vertical="top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41" xfId="0" applyFont="1" applyBorder="1" applyAlignment="1">
      <alignment horizontal="center"/>
    </xf>
    <xf numFmtId="0" fontId="4" fillId="0" borderId="27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2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0" fontId="4" fillId="46" borderId="27" xfId="0" applyFont="1" applyFill="1" applyBorder="1" applyAlignment="1">
      <alignment vertical="top" wrapText="1"/>
    </xf>
    <xf numFmtId="0" fontId="4" fillId="46" borderId="31" xfId="0" applyFont="1" applyFill="1" applyBorder="1" applyAlignment="1">
      <alignment vertical="top" wrapText="1"/>
    </xf>
    <xf numFmtId="0" fontId="4" fillId="46" borderId="26" xfId="0" applyFont="1" applyFill="1" applyBorder="1" applyAlignment="1">
      <alignment vertical="top" wrapText="1"/>
    </xf>
    <xf numFmtId="0" fontId="4" fillId="46" borderId="27" xfId="0" applyFont="1" applyFill="1" applyBorder="1" applyAlignment="1">
      <alignment horizontal="left" vertical="top" wrapText="1"/>
    </xf>
    <xf numFmtId="0" fontId="0" fillId="0" borderId="3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46" borderId="31" xfId="0" applyFont="1" applyFill="1" applyBorder="1" applyAlignment="1">
      <alignment horizontal="left"/>
    </xf>
    <xf numFmtId="0" fontId="0" fillId="0" borderId="79" xfId="0" applyFont="1" applyBorder="1" applyAlignment="1">
      <alignment vertical="top"/>
    </xf>
    <xf numFmtId="0" fontId="0" fillId="0" borderId="97" xfId="0" applyFont="1" applyBorder="1" applyAlignment="1">
      <alignment vertical="top"/>
    </xf>
    <xf numFmtId="0" fontId="73" fillId="42" borderId="143" xfId="0" applyFont="1" applyFill="1" applyBorder="1" applyAlignment="1">
      <alignment vertical="top"/>
    </xf>
    <xf numFmtId="0" fontId="73" fillId="42" borderId="144" xfId="0" applyFont="1" applyFill="1" applyBorder="1" applyAlignment="1">
      <alignment vertical="top"/>
    </xf>
    <xf numFmtId="0" fontId="0" fillId="0" borderId="36" xfId="0" applyFont="1" applyBorder="1" applyAlignment="1">
      <alignment horizontal="left" vertical="top"/>
    </xf>
    <xf numFmtId="0" fontId="0" fillId="0" borderId="145" xfId="0" applyFont="1" applyBorder="1" applyAlignment="1">
      <alignment horizontal="left" vertical="top"/>
    </xf>
    <xf numFmtId="0" fontId="0" fillId="0" borderId="61" xfId="0" applyFont="1" applyBorder="1" applyAlignment="1">
      <alignment vertical="top"/>
    </xf>
    <xf numFmtId="0" fontId="4" fillId="0" borderId="12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25" fillId="0" borderId="131" xfId="0" applyFont="1" applyFill="1" applyBorder="1" applyAlignment="1">
      <alignment horizontal="center" vertical="center" wrapText="1"/>
    </xf>
    <xf numFmtId="0" fontId="25" fillId="0" borderId="146" xfId="0" applyFont="1" applyFill="1" applyBorder="1" applyAlignment="1">
      <alignment horizontal="center" vertical="center" wrapText="1"/>
    </xf>
    <xf numFmtId="0" fontId="25" fillId="0" borderId="13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76" fillId="47" borderId="27" xfId="0" applyFont="1" applyFill="1" applyBorder="1" applyAlignment="1">
      <alignment vertical="top"/>
    </xf>
    <xf numFmtId="0" fontId="76" fillId="47" borderId="31" xfId="0" applyFont="1" applyFill="1" applyBorder="1" applyAlignment="1">
      <alignment vertical="top"/>
    </xf>
    <xf numFmtId="0" fontId="76" fillId="47" borderId="26" xfId="0" applyFont="1" applyFill="1" applyBorder="1" applyAlignment="1">
      <alignment vertical="top"/>
    </xf>
    <xf numFmtId="0" fontId="76" fillId="47" borderId="27" xfId="0" applyFont="1" applyFill="1" applyBorder="1" applyAlignment="1">
      <alignment horizontal="left" vertical="top"/>
    </xf>
    <xf numFmtId="0" fontId="76" fillId="47" borderId="31" xfId="0" applyFont="1" applyFill="1" applyBorder="1" applyAlignment="1">
      <alignment horizontal="left" vertical="top"/>
    </xf>
    <xf numFmtId="0" fontId="76" fillId="47" borderId="26" xfId="0" applyFont="1" applyFill="1" applyBorder="1" applyAlignment="1">
      <alignment horizontal="left" vertical="top"/>
    </xf>
    <xf numFmtId="0" fontId="4" fillId="0" borderId="147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6" fillId="47" borderId="34" xfId="0" applyFont="1" applyFill="1" applyBorder="1" applyAlignment="1">
      <alignment horizontal="left" vertical="top"/>
    </xf>
    <xf numFmtId="0" fontId="76" fillId="47" borderId="25" xfId="0" applyFont="1" applyFill="1" applyBorder="1" applyAlignment="1">
      <alignment horizontal="left" vertical="top"/>
    </xf>
    <xf numFmtId="0" fontId="76" fillId="47" borderId="33" xfId="0" applyFont="1" applyFill="1" applyBorder="1" applyAlignment="1">
      <alignment horizontal="left" vertical="top"/>
    </xf>
    <xf numFmtId="0" fontId="77" fillId="47" borderId="27" xfId="0" applyFont="1" applyFill="1" applyBorder="1" applyAlignment="1">
      <alignment vertical="top"/>
    </xf>
    <xf numFmtId="0" fontId="77" fillId="47" borderId="31" xfId="0" applyFont="1" applyFill="1" applyBorder="1" applyAlignment="1">
      <alignment vertical="top"/>
    </xf>
    <xf numFmtId="0" fontId="77" fillId="47" borderId="26" xfId="0" applyFont="1" applyFill="1" applyBorder="1" applyAlignment="1">
      <alignment vertical="top"/>
    </xf>
    <xf numFmtId="0" fontId="76" fillId="47" borderId="61" xfId="0" applyFont="1" applyFill="1" applyBorder="1" applyAlignment="1">
      <alignment horizontal="left" vertical="top"/>
    </xf>
    <xf numFmtId="0" fontId="76" fillId="47" borderId="65" xfId="0" applyFont="1" applyFill="1" applyBorder="1" applyAlignment="1">
      <alignment horizontal="left" vertical="top"/>
    </xf>
    <xf numFmtId="0" fontId="76" fillId="47" borderId="76" xfId="0" applyFont="1" applyFill="1" applyBorder="1" applyAlignment="1">
      <alignment horizontal="left" vertical="top"/>
    </xf>
    <xf numFmtId="0" fontId="76" fillId="47" borderId="61" xfId="0" applyFont="1" applyFill="1" applyBorder="1" applyAlignment="1">
      <alignment horizontal="left" vertical="top" wrapText="1"/>
    </xf>
    <xf numFmtId="0" fontId="76" fillId="47" borderId="65" xfId="0" applyFont="1" applyFill="1" applyBorder="1" applyAlignment="1">
      <alignment horizontal="left" vertical="top" wrapText="1"/>
    </xf>
    <xf numFmtId="0" fontId="76" fillId="47" borderId="22" xfId="0" applyFont="1" applyFill="1" applyBorder="1" applyAlignment="1">
      <alignment horizontal="left" vertical="top" wrapText="1"/>
    </xf>
    <xf numFmtId="0" fontId="76" fillId="47" borderId="27" xfId="0" applyFont="1" applyFill="1" applyBorder="1" applyAlignment="1">
      <alignment horizontal="left" vertical="top" wrapText="1"/>
    </xf>
    <xf numFmtId="0" fontId="76" fillId="47" borderId="79" xfId="0" applyFont="1" applyFill="1" applyBorder="1" applyAlignment="1">
      <alignment horizontal="left" vertical="top" wrapText="1"/>
    </xf>
    <xf numFmtId="0" fontId="76" fillId="47" borderId="97" xfId="0" applyFont="1" applyFill="1" applyBorder="1" applyAlignment="1">
      <alignment horizontal="left" vertical="top" wrapText="1"/>
    </xf>
    <xf numFmtId="0" fontId="76" fillId="47" borderId="133" xfId="0" applyFont="1" applyFill="1" applyBorder="1" applyAlignment="1">
      <alignment horizontal="left" vertical="top"/>
    </xf>
    <xf numFmtId="0" fontId="76" fillId="47" borderId="127" xfId="0" applyFont="1" applyFill="1" applyBorder="1" applyAlignment="1">
      <alignment horizontal="left" vertical="top"/>
    </xf>
    <xf numFmtId="0" fontId="76" fillId="47" borderId="134" xfId="0" applyFont="1" applyFill="1" applyBorder="1" applyAlignment="1">
      <alignment horizontal="left" vertical="top"/>
    </xf>
    <xf numFmtId="0" fontId="77" fillId="47" borderId="27" xfId="0" applyFont="1" applyFill="1" applyBorder="1" applyAlignment="1">
      <alignment horizontal="left" vertical="top" wrapText="1"/>
    </xf>
    <xf numFmtId="0" fontId="77" fillId="47" borderId="31" xfId="0" applyFont="1" applyFill="1" applyBorder="1" applyAlignment="1">
      <alignment horizontal="left" vertical="top" wrapText="1"/>
    </xf>
    <xf numFmtId="0" fontId="76" fillId="47" borderId="79" xfId="0" applyFont="1" applyFill="1" applyBorder="1" applyAlignment="1">
      <alignment horizontal="left" vertical="center" wrapText="1"/>
    </xf>
    <xf numFmtId="0" fontId="76" fillId="47" borderId="97" xfId="0" applyFont="1" applyFill="1" applyBorder="1" applyAlignment="1">
      <alignment horizontal="left" vertical="center"/>
    </xf>
    <xf numFmtId="0" fontId="77" fillId="47" borderId="34" xfId="0" applyFont="1" applyFill="1" applyBorder="1" applyAlignment="1">
      <alignment horizontal="left" vertical="top"/>
    </xf>
    <xf numFmtId="0" fontId="77" fillId="47" borderId="25" xfId="0" applyFont="1" applyFill="1" applyBorder="1" applyAlignment="1">
      <alignment horizontal="left" vertical="top"/>
    </xf>
    <xf numFmtId="0" fontId="77" fillId="47" borderId="33" xfId="0" applyFont="1" applyFill="1" applyBorder="1" applyAlignment="1">
      <alignment horizontal="left" vertical="top"/>
    </xf>
    <xf numFmtId="0" fontId="76" fillId="47" borderId="135" xfId="0" applyFont="1" applyFill="1" applyBorder="1" applyAlignment="1">
      <alignment horizontal="left" vertical="top"/>
    </xf>
    <xf numFmtId="0" fontId="76" fillId="47" borderId="97" xfId="0" applyFont="1" applyFill="1" applyBorder="1" applyAlignment="1">
      <alignment horizontal="left" vertical="top"/>
    </xf>
    <xf numFmtId="0" fontId="76" fillId="47" borderId="130" xfId="0" applyFont="1" applyFill="1" applyBorder="1" applyAlignment="1">
      <alignment horizontal="left" vertical="center"/>
    </xf>
    <xf numFmtId="0" fontId="76" fillId="47" borderId="16" xfId="0" applyFont="1" applyFill="1" applyBorder="1" applyAlignment="1">
      <alignment vertical="top"/>
    </xf>
    <xf numFmtId="0" fontId="76" fillId="47" borderId="79" xfId="0" applyFont="1" applyFill="1" applyBorder="1" applyAlignment="1">
      <alignment horizontal="left" vertical="top"/>
    </xf>
    <xf numFmtId="0" fontId="76" fillId="47" borderId="130" xfId="0" applyFont="1" applyFill="1" applyBorder="1" applyAlignment="1">
      <alignment horizontal="left" vertical="top"/>
    </xf>
    <xf numFmtId="0" fontId="76" fillId="47" borderId="27" xfId="0" applyFont="1" applyFill="1" applyBorder="1" applyAlignment="1">
      <alignment horizontal="left" vertical="center" wrapText="1"/>
    </xf>
    <xf numFmtId="0" fontId="76" fillId="47" borderId="31" xfId="0" applyFont="1" applyFill="1" applyBorder="1" applyAlignment="1">
      <alignment horizontal="left" vertical="center" wrapText="1"/>
    </xf>
    <xf numFmtId="0" fontId="76" fillId="47" borderId="26" xfId="0" applyFont="1" applyFill="1" applyBorder="1" applyAlignment="1">
      <alignment horizontal="left" vertical="center" wrapText="1"/>
    </xf>
    <xf numFmtId="0" fontId="77" fillId="47" borderId="26" xfId="0" applyFont="1" applyFill="1" applyBorder="1" applyAlignment="1">
      <alignment horizontal="left" vertical="top" wrapText="1"/>
    </xf>
    <xf numFmtId="0" fontId="76" fillId="47" borderId="61" xfId="0" applyFont="1" applyFill="1" applyBorder="1" applyAlignment="1">
      <alignment vertical="top"/>
    </xf>
    <xf numFmtId="0" fontId="76" fillId="47" borderId="65" xfId="0" applyFont="1" applyFill="1" applyBorder="1" applyAlignment="1">
      <alignment vertical="top"/>
    </xf>
    <xf numFmtId="0" fontId="76" fillId="47" borderId="76" xfId="0" applyFont="1" applyFill="1" applyBorder="1" applyAlignment="1">
      <alignment vertical="top"/>
    </xf>
    <xf numFmtId="0" fontId="76" fillId="47" borderId="136" xfId="0" applyFont="1" applyFill="1" applyBorder="1" applyAlignment="1">
      <alignment horizontal="left" vertical="top"/>
    </xf>
    <xf numFmtId="0" fontId="76" fillId="47" borderId="79" xfId="0" applyFont="1" applyFill="1" applyBorder="1" applyAlignment="1">
      <alignment vertical="top"/>
    </xf>
    <xf numFmtId="0" fontId="76" fillId="47" borderId="97" xfId="0" applyFont="1" applyFill="1" applyBorder="1" applyAlignment="1">
      <alignment vertical="top"/>
    </xf>
    <xf numFmtId="0" fontId="73" fillId="42" borderId="148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45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9" fillId="35" borderId="34" xfId="0" applyFont="1" applyFill="1" applyBorder="1" applyAlignment="1">
      <alignment vertical="top"/>
    </xf>
    <xf numFmtId="0" fontId="9" fillId="35" borderId="25" xfId="0" applyFont="1" applyFill="1" applyBorder="1" applyAlignment="1">
      <alignment vertical="top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1" fillId="33" borderId="34" xfId="0" applyFont="1" applyFill="1" applyBorder="1" applyAlignment="1">
      <alignment vertical="top"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2" fillId="0" borderId="34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10" fillId="0" borderId="3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12" fillId="0" borderId="34" xfId="0" applyFont="1" applyBorder="1" applyAlignment="1">
      <alignment horizontal="left" vertical="top" wrapText="1"/>
    </xf>
    <xf numFmtId="0" fontId="9" fillId="35" borderId="33" xfId="0" applyFont="1" applyFill="1" applyBorder="1" applyAlignment="1">
      <alignment vertical="top"/>
    </xf>
    <xf numFmtId="0" fontId="5" fillId="0" borderId="0" xfId="45" applyFont="1" applyBorder="1" applyAlignment="1">
      <alignment horizontal="center" vertical="top"/>
      <protection/>
    </xf>
    <xf numFmtId="0" fontId="5" fillId="0" borderId="131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5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4" fontId="0" fillId="46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8" fontId="0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25" fillId="43" borderId="16" xfId="60" applyFont="1" applyFill="1" applyBorder="1" applyAlignment="1">
      <alignment horizontal="center" vertical="center" wrapText="1"/>
      <protection/>
    </xf>
    <xf numFmtId="49" fontId="4" fillId="0" borderId="88" xfId="60" applyNumberFormat="1" applyFont="1" applyBorder="1" applyAlignment="1">
      <alignment horizontal="center" vertical="center" wrapText="1"/>
      <protection/>
    </xf>
    <xf numFmtId="0" fontId="25" fillId="43" borderId="34" xfId="60" applyFont="1" applyFill="1" applyBorder="1" applyAlignment="1">
      <alignment horizontal="center" vertical="center" wrapText="1"/>
      <protection/>
    </xf>
    <xf numFmtId="0" fontId="25" fillId="43" borderId="33" xfId="60" applyFont="1" applyFill="1" applyBorder="1" applyAlignment="1">
      <alignment horizontal="center" vertical="center" wrapText="1"/>
      <protection/>
    </xf>
    <xf numFmtId="4" fontId="25" fillId="43" borderId="16" xfId="42" applyNumberFormat="1" applyFont="1" applyFill="1" applyBorder="1" applyAlignment="1">
      <alignment horizontal="center" vertical="center" wrapText="1"/>
      <protection/>
    </xf>
    <xf numFmtId="10" fontId="25" fillId="43" borderId="16" xfId="60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rihodi -stara tab." xfId="45"/>
    <cellStyle name="Comma_rashodi-2010.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/>
    <dxf>
      <fill>
        <patternFill patternType="solid">
          <fgColor indexed="60"/>
          <bgColor indexed="10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6C6C"/>
      <rgbColor rgb="00C8C8C8"/>
      <rgbColor rgb="00FCFCF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буџета по програмској класификацији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0345"/>
          <c:w val="0.11275"/>
          <c:h val="0.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'[1]Програмска'!$A$604:$A$618</c:f>
              <c:strCache>
                <c:ptCount val="15"/>
                <c:pt idx="0">
                  <c:v>Програм 1.  Локални развој и просторно планирање</c:v>
                </c:pt>
                <c:pt idx="1">
                  <c:v>Програм 2.  Комунална делатност</c:v>
                </c:pt>
                <c:pt idx="2">
                  <c:v>Програм 3.  Локални економски развој</c:v>
                </c:pt>
                <c:pt idx="3">
                  <c:v>Програм 4.  Развој туризма</c:v>
                </c:pt>
                <c:pt idx="4">
                  <c:v>Програм 5.  Развој пољопривреде</c:v>
                </c:pt>
                <c:pt idx="5">
                  <c:v>Програм 6.  Заштита животне средине</c:v>
                </c:pt>
                <c:pt idx="6">
                  <c:v>Програм 7.  Путна инфраструктура</c:v>
                </c:pt>
                <c:pt idx="7">
                  <c:v>Програм 8.  Предшколско васпитање</c:v>
                </c:pt>
                <c:pt idx="8">
                  <c:v>Програм 9.  Основно образовање</c:v>
                </c:pt>
                <c:pt idx="9">
                  <c:v>Програм 10. Средње образовање</c:v>
                </c:pt>
                <c:pt idx="10">
                  <c:v>Програм 11.  Социјална  и дечја заштита</c:v>
                </c:pt>
                <c:pt idx="11">
                  <c:v>Програм 12.  Примарна здравствена заштита</c:v>
                </c:pt>
                <c:pt idx="12">
                  <c:v>Програм 13.  Развој културе</c:v>
                </c:pt>
                <c:pt idx="13">
                  <c:v>Програм 14.  Развој спорта и омладине</c:v>
                </c:pt>
                <c:pt idx="14">
                  <c:v>Програм 15.  Локална самоуправа</c:v>
                </c:pt>
              </c:strCache>
            </c:strRef>
          </c:cat>
          <c:val>
            <c:numRef>
              <c:f>'[1]Програмска'!$B$604:$B$618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25"/>
          <c:y val="0"/>
          <c:w val="0.32025"/>
          <c:h val="0.9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6C6C6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буџета по функционалној класификацији</a:t>
            </a:r>
          </a:p>
        </c:rich>
      </c:tx>
      <c:layout>
        <c:manualLayout>
          <c:xMode val="factor"/>
          <c:yMode val="factor"/>
          <c:x val="0.006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165"/>
          <c:w val="0.01675"/>
          <c:h val="0.04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('[1]Расх по функц. '!$A$4:$B$4,'[1]Расх по функц. '!$A$14:$B$14,'[1]Расх по функц. '!$A$31:$B$31,'[1]Расх по функц. '!$A$38:$B$38,'[1]Расх по функц. '!$A$78:$B$78,'[1]Расх по функц. '!$A$85:$B$85,'[1]Расх по функц. '!$A$92:$B$92,'[1]Расх по функц. '!$A$110:$B$110,'[1]Расх по функц. '!$A$117:$B$117)</c:f>
              <c:strCache>
                <c:ptCount val="9"/>
                <c:pt idx="0">
                  <c:v>0</c:v>
                </c:pt>
                <c:pt idx="1">
                  <c:v>СОЦИЈАЛНА ЗАШТИТА</c:v>
                </c:pt>
                <c:pt idx="2">
                  <c:v>100</c:v>
                </c:pt>
                <c:pt idx="3">
                  <c:v>ОПШТЕ ЈАВНЕ УСЛУГЕ</c:v>
                </c:pt>
                <c:pt idx="4">
                  <c:v>300</c:v>
                </c:pt>
                <c:pt idx="5">
                  <c:v>ЈАВНИ РЕД И БЕЗБЕДНОСТ</c:v>
                </c:pt>
                <c:pt idx="6">
                  <c:v>400</c:v>
                </c:pt>
                <c:pt idx="7">
                  <c:v>ЕКОНОМСКИ ПОСЛОВИ</c:v>
                </c:pt>
                <c:pt idx="8">
                  <c:v>500</c:v>
                </c:pt>
              </c:strCache>
            </c:strRef>
          </c:cat>
          <c:val>
            <c:numRef>
              <c:f>('[1]Расх по функц. '!$C$4,'[1]Расх по функц. '!$C$14,'[1]Расх по функц. '!$C$31,'[1]Расх по функц. '!$C$38,'[1]Расх по функц. '!$C$78,'[1]Расх по функц. '!$C$85,'[1]Расх по функц. '!$C$92,'[1]Расх по функц. '!$C$110,'[1]Расх по функц. '!$C$117)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25"/>
          <c:y val="0.02925"/>
          <c:w val="0.3265"/>
          <c:h val="0.5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CFCF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406</xdr:row>
      <xdr:rowOff>0</xdr:rowOff>
    </xdr:from>
    <xdr:to>
      <xdr:col>10</xdr:col>
      <xdr:colOff>0</xdr:colOff>
      <xdr:row>406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0" y="69370575"/>
          <a:ext cx="631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406</xdr:row>
      <xdr:rowOff>0</xdr:rowOff>
    </xdr:from>
    <xdr:to>
      <xdr:col>10</xdr:col>
      <xdr:colOff>0</xdr:colOff>
      <xdr:row>406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69370575"/>
          <a:ext cx="631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406</xdr:row>
      <xdr:rowOff>0</xdr:rowOff>
    </xdr:from>
    <xdr:to>
      <xdr:col>10</xdr:col>
      <xdr:colOff>0</xdr:colOff>
      <xdr:row>406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69370575"/>
          <a:ext cx="631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406</xdr:row>
      <xdr:rowOff>0</xdr:rowOff>
    </xdr:from>
    <xdr:to>
      <xdr:col>10</xdr:col>
      <xdr:colOff>0</xdr:colOff>
      <xdr:row>406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69370575"/>
          <a:ext cx="631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409575</xdr:colOff>
      <xdr:row>153</xdr:row>
      <xdr:rowOff>57150</xdr:rowOff>
    </xdr:from>
    <xdr:ext cx="190500" cy="247650"/>
    <xdr:sp>
      <xdr:nvSpPr>
        <xdr:cNvPr id="12" name="TextBox 12"/>
        <xdr:cNvSpPr txBox="1">
          <a:spLocks noChangeArrowheads="1"/>
        </xdr:cNvSpPr>
      </xdr:nvSpPr>
      <xdr:spPr>
        <a:xfrm>
          <a:off x="4305300" y="214884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614</xdr:row>
      <xdr:rowOff>19050</xdr:rowOff>
    </xdr:from>
    <xdr:to>
      <xdr:col>7</xdr:col>
      <xdr:colOff>66675</xdr:colOff>
      <xdr:row>646</xdr:row>
      <xdr:rowOff>152400</xdr:rowOff>
    </xdr:to>
    <xdr:graphicFrame>
      <xdr:nvGraphicFramePr>
        <xdr:cNvPr id="1" name="Chart 2"/>
        <xdr:cNvGraphicFramePr/>
      </xdr:nvGraphicFramePr>
      <xdr:xfrm>
        <a:off x="57150" y="13011150"/>
        <a:ext cx="81438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266700</xdr:rowOff>
    </xdr:from>
    <xdr:to>
      <xdr:col>16</xdr:col>
      <xdr:colOff>114300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8515350" y="457200"/>
        <a:ext cx="5715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.2.2.47\finansija\Users\Finansija1\AppData\Local\Microsoft\Windows\Temporary%20Internet%20Files\Content.Outlook\B3NK28NV\SKGO-PROG.BUD&#381;ET\Model%20odlu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ter4\finansija\finansija_group\Predmeti%202013\1,2,3,4,5\odluka%20budzet2013\LP_Tabe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КОРИСНИЦИМА"/>
      <sheetName val="По основ. нам."/>
      <sheetName val="Рачун финансирања"/>
      <sheetName val="Приџ,прим vs Расх,изд"/>
      <sheetName val="Оптшти део - (6)"/>
      <sheetName val="Капитални расходи"/>
      <sheetName val="Програмска"/>
      <sheetName val="Расх по функц. "/>
      <sheetName val="Класификације"/>
    </sheetNames>
    <sheetDataSet>
      <sheetData sheetId="1">
        <row r="86">
          <cell r="F86">
            <v>0</v>
          </cell>
        </row>
      </sheetData>
      <sheetData sheetId="6">
        <row r="598">
          <cell r="G598">
            <v>0</v>
          </cell>
        </row>
        <row r="604">
          <cell r="A604" t="str">
            <v>Програм 1.  Локални развој и просторно планирање</v>
          </cell>
          <cell r="B604">
            <v>0</v>
          </cell>
        </row>
        <row r="605">
          <cell r="A605" t="str">
            <v>Програм 2.  Комунална делатност</v>
          </cell>
          <cell r="B605">
            <v>0</v>
          </cell>
        </row>
        <row r="606">
          <cell r="A606" t="str">
            <v>Програм 3.  Локални економски развој</v>
          </cell>
          <cell r="B606">
            <v>0</v>
          </cell>
        </row>
        <row r="607">
          <cell r="A607" t="str">
            <v>Програм 4.  Развој туризма</v>
          </cell>
          <cell r="B607">
            <v>0</v>
          </cell>
        </row>
        <row r="608">
          <cell r="A608" t="str">
            <v>Програм 5.  Развој пољопривреде</v>
          </cell>
          <cell r="B608">
            <v>0</v>
          </cell>
        </row>
        <row r="609">
          <cell r="A609" t="str">
            <v>Програм 6.  Заштита животне средине</v>
          </cell>
          <cell r="B609">
            <v>0</v>
          </cell>
        </row>
        <row r="610">
          <cell r="A610" t="str">
            <v>Програм 7.  Путна инфраструктура</v>
          </cell>
          <cell r="B610">
            <v>0</v>
          </cell>
        </row>
        <row r="611">
          <cell r="A611" t="str">
            <v>Програм 8.  Предшколско васпитање</v>
          </cell>
          <cell r="B611">
            <v>0</v>
          </cell>
        </row>
        <row r="612">
          <cell r="A612" t="str">
            <v>Програм 9.  Основно образовање</v>
          </cell>
          <cell r="B612">
            <v>0</v>
          </cell>
        </row>
        <row r="613">
          <cell r="A613" t="str">
            <v>Програм 10. Средње образовање</v>
          </cell>
          <cell r="B613">
            <v>0</v>
          </cell>
        </row>
        <row r="614">
          <cell r="A614" t="str">
            <v>Програм 11.  Социјална  и дечја заштита</v>
          </cell>
          <cell r="B614">
            <v>0</v>
          </cell>
        </row>
        <row r="615">
          <cell r="A615" t="str">
            <v>Програм 12.  Примарна здравствена заштита</v>
          </cell>
          <cell r="B615">
            <v>0</v>
          </cell>
        </row>
        <row r="616">
          <cell r="A616" t="str">
            <v>Програм 13.  Развој културе</v>
          </cell>
          <cell r="B616">
            <v>0</v>
          </cell>
        </row>
        <row r="617">
          <cell r="A617" t="str">
            <v>Програм 14.  Развој спорта и омладине</v>
          </cell>
          <cell r="B617">
            <v>0</v>
          </cell>
        </row>
        <row r="618">
          <cell r="A618" t="str">
            <v>Програм 15.  Локална самоуправа</v>
          </cell>
          <cell r="B618">
            <v>0</v>
          </cell>
        </row>
      </sheetData>
      <sheetData sheetId="7">
        <row r="4">
          <cell r="A4" t="str">
            <v>000</v>
          </cell>
          <cell r="B4" t="str">
            <v>СОЦИЈАЛНА ЗАШТИТА</v>
          </cell>
          <cell r="C4">
            <v>0</v>
          </cell>
        </row>
        <row r="14">
          <cell r="A14" t="str">
            <v>100</v>
          </cell>
          <cell r="B14" t="str">
            <v>ОПШТЕ ЈАВНЕ УСЛУГЕ</v>
          </cell>
          <cell r="C14">
            <v>0</v>
          </cell>
        </row>
        <row r="31">
          <cell r="A31" t="str">
            <v>300</v>
          </cell>
          <cell r="B31" t="str">
            <v>ЈАВНИ РЕД И БЕЗБЕДНОСТ</v>
          </cell>
          <cell r="C31">
            <v>0</v>
          </cell>
        </row>
        <row r="38">
          <cell r="A38" t="str">
            <v>400</v>
          </cell>
          <cell r="B38" t="str">
            <v>ЕКОНОМСКИ ПОСЛОВИ</v>
          </cell>
          <cell r="C38">
            <v>0</v>
          </cell>
        </row>
        <row r="78">
          <cell r="A78" t="str">
            <v>500</v>
          </cell>
          <cell r="B78" t="str">
            <v>ЗАШТИТА ЖИВОТНЕ СРЕДИНЕ</v>
          </cell>
          <cell r="C78">
            <v>0</v>
          </cell>
        </row>
        <row r="85">
          <cell r="A85" t="str">
            <v>600</v>
          </cell>
          <cell r="B85" t="str">
            <v>ПОСЛОВИ СТАНОВАЊА И ЗАЈЕДНИЦЕ</v>
          </cell>
          <cell r="C85">
            <v>0</v>
          </cell>
        </row>
        <row r="92">
          <cell r="A92">
            <v>700</v>
          </cell>
          <cell r="B92" t="str">
            <v>ЗДРАВСТВО</v>
          </cell>
          <cell r="C92">
            <v>0</v>
          </cell>
        </row>
        <row r="110">
          <cell r="A110" t="str">
            <v>800</v>
          </cell>
          <cell r="B110" t="str">
            <v>РЕКРЕАЦИЈА, СПОРТ, КУЛТУРА И ВЕРЕ</v>
          </cell>
          <cell r="C110">
            <v>0</v>
          </cell>
        </row>
        <row r="117">
          <cell r="A117" t="str">
            <v>900</v>
          </cell>
          <cell r="B117" t="str">
            <v>ОБРАЗОВАЊЕ</v>
          </cell>
          <cell r="C117">
            <v>0</v>
          </cell>
        </row>
        <row r="139">
          <cell r="F1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_3-Obracun"/>
    </sheetNames>
    <definedNames>
      <definedName name="Sheet1.Izvoz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61"/>
  <sheetViews>
    <sheetView zoomScalePageLayoutView="0" workbookViewId="0" topLeftCell="A1">
      <pane xSplit="10" ySplit="6" topLeftCell="R480" activePane="bottomRight" state="frozen"/>
      <selection pane="topLeft" activeCell="B1" sqref="B1"/>
      <selection pane="topRight" activeCell="J1" sqref="J1"/>
      <selection pane="bottomLeft" activeCell="B7" sqref="B7"/>
      <selection pane="bottomRight" activeCell="W7" sqref="W7:W507"/>
    </sheetView>
  </sheetViews>
  <sheetFormatPr defaultColWidth="8.8515625" defaultRowHeight="12.75"/>
  <cols>
    <col min="1" max="1" width="2.8515625" style="349" hidden="1" customWidth="1"/>
    <col min="2" max="2" width="3.57421875" style="424" customWidth="1"/>
    <col min="3" max="3" width="6.57421875" style="424" customWidth="1"/>
    <col min="4" max="4" width="5.421875" style="347" customWidth="1"/>
    <col min="5" max="5" width="12.00390625" style="424" customWidth="1"/>
    <col min="6" max="6" width="6.57421875" style="347" customWidth="1"/>
    <col min="7" max="7" width="6.00390625" style="347" customWidth="1"/>
    <col min="8" max="8" width="7.00390625" style="349" customWidth="1"/>
    <col min="9" max="9" width="20.28125" style="349" customWidth="1"/>
    <col min="10" max="10" width="27.28125" style="349" customWidth="1"/>
    <col min="11" max="11" width="17.00390625" style="400" hidden="1" customWidth="1"/>
    <col min="12" max="12" width="16.421875" style="400" hidden="1" customWidth="1"/>
    <col min="13" max="13" width="15.421875" style="356" customWidth="1"/>
    <col min="14" max="14" width="13.28125" style="349" customWidth="1"/>
    <col min="15" max="15" width="15.421875" style="349" customWidth="1"/>
    <col min="16" max="17" width="14.8515625" style="349" customWidth="1"/>
    <col min="18" max="18" width="11.57421875" style="349" customWidth="1"/>
    <col min="19" max="19" width="11.140625" style="349" customWidth="1"/>
    <col min="20" max="20" width="15.57421875" style="349" hidden="1" customWidth="1"/>
    <col min="21" max="21" width="17.140625" style="360" customWidth="1"/>
    <col min="22" max="23" width="16.00390625" style="360" customWidth="1"/>
    <col min="24" max="26" width="16.00390625" style="349" customWidth="1"/>
    <col min="27" max="27" width="14.8515625" style="349" customWidth="1"/>
    <col min="28" max="32" width="8.8515625" style="349" customWidth="1"/>
    <col min="33" max="16384" width="8.8515625" style="349" customWidth="1"/>
  </cols>
  <sheetData>
    <row r="1" spans="2:3" ht="12.75">
      <c r="B1" s="44" t="s">
        <v>134</v>
      </c>
      <c r="C1" s="45"/>
    </row>
    <row r="2" spans="2:16" ht="12.75">
      <c r="B2" s="46" t="s">
        <v>135</v>
      </c>
      <c r="I2" s="1675" t="s">
        <v>1520</v>
      </c>
      <c r="J2" s="1675"/>
      <c r="K2" s="1675"/>
      <c r="L2" s="1675"/>
      <c r="M2" s="1675"/>
      <c r="N2" s="1675"/>
      <c r="O2" s="1675"/>
      <c r="P2" s="1675"/>
    </row>
    <row r="3" spans="6:16" ht="12.75">
      <c r="F3" s="47"/>
      <c r="G3" s="47"/>
      <c r="H3" s="47"/>
      <c r="I3" s="48"/>
      <c r="J3" s="595"/>
      <c r="K3" s="909"/>
      <c r="L3" s="909"/>
      <c r="M3" s="595"/>
      <c r="N3" s="595"/>
      <c r="O3" s="595"/>
      <c r="P3" s="595"/>
    </row>
    <row r="4" spans="6:23" ht="27.75" customHeight="1" hidden="1">
      <c r="F4" s="47"/>
      <c r="G4" s="47"/>
      <c r="H4" s="47"/>
      <c r="I4" s="331"/>
      <c r="J4" s="182"/>
      <c r="K4" s="909"/>
      <c r="L4" s="909"/>
      <c r="M4" s="1649"/>
      <c r="N4" s="1650"/>
      <c r="O4" s="1650"/>
      <c r="P4" s="1650"/>
      <c r="Q4" s="1650"/>
      <c r="R4" s="1650"/>
      <c r="S4" s="1650"/>
      <c r="T4" s="1650"/>
      <c r="U4" s="1650"/>
      <c r="V4" s="349"/>
      <c r="W4" s="349"/>
    </row>
    <row r="5" spans="2:22" ht="21.75" customHeight="1" thickBot="1">
      <c r="B5" s="49"/>
      <c r="C5" s="425"/>
      <c r="D5" s="50"/>
      <c r="E5" s="49"/>
      <c r="F5" s="426"/>
      <c r="G5" s="426"/>
      <c r="H5" s="427"/>
      <c r="I5" s="427"/>
      <c r="J5" s="427"/>
      <c r="K5" s="910"/>
      <c r="L5" s="910"/>
      <c r="M5" s="403"/>
      <c r="N5" s="377"/>
      <c r="O5" s="377"/>
      <c r="P5" s="377"/>
      <c r="R5" s="349" t="s">
        <v>1506</v>
      </c>
      <c r="S5" s="377"/>
      <c r="T5" s="377"/>
      <c r="U5" s="791"/>
      <c r="V5" s="715"/>
    </row>
    <row r="6" spans="2:23" ht="81" customHeight="1" thickBot="1" thickTop="1">
      <c r="B6" s="69" t="s">
        <v>130</v>
      </c>
      <c r="C6" s="70" t="s">
        <v>131</v>
      </c>
      <c r="D6" s="70" t="s">
        <v>132</v>
      </c>
      <c r="E6" s="281" t="s">
        <v>283</v>
      </c>
      <c r="F6" s="70" t="s">
        <v>282</v>
      </c>
      <c r="G6" s="71" t="s">
        <v>133</v>
      </c>
      <c r="H6" s="1651" t="s">
        <v>77</v>
      </c>
      <c r="I6" s="1651"/>
      <c r="J6" s="1651"/>
      <c r="K6" s="1099">
        <v>0</v>
      </c>
      <c r="L6" s="1100">
        <v>0</v>
      </c>
      <c r="M6" s="1484" t="s">
        <v>1585</v>
      </c>
      <c r="N6" s="172" t="s">
        <v>1318</v>
      </c>
      <c r="O6" s="172" t="s">
        <v>1216</v>
      </c>
      <c r="P6" s="172" t="s">
        <v>1217</v>
      </c>
      <c r="Q6" s="172" t="s">
        <v>1218</v>
      </c>
      <c r="R6" s="172" t="s">
        <v>1219</v>
      </c>
      <c r="S6" s="172" t="s">
        <v>1220</v>
      </c>
      <c r="T6" s="378" t="s">
        <v>1184</v>
      </c>
      <c r="U6" s="834" t="s">
        <v>1369</v>
      </c>
      <c r="V6" s="834" t="s">
        <v>1497</v>
      </c>
      <c r="W6" s="834" t="s">
        <v>1519</v>
      </c>
    </row>
    <row r="7" spans="2:23" s="500" customFormat="1" ht="12.75">
      <c r="B7" s="494">
        <v>1</v>
      </c>
      <c r="C7" s="495"/>
      <c r="D7" s="496"/>
      <c r="E7" s="497"/>
      <c r="F7" s="496"/>
      <c r="G7" s="496"/>
      <c r="H7" s="1642" t="s">
        <v>78</v>
      </c>
      <c r="I7" s="1643"/>
      <c r="J7" s="1644"/>
      <c r="K7" s="911">
        <f aca="true" t="shared" si="0" ref="K7:S7">K8+K27</f>
        <v>11953000</v>
      </c>
      <c r="L7" s="911">
        <f t="shared" si="0"/>
        <v>12880238.829999998</v>
      </c>
      <c r="M7" s="911">
        <f t="shared" si="0"/>
        <v>13968000</v>
      </c>
      <c r="N7" s="508">
        <f t="shared" si="0"/>
        <v>0</v>
      </c>
      <c r="O7" s="508">
        <f t="shared" si="0"/>
        <v>0</v>
      </c>
      <c r="P7" s="508">
        <f t="shared" si="0"/>
        <v>0</v>
      </c>
      <c r="Q7" s="508">
        <f t="shared" si="0"/>
        <v>0</v>
      </c>
      <c r="R7" s="508">
        <f t="shared" si="0"/>
        <v>0</v>
      </c>
      <c r="S7" s="508">
        <f t="shared" si="0"/>
        <v>0</v>
      </c>
      <c r="T7" s="509">
        <f>SUM(N7:S7)</f>
        <v>0</v>
      </c>
      <c r="U7" s="835">
        <f aca="true" t="shared" si="1" ref="U7:U23">M7+N7+O7+P7+Q7+R7+S7</f>
        <v>13968000</v>
      </c>
      <c r="V7" s="835">
        <v>13968000</v>
      </c>
      <c r="W7" s="835">
        <v>13968000</v>
      </c>
    </row>
    <row r="8" spans="2:23" ht="12.75">
      <c r="B8" s="284"/>
      <c r="C8" s="285"/>
      <c r="D8" s="428"/>
      <c r="E8" s="610" t="s">
        <v>1199</v>
      </c>
      <c r="F8" s="428"/>
      <c r="G8" s="429"/>
      <c r="H8" s="1511" t="s">
        <v>1198</v>
      </c>
      <c r="I8" s="1512"/>
      <c r="J8" s="1512"/>
      <c r="K8" s="957">
        <f>K9</f>
        <v>11753000</v>
      </c>
      <c r="L8" s="957">
        <f>L9</f>
        <v>12880238.829999998</v>
      </c>
      <c r="M8" s="957">
        <f>M9</f>
        <v>13768000</v>
      </c>
      <c r="N8" s="286">
        <f aca="true" t="shared" si="2" ref="N8:S8">N9</f>
        <v>0</v>
      </c>
      <c r="O8" s="286">
        <f t="shared" si="2"/>
        <v>0</v>
      </c>
      <c r="P8" s="286">
        <f t="shared" si="2"/>
        <v>0</v>
      </c>
      <c r="Q8" s="286">
        <f t="shared" si="2"/>
        <v>0</v>
      </c>
      <c r="R8" s="286">
        <f t="shared" si="2"/>
        <v>0</v>
      </c>
      <c r="S8" s="286">
        <f t="shared" si="2"/>
        <v>0</v>
      </c>
      <c r="T8" s="334">
        <f aca="true" t="shared" si="3" ref="T8:T70">SUM(N8:S8)</f>
        <v>0</v>
      </c>
      <c r="U8" s="845">
        <f t="shared" si="1"/>
        <v>13768000</v>
      </c>
      <c r="V8" s="652">
        <v>13768000</v>
      </c>
      <c r="W8" s="652">
        <v>13768000</v>
      </c>
    </row>
    <row r="9" spans="2:23" ht="14.25" customHeight="1">
      <c r="B9" s="284"/>
      <c r="C9" s="285"/>
      <c r="D9" s="428"/>
      <c r="E9" s="346" t="s">
        <v>1200</v>
      </c>
      <c r="F9" s="428"/>
      <c r="G9" s="429"/>
      <c r="H9" s="1537" t="s">
        <v>1201</v>
      </c>
      <c r="I9" s="1600"/>
      <c r="J9" s="1600"/>
      <c r="K9" s="1062">
        <f aca="true" t="shared" si="4" ref="K9:S9">K10</f>
        <v>11753000</v>
      </c>
      <c r="L9" s="1062">
        <f t="shared" si="4"/>
        <v>12880238.829999998</v>
      </c>
      <c r="M9" s="1062">
        <f t="shared" si="4"/>
        <v>13768000</v>
      </c>
      <c r="N9" s="290">
        <f t="shared" si="4"/>
        <v>0</v>
      </c>
      <c r="O9" s="290">
        <f t="shared" si="4"/>
        <v>0</v>
      </c>
      <c r="P9" s="290">
        <f t="shared" si="4"/>
        <v>0</v>
      </c>
      <c r="Q9" s="290">
        <f t="shared" si="4"/>
        <v>0</v>
      </c>
      <c r="R9" s="290">
        <f t="shared" si="4"/>
        <v>0</v>
      </c>
      <c r="S9" s="290">
        <f t="shared" si="4"/>
        <v>0</v>
      </c>
      <c r="T9" s="335">
        <f t="shared" si="3"/>
        <v>0</v>
      </c>
      <c r="U9" s="845">
        <f t="shared" si="1"/>
        <v>13768000</v>
      </c>
      <c r="V9" s="652">
        <v>13768000</v>
      </c>
      <c r="W9" s="652">
        <v>13768000</v>
      </c>
    </row>
    <row r="10" spans="2:23" ht="24.75" customHeight="1">
      <c r="B10" s="430"/>
      <c r="C10" s="431"/>
      <c r="D10" s="56">
        <v>110</v>
      </c>
      <c r="E10" s="58"/>
      <c r="F10" s="432"/>
      <c r="G10" s="433"/>
      <c r="H10" s="1652" t="s">
        <v>1221</v>
      </c>
      <c r="I10" s="1527"/>
      <c r="J10" s="1527"/>
      <c r="K10" s="838">
        <f aca="true" t="shared" si="5" ref="K10:S10">SUM(K11:K26)</f>
        <v>11753000</v>
      </c>
      <c r="L10" s="838">
        <f>SUM(L11:L26)</f>
        <v>12880238.829999998</v>
      </c>
      <c r="M10" s="838">
        <f t="shared" si="5"/>
        <v>13768000</v>
      </c>
      <c r="N10" s="616">
        <f t="shared" si="5"/>
        <v>0</v>
      </c>
      <c r="O10" s="616">
        <f t="shared" si="5"/>
        <v>0</v>
      </c>
      <c r="P10" s="616">
        <f t="shared" si="5"/>
        <v>0</v>
      </c>
      <c r="Q10" s="616">
        <f t="shared" si="5"/>
        <v>0</v>
      </c>
      <c r="R10" s="616">
        <f t="shared" si="5"/>
        <v>0</v>
      </c>
      <c r="S10" s="616">
        <f t="shared" si="5"/>
        <v>0</v>
      </c>
      <c r="T10" s="617">
        <f t="shared" si="3"/>
        <v>0</v>
      </c>
      <c r="U10" s="1175">
        <f t="shared" si="1"/>
        <v>13768000</v>
      </c>
      <c r="V10" s="837">
        <v>13768000</v>
      </c>
      <c r="W10" s="1175">
        <v>13768000</v>
      </c>
    </row>
    <row r="11" spans="2:23" s="356" customFormat="1" ht="12.75">
      <c r="B11" s="350"/>
      <c r="C11" s="357"/>
      <c r="D11" s="352"/>
      <c r="E11" s="357"/>
      <c r="F11" s="368">
        <v>1</v>
      </c>
      <c r="G11" s="434">
        <v>411</v>
      </c>
      <c r="H11" s="1492" t="s">
        <v>27</v>
      </c>
      <c r="I11" s="1493"/>
      <c r="J11" s="1494"/>
      <c r="K11" s="922">
        <v>2176000</v>
      </c>
      <c r="L11" s="922">
        <v>1606881.5799999998</v>
      </c>
      <c r="M11" s="922">
        <v>3976000</v>
      </c>
      <c r="N11" s="411">
        <v>0</v>
      </c>
      <c r="O11" s="411">
        <v>0</v>
      </c>
      <c r="P11" s="411">
        <v>0</v>
      </c>
      <c r="Q11" s="414">
        <v>0</v>
      </c>
      <c r="R11" s="414">
        <v>0</v>
      </c>
      <c r="S11" s="414">
        <v>0</v>
      </c>
      <c r="T11" s="414">
        <f t="shared" si="3"/>
        <v>0</v>
      </c>
      <c r="U11" s="844">
        <f t="shared" si="1"/>
        <v>3976000</v>
      </c>
      <c r="V11" s="608">
        <v>3976000</v>
      </c>
      <c r="W11" s="844">
        <v>3976000</v>
      </c>
    </row>
    <row r="12" spans="2:23" s="356" customFormat="1" ht="12.75">
      <c r="B12" s="350"/>
      <c r="C12" s="357"/>
      <c r="D12" s="352"/>
      <c r="E12" s="357"/>
      <c r="F12" s="368">
        <v>2</v>
      </c>
      <c r="G12" s="434">
        <v>412</v>
      </c>
      <c r="H12" s="1492" t="s">
        <v>79</v>
      </c>
      <c r="I12" s="1493"/>
      <c r="J12" s="1494"/>
      <c r="K12" s="914">
        <v>387000</v>
      </c>
      <c r="L12" s="914">
        <v>267545.79</v>
      </c>
      <c r="M12" s="914">
        <v>597000</v>
      </c>
      <c r="N12" s="411">
        <v>0</v>
      </c>
      <c r="O12" s="411">
        <v>0</v>
      </c>
      <c r="P12" s="411">
        <v>0</v>
      </c>
      <c r="Q12" s="414">
        <v>0</v>
      </c>
      <c r="R12" s="414">
        <v>0</v>
      </c>
      <c r="S12" s="414">
        <v>0</v>
      </c>
      <c r="T12" s="414">
        <f t="shared" si="3"/>
        <v>0</v>
      </c>
      <c r="U12" s="844">
        <f t="shared" si="1"/>
        <v>597000</v>
      </c>
      <c r="V12" s="608">
        <v>597000</v>
      </c>
      <c r="W12" s="844">
        <v>597000</v>
      </c>
    </row>
    <row r="13" spans="2:23" s="356" customFormat="1" ht="12.75">
      <c r="B13" s="350"/>
      <c r="C13" s="357"/>
      <c r="D13" s="352"/>
      <c r="E13" s="357"/>
      <c r="F13" s="368">
        <v>3</v>
      </c>
      <c r="G13" s="434">
        <v>414</v>
      </c>
      <c r="H13" s="1495" t="s">
        <v>203</v>
      </c>
      <c r="I13" s="1496"/>
      <c r="J13" s="1497"/>
      <c r="K13" s="914">
        <v>110000</v>
      </c>
      <c r="L13" s="914">
        <v>0</v>
      </c>
      <c r="M13" s="914">
        <v>110000</v>
      </c>
      <c r="N13" s="411">
        <v>0</v>
      </c>
      <c r="O13" s="411">
        <v>0</v>
      </c>
      <c r="P13" s="411">
        <v>0</v>
      </c>
      <c r="Q13" s="414">
        <v>0</v>
      </c>
      <c r="R13" s="414">
        <v>0</v>
      </c>
      <c r="S13" s="414">
        <v>0</v>
      </c>
      <c r="T13" s="414">
        <f t="shared" si="3"/>
        <v>0</v>
      </c>
      <c r="U13" s="844">
        <f t="shared" si="1"/>
        <v>110000</v>
      </c>
      <c r="V13" s="608">
        <v>110000</v>
      </c>
      <c r="W13" s="844">
        <v>110000</v>
      </c>
    </row>
    <row r="14" spans="2:23" s="356" customFormat="1" ht="12.75">
      <c r="B14" s="350"/>
      <c r="C14" s="357"/>
      <c r="D14" s="352"/>
      <c r="E14" s="357"/>
      <c r="F14" s="368">
        <v>4</v>
      </c>
      <c r="G14" s="434">
        <v>415</v>
      </c>
      <c r="H14" s="1492" t="s">
        <v>31</v>
      </c>
      <c r="I14" s="1493"/>
      <c r="J14" s="1494"/>
      <c r="K14" s="914">
        <v>360000</v>
      </c>
      <c r="L14" s="914">
        <v>166655.54999999996</v>
      </c>
      <c r="M14" s="914">
        <v>360000</v>
      </c>
      <c r="N14" s="411">
        <v>0</v>
      </c>
      <c r="O14" s="411">
        <v>0</v>
      </c>
      <c r="P14" s="411">
        <v>0</v>
      </c>
      <c r="Q14" s="414">
        <v>0</v>
      </c>
      <c r="R14" s="414">
        <v>0</v>
      </c>
      <c r="S14" s="414">
        <v>0</v>
      </c>
      <c r="T14" s="414">
        <f t="shared" si="3"/>
        <v>0</v>
      </c>
      <c r="U14" s="844">
        <f t="shared" si="1"/>
        <v>360000</v>
      </c>
      <c r="V14" s="608">
        <v>360000</v>
      </c>
      <c r="W14" s="844">
        <v>360000</v>
      </c>
    </row>
    <row r="15" spans="2:23" s="356" customFormat="1" ht="12.75">
      <c r="B15" s="350"/>
      <c r="C15" s="357"/>
      <c r="D15" s="352"/>
      <c r="E15" s="357"/>
      <c r="F15" s="368">
        <v>5</v>
      </c>
      <c r="G15" s="434">
        <v>416</v>
      </c>
      <c r="H15" s="1495" t="s">
        <v>200</v>
      </c>
      <c r="I15" s="1496"/>
      <c r="J15" s="1497"/>
      <c r="K15" s="914">
        <v>100000</v>
      </c>
      <c r="L15" s="914">
        <v>71191.33</v>
      </c>
      <c r="M15" s="914">
        <v>100000</v>
      </c>
      <c r="N15" s="411">
        <v>0</v>
      </c>
      <c r="O15" s="411">
        <v>0</v>
      </c>
      <c r="P15" s="411">
        <v>0</v>
      </c>
      <c r="Q15" s="414">
        <v>0</v>
      </c>
      <c r="R15" s="414">
        <v>0</v>
      </c>
      <c r="S15" s="414">
        <v>0</v>
      </c>
      <c r="T15" s="414">
        <f t="shared" si="3"/>
        <v>0</v>
      </c>
      <c r="U15" s="844">
        <f t="shared" si="1"/>
        <v>100000</v>
      </c>
      <c r="V15" s="608">
        <v>100000</v>
      </c>
      <c r="W15" s="844">
        <v>100000</v>
      </c>
    </row>
    <row r="16" spans="2:23" s="356" customFormat="1" ht="12.75">
      <c r="B16" s="350"/>
      <c r="C16" s="357"/>
      <c r="D16" s="352"/>
      <c r="E16" s="357"/>
      <c r="F16" s="368">
        <v>6</v>
      </c>
      <c r="G16" s="434">
        <v>421</v>
      </c>
      <c r="H16" s="1495" t="s">
        <v>33</v>
      </c>
      <c r="I16" s="1496"/>
      <c r="J16" s="1497"/>
      <c r="K16" s="914">
        <v>45000</v>
      </c>
      <c r="L16" s="914">
        <v>4412.21</v>
      </c>
      <c r="M16" s="914">
        <v>45000</v>
      </c>
      <c r="N16" s="411">
        <v>0</v>
      </c>
      <c r="O16" s="411">
        <v>0</v>
      </c>
      <c r="P16" s="411">
        <v>0</v>
      </c>
      <c r="Q16" s="414">
        <v>0</v>
      </c>
      <c r="R16" s="414">
        <v>0</v>
      </c>
      <c r="S16" s="414">
        <v>0</v>
      </c>
      <c r="T16" s="414">
        <f t="shared" si="3"/>
        <v>0</v>
      </c>
      <c r="U16" s="844">
        <f t="shared" si="1"/>
        <v>45000</v>
      </c>
      <c r="V16" s="608">
        <v>45000</v>
      </c>
      <c r="W16" s="844">
        <v>45000</v>
      </c>
    </row>
    <row r="17" spans="2:23" s="356" customFormat="1" ht="12.75">
      <c r="B17" s="350"/>
      <c r="C17" s="357"/>
      <c r="D17" s="352"/>
      <c r="E17" s="357"/>
      <c r="F17" s="368" t="s">
        <v>1582</v>
      </c>
      <c r="G17" s="434">
        <v>421</v>
      </c>
      <c r="H17" s="367" t="s">
        <v>1583</v>
      </c>
      <c r="I17" s="437"/>
      <c r="J17" s="438"/>
      <c r="K17" s="914"/>
      <c r="L17" s="914"/>
      <c r="M17" s="914">
        <v>5000</v>
      </c>
      <c r="N17" s="411">
        <v>0</v>
      </c>
      <c r="O17" s="411">
        <v>0</v>
      </c>
      <c r="P17" s="411">
        <v>0</v>
      </c>
      <c r="Q17" s="414">
        <v>0</v>
      </c>
      <c r="R17" s="414">
        <v>0</v>
      </c>
      <c r="S17" s="414">
        <v>0</v>
      </c>
      <c r="T17" s="414">
        <f t="shared" si="3"/>
        <v>0</v>
      </c>
      <c r="U17" s="844">
        <f t="shared" si="1"/>
        <v>5000</v>
      </c>
      <c r="V17" s="608">
        <v>5000</v>
      </c>
      <c r="W17" s="844">
        <v>5000</v>
      </c>
    </row>
    <row r="18" spans="2:23" s="356" customFormat="1" ht="12.75">
      <c r="B18" s="350"/>
      <c r="C18" s="357"/>
      <c r="D18" s="352"/>
      <c r="E18" s="357"/>
      <c r="F18" s="368">
        <v>7</v>
      </c>
      <c r="G18" s="434">
        <v>422</v>
      </c>
      <c r="H18" s="1495" t="s">
        <v>34</v>
      </c>
      <c r="I18" s="1496"/>
      <c r="J18" s="1497"/>
      <c r="K18" s="914">
        <v>20000</v>
      </c>
      <c r="L18" s="914">
        <v>0</v>
      </c>
      <c r="M18" s="914">
        <v>20000</v>
      </c>
      <c r="N18" s="411">
        <v>0</v>
      </c>
      <c r="O18" s="411">
        <v>0</v>
      </c>
      <c r="P18" s="411">
        <v>0</v>
      </c>
      <c r="Q18" s="414">
        <v>0</v>
      </c>
      <c r="R18" s="414">
        <v>0</v>
      </c>
      <c r="S18" s="414">
        <v>0</v>
      </c>
      <c r="T18" s="414">
        <f t="shared" si="3"/>
        <v>0</v>
      </c>
      <c r="U18" s="844">
        <f t="shared" si="1"/>
        <v>20000</v>
      </c>
      <c r="V18" s="608">
        <v>20000</v>
      </c>
      <c r="W18" s="844">
        <v>20000</v>
      </c>
    </row>
    <row r="19" spans="2:23" s="356" customFormat="1" ht="12.75">
      <c r="B19" s="350"/>
      <c r="C19" s="357"/>
      <c r="D19" s="352"/>
      <c r="E19" s="357"/>
      <c r="F19" s="368">
        <v>8</v>
      </c>
      <c r="G19" s="444">
        <v>423</v>
      </c>
      <c r="H19" s="1508" t="s">
        <v>1370</v>
      </c>
      <c r="I19" s="1509"/>
      <c r="J19" s="1510"/>
      <c r="K19" s="746">
        <v>3500000</v>
      </c>
      <c r="L19" s="746">
        <v>10002106.81</v>
      </c>
      <c r="M19" s="746">
        <v>3500000</v>
      </c>
      <c r="N19" s="411">
        <v>0</v>
      </c>
      <c r="O19" s="411">
        <v>0</v>
      </c>
      <c r="P19" s="411">
        <v>0</v>
      </c>
      <c r="Q19" s="414">
        <v>0</v>
      </c>
      <c r="R19" s="414">
        <v>0</v>
      </c>
      <c r="S19" s="414">
        <v>0</v>
      </c>
      <c r="T19" s="414">
        <f t="shared" si="3"/>
        <v>0</v>
      </c>
      <c r="U19" s="844">
        <f t="shared" si="1"/>
        <v>3500000</v>
      </c>
      <c r="V19" s="608">
        <v>3500000</v>
      </c>
      <c r="W19" s="844">
        <v>3500000</v>
      </c>
    </row>
    <row r="20" spans="2:23" s="356" customFormat="1" ht="12.75">
      <c r="B20" s="350"/>
      <c r="C20" s="357"/>
      <c r="D20" s="352"/>
      <c r="E20" s="357"/>
      <c r="F20" s="368">
        <v>9</v>
      </c>
      <c r="G20" s="444">
        <v>423</v>
      </c>
      <c r="H20" s="1517" t="s">
        <v>1419</v>
      </c>
      <c r="I20" s="1518"/>
      <c r="J20" s="1519"/>
      <c r="K20" s="746">
        <v>350000</v>
      </c>
      <c r="L20" s="746">
        <v>152830.2</v>
      </c>
      <c r="M20" s="746">
        <v>350000</v>
      </c>
      <c r="N20" s="411">
        <v>0</v>
      </c>
      <c r="O20" s="411">
        <v>0</v>
      </c>
      <c r="P20" s="411">
        <v>0</v>
      </c>
      <c r="Q20" s="414">
        <v>0</v>
      </c>
      <c r="R20" s="414">
        <v>0</v>
      </c>
      <c r="S20" s="414">
        <v>0</v>
      </c>
      <c r="T20" s="414">
        <f t="shared" si="3"/>
        <v>0</v>
      </c>
      <c r="U20" s="844">
        <f t="shared" si="1"/>
        <v>350000</v>
      </c>
      <c r="V20" s="608">
        <v>350000</v>
      </c>
      <c r="W20" s="844">
        <v>350000</v>
      </c>
    </row>
    <row r="21" spans="2:23" s="356" customFormat="1" ht="12.75">
      <c r="B21" s="350"/>
      <c r="C21" s="357"/>
      <c r="D21" s="352"/>
      <c r="E21" s="357"/>
      <c r="F21" s="368">
        <v>10</v>
      </c>
      <c r="G21" s="434">
        <v>423</v>
      </c>
      <c r="H21" s="1495" t="s">
        <v>1371</v>
      </c>
      <c r="I21" s="1496"/>
      <c r="J21" s="1497"/>
      <c r="K21" s="914">
        <v>850000</v>
      </c>
      <c r="L21" s="914">
        <v>340132.1900000001</v>
      </c>
      <c r="M21" s="914">
        <v>850000</v>
      </c>
      <c r="N21" s="411">
        <v>0</v>
      </c>
      <c r="O21" s="411">
        <v>0</v>
      </c>
      <c r="P21" s="411">
        <v>0</v>
      </c>
      <c r="Q21" s="414">
        <v>0</v>
      </c>
      <c r="R21" s="414">
        <v>0</v>
      </c>
      <c r="S21" s="414">
        <v>0</v>
      </c>
      <c r="T21" s="414">
        <f t="shared" si="3"/>
        <v>0</v>
      </c>
      <c r="U21" s="844">
        <f t="shared" si="1"/>
        <v>850000</v>
      </c>
      <c r="V21" s="608">
        <v>850000</v>
      </c>
      <c r="W21" s="844">
        <v>850000</v>
      </c>
    </row>
    <row r="22" spans="2:23" s="356" customFormat="1" ht="12.75">
      <c r="B22" s="350"/>
      <c r="C22" s="357"/>
      <c r="D22" s="352"/>
      <c r="E22" s="357"/>
      <c r="F22" s="368">
        <v>11</v>
      </c>
      <c r="G22" s="434">
        <v>423</v>
      </c>
      <c r="H22" s="1495" t="s">
        <v>35</v>
      </c>
      <c r="I22" s="1496"/>
      <c r="J22" s="1497"/>
      <c r="K22" s="914">
        <v>450000</v>
      </c>
      <c r="L22" s="914">
        <v>101821.32</v>
      </c>
      <c r="M22" s="914">
        <v>450000</v>
      </c>
      <c r="N22" s="411">
        <v>0</v>
      </c>
      <c r="O22" s="411">
        <v>0</v>
      </c>
      <c r="P22" s="411">
        <v>0</v>
      </c>
      <c r="Q22" s="414">
        <v>0</v>
      </c>
      <c r="R22" s="414">
        <v>0</v>
      </c>
      <c r="S22" s="414">
        <v>0</v>
      </c>
      <c r="T22" s="414">
        <f t="shared" si="3"/>
        <v>0</v>
      </c>
      <c r="U22" s="844">
        <f t="shared" si="1"/>
        <v>450000</v>
      </c>
      <c r="V22" s="608">
        <v>450000</v>
      </c>
      <c r="W22" s="844">
        <v>450000</v>
      </c>
    </row>
    <row r="23" spans="2:23" s="356" customFormat="1" ht="12.75">
      <c r="B23" s="350"/>
      <c r="C23" s="357"/>
      <c r="D23" s="352"/>
      <c r="E23" s="357"/>
      <c r="F23" s="368" t="s">
        <v>1571</v>
      </c>
      <c r="G23" s="434">
        <v>423</v>
      </c>
      <c r="H23" s="1495" t="s">
        <v>1532</v>
      </c>
      <c r="I23" s="1496"/>
      <c r="J23" s="1497"/>
      <c r="K23" s="914">
        <v>2960000</v>
      </c>
      <c r="L23" s="914">
        <v>0</v>
      </c>
      <c r="M23" s="914">
        <v>2960000</v>
      </c>
      <c r="N23" s="411">
        <v>0</v>
      </c>
      <c r="O23" s="411">
        <v>0</v>
      </c>
      <c r="P23" s="411">
        <v>0</v>
      </c>
      <c r="Q23" s="414">
        <v>0</v>
      </c>
      <c r="R23" s="414">
        <v>0</v>
      </c>
      <c r="S23" s="414">
        <v>0</v>
      </c>
      <c r="T23" s="414">
        <f t="shared" si="3"/>
        <v>0</v>
      </c>
      <c r="U23" s="844">
        <f t="shared" si="1"/>
        <v>2960000</v>
      </c>
      <c r="V23" s="608">
        <v>2960000</v>
      </c>
      <c r="W23" s="844">
        <v>2960000</v>
      </c>
    </row>
    <row r="24" spans="2:23" s="356" customFormat="1" ht="12.75">
      <c r="B24" s="350"/>
      <c r="C24" s="357"/>
      <c r="D24" s="352"/>
      <c r="E24" s="357"/>
      <c r="F24" s="368">
        <v>12</v>
      </c>
      <c r="G24" s="434">
        <v>426</v>
      </c>
      <c r="H24" s="1495" t="s">
        <v>38</v>
      </c>
      <c r="I24" s="1496"/>
      <c r="J24" s="1497"/>
      <c r="K24" s="914">
        <v>195000</v>
      </c>
      <c r="L24" s="914">
        <v>78606</v>
      </c>
      <c r="M24" s="914">
        <v>195000</v>
      </c>
      <c r="N24" s="411">
        <v>0</v>
      </c>
      <c r="O24" s="411">
        <v>0</v>
      </c>
      <c r="P24" s="411">
        <v>0</v>
      </c>
      <c r="Q24" s="414">
        <v>0</v>
      </c>
      <c r="R24" s="414">
        <v>0</v>
      </c>
      <c r="S24" s="414">
        <v>0</v>
      </c>
      <c r="T24" s="414">
        <f t="shared" si="3"/>
        <v>0</v>
      </c>
      <c r="U24" s="844">
        <f>M24+N24+O24+P24+Q24+R24+S24</f>
        <v>195000</v>
      </c>
      <c r="V24" s="608">
        <v>195000</v>
      </c>
      <c r="W24" s="844">
        <v>195000</v>
      </c>
    </row>
    <row r="25" spans="2:23" s="356" customFormat="1" ht="12.75">
      <c r="B25" s="350"/>
      <c r="C25" s="357"/>
      <c r="D25" s="352"/>
      <c r="E25" s="357"/>
      <c r="F25" s="368" t="s">
        <v>1572</v>
      </c>
      <c r="G25" s="434">
        <v>426</v>
      </c>
      <c r="H25" s="1181" t="s">
        <v>1531</v>
      </c>
      <c r="I25" s="1182"/>
      <c r="J25" s="1184"/>
      <c r="K25" s="915">
        <v>35000</v>
      </c>
      <c r="L25" s="915">
        <v>0</v>
      </c>
      <c r="M25" s="1125">
        <v>35000</v>
      </c>
      <c r="N25" s="404">
        <v>0</v>
      </c>
      <c r="O25" s="411">
        <v>0</v>
      </c>
      <c r="P25" s="411">
        <v>0</v>
      </c>
      <c r="Q25" s="414">
        <v>0</v>
      </c>
      <c r="R25" s="414">
        <v>0</v>
      </c>
      <c r="S25" s="414">
        <v>0</v>
      </c>
      <c r="T25" s="414">
        <f t="shared" si="3"/>
        <v>0</v>
      </c>
      <c r="U25" s="844">
        <f>M25+N25+O25+P25+Q25+R25+S25</f>
        <v>35000</v>
      </c>
      <c r="V25" s="608">
        <v>35000</v>
      </c>
      <c r="W25" s="844">
        <v>35000</v>
      </c>
    </row>
    <row r="26" spans="2:23" s="356" customFormat="1" ht="12.75">
      <c r="B26" s="350"/>
      <c r="C26" s="357"/>
      <c r="D26" s="352"/>
      <c r="E26" s="357"/>
      <c r="F26" s="368">
        <v>13</v>
      </c>
      <c r="G26" s="434">
        <v>481</v>
      </c>
      <c r="H26" s="1555" t="s">
        <v>80</v>
      </c>
      <c r="I26" s="1556"/>
      <c r="J26" s="1557"/>
      <c r="K26" s="915">
        <v>215000</v>
      </c>
      <c r="L26" s="915">
        <v>88055.84999999999</v>
      </c>
      <c r="M26" s="1106">
        <v>215000</v>
      </c>
      <c r="N26" s="404">
        <v>0</v>
      </c>
      <c r="O26" s="411">
        <v>0</v>
      </c>
      <c r="P26" s="411">
        <v>0</v>
      </c>
      <c r="Q26" s="414">
        <v>0</v>
      </c>
      <c r="R26" s="414">
        <v>0</v>
      </c>
      <c r="S26" s="414">
        <v>0</v>
      </c>
      <c r="T26" s="414">
        <f t="shared" si="3"/>
        <v>0</v>
      </c>
      <c r="U26" s="844">
        <f aca="true" t="shared" si="6" ref="U26:U70">M26+N26+O26+P26+Q26+R26+S26</f>
        <v>215000</v>
      </c>
      <c r="V26" s="608">
        <v>215000</v>
      </c>
      <c r="W26" s="844">
        <v>215000</v>
      </c>
    </row>
    <row r="27" spans="2:23" ht="12.75">
      <c r="B27" s="284"/>
      <c r="C27" s="285"/>
      <c r="D27" s="428"/>
      <c r="E27" s="610" t="s">
        <v>284</v>
      </c>
      <c r="F27" s="611"/>
      <c r="G27" s="612"/>
      <c r="H27" s="1511" t="s">
        <v>1261</v>
      </c>
      <c r="I27" s="1512"/>
      <c r="J27" s="1512"/>
      <c r="K27" s="957">
        <f aca="true" t="shared" si="7" ref="K27:S28">K28</f>
        <v>200000</v>
      </c>
      <c r="L27" s="957">
        <f t="shared" si="7"/>
        <v>0</v>
      </c>
      <c r="M27" s="957">
        <f t="shared" si="7"/>
        <v>200000</v>
      </c>
      <c r="N27" s="286">
        <f t="shared" si="7"/>
        <v>0</v>
      </c>
      <c r="O27" s="286">
        <f t="shared" si="7"/>
        <v>0</v>
      </c>
      <c r="P27" s="286">
        <f t="shared" si="7"/>
        <v>0</v>
      </c>
      <c r="Q27" s="286">
        <f t="shared" si="7"/>
        <v>0</v>
      </c>
      <c r="R27" s="286">
        <f t="shared" si="7"/>
        <v>0</v>
      </c>
      <c r="S27" s="286">
        <f t="shared" si="7"/>
        <v>0</v>
      </c>
      <c r="T27" s="334">
        <f t="shared" si="3"/>
        <v>0</v>
      </c>
      <c r="U27" s="845">
        <f t="shared" si="6"/>
        <v>200000</v>
      </c>
      <c r="V27" s="652">
        <v>200000</v>
      </c>
      <c r="W27" s="652">
        <v>200000</v>
      </c>
    </row>
    <row r="28" spans="2:23" s="356" customFormat="1" ht="12.75">
      <c r="B28" s="284"/>
      <c r="C28" s="285"/>
      <c r="D28" s="428"/>
      <c r="E28" s="610" t="s">
        <v>862</v>
      </c>
      <c r="F28" s="346"/>
      <c r="G28" s="601"/>
      <c r="H28" s="1489" t="s">
        <v>1263</v>
      </c>
      <c r="I28" s="1490"/>
      <c r="J28" s="1490"/>
      <c r="K28" s="1062">
        <f t="shared" si="7"/>
        <v>200000</v>
      </c>
      <c r="L28" s="1062">
        <f t="shared" si="7"/>
        <v>0</v>
      </c>
      <c r="M28" s="1062">
        <f t="shared" si="7"/>
        <v>200000</v>
      </c>
      <c r="N28" s="290">
        <f aca="true" t="shared" si="8" ref="N28:S28">N29</f>
        <v>0</v>
      </c>
      <c r="O28" s="290">
        <f t="shared" si="8"/>
        <v>0</v>
      </c>
      <c r="P28" s="290">
        <f t="shared" si="8"/>
        <v>0</v>
      </c>
      <c r="Q28" s="290">
        <f t="shared" si="8"/>
        <v>0</v>
      </c>
      <c r="R28" s="290">
        <f t="shared" si="8"/>
        <v>0</v>
      </c>
      <c r="S28" s="290">
        <f t="shared" si="8"/>
        <v>0</v>
      </c>
      <c r="T28" s="818">
        <f t="shared" si="3"/>
        <v>0</v>
      </c>
      <c r="U28" s="845">
        <f t="shared" si="6"/>
        <v>200000</v>
      </c>
      <c r="V28" s="652">
        <v>200000</v>
      </c>
      <c r="W28" s="652">
        <v>200000</v>
      </c>
    </row>
    <row r="29" spans="2:23" s="356" customFormat="1" ht="12.75">
      <c r="B29" s="350"/>
      <c r="C29" s="357"/>
      <c r="D29" s="56">
        <v>130</v>
      </c>
      <c r="E29" s="180"/>
      <c r="F29" s="357"/>
      <c r="G29" s="353"/>
      <c r="H29" s="1526" t="s">
        <v>90</v>
      </c>
      <c r="I29" s="1527"/>
      <c r="J29" s="1528"/>
      <c r="K29" s="751">
        <f aca="true" t="shared" si="9" ref="K29:S29">K30</f>
        <v>200000</v>
      </c>
      <c r="L29" s="751">
        <f t="shared" si="9"/>
        <v>0</v>
      </c>
      <c r="M29" s="751">
        <f t="shared" si="9"/>
        <v>200000</v>
      </c>
      <c r="N29" s="181">
        <f t="shared" si="9"/>
        <v>0</v>
      </c>
      <c r="O29" s="181">
        <f t="shared" si="9"/>
        <v>0</v>
      </c>
      <c r="P29" s="181">
        <f t="shared" si="9"/>
        <v>0</v>
      </c>
      <c r="Q29" s="181">
        <f t="shared" si="9"/>
        <v>0</v>
      </c>
      <c r="R29" s="181">
        <f t="shared" si="9"/>
        <v>0</v>
      </c>
      <c r="S29" s="181">
        <f t="shared" si="9"/>
        <v>0</v>
      </c>
      <c r="T29" s="336">
        <f t="shared" si="3"/>
        <v>0</v>
      </c>
      <c r="U29" s="1175">
        <f t="shared" si="6"/>
        <v>200000</v>
      </c>
      <c r="V29" s="375">
        <v>200000</v>
      </c>
      <c r="W29" s="1175">
        <v>200000</v>
      </c>
    </row>
    <row r="30" spans="2:23" s="356" customFormat="1" ht="13.5" thickBot="1">
      <c r="B30" s="369"/>
      <c r="C30" s="362"/>
      <c r="D30" s="363"/>
      <c r="E30" s="362"/>
      <c r="F30" s="351" t="s">
        <v>1560</v>
      </c>
      <c r="G30" s="606">
        <v>481</v>
      </c>
      <c r="H30" s="1517" t="s">
        <v>1508</v>
      </c>
      <c r="I30" s="1518"/>
      <c r="J30" s="1519"/>
      <c r="K30" s="372">
        <v>200000</v>
      </c>
      <c r="L30" s="372">
        <v>0</v>
      </c>
      <c r="M30" s="372">
        <v>200000</v>
      </c>
      <c r="N30" s="441">
        <v>0</v>
      </c>
      <c r="O30" s="441">
        <v>0</v>
      </c>
      <c r="P30" s="441">
        <v>0</v>
      </c>
      <c r="Q30" s="415">
        <v>0</v>
      </c>
      <c r="R30" s="414">
        <v>0</v>
      </c>
      <c r="S30" s="415">
        <v>0</v>
      </c>
      <c r="T30" s="415">
        <f t="shared" si="3"/>
        <v>0</v>
      </c>
      <c r="U30" s="844">
        <f t="shared" si="6"/>
        <v>200000</v>
      </c>
      <c r="V30" s="608">
        <v>200000</v>
      </c>
      <c r="W30" s="844">
        <v>200000</v>
      </c>
    </row>
    <row r="31" spans="2:23" s="500" customFormat="1" ht="12.75" customHeight="1">
      <c r="B31" s="494" t="s">
        <v>824</v>
      </c>
      <c r="C31" s="495"/>
      <c r="D31" s="496"/>
      <c r="E31" s="497"/>
      <c r="F31" s="496"/>
      <c r="G31" s="524"/>
      <c r="H31" s="1642" t="s">
        <v>1196</v>
      </c>
      <c r="I31" s="1643"/>
      <c r="J31" s="1644"/>
      <c r="K31" s="911">
        <f>K32</f>
        <v>1531000</v>
      </c>
      <c r="L31" s="911">
        <f>L32</f>
        <v>182594.86000000002</v>
      </c>
      <c r="M31" s="911">
        <f>M32</f>
        <v>591000</v>
      </c>
      <c r="N31" s="508">
        <f aca="true" t="shared" si="10" ref="N31:S31">N32</f>
        <v>0</v>
      </c>
      <c r="O31" s="508">
        <f t="shared" si="10"/>
        <v>0</v>
      </c>
      <c r="P31" s="508">
        <f t="shared" si="10"/>
        <v>0</v>
      </c>
      <c r="Q31" s="508">
        <f t="shared" si="10"/>
        <v>0</v>
      </c>
      <c r="R31" s="508">
        <f t="shared" si="10"/>
        <v>0</v>
      </c>
      <c r="S31" s="508">
        <f t="shared" si="10"/>
        <v>0</v>
      </c>
      <c r="T31" s="509">
        <f t="shared" si="3"/>
        <v>0</v>
      </c>
      <c r="U31" s="835">
        <f t="shared" si="6"/>
        <v>591000</v>
      </c>
      <c r="V31" s="835">
        <v>591000</v>
      </c>
      <c r="W31" s="1108">
        <v>591000</v>
      </c>
    </row>
    <row r="32" spans="2:23" ht="12.75">
      <c r="B32" s="284"/>
      <c r="C32" s="285"/>
      <c r="D32" s="428"/>
      <c r="E32" s="610" t="s">
        <v>284</v>
      </c>
      <c r="F32" s="611"/>
      <c r="G32" s="612"/>
      <c r="H32" s="1511" t="s">
        <v>1261</v>
      </c>
      <c r="I32" s="1512"/>
      <c r="J32" s="1512"/>
      <c r="K32" s="957">
        <f aca="true" t="shared" si="11" ref="K32:S32">K33</f>
        <v>1531000</v>
      </c>
      <c r="L32" s="957">
        <f t="shared" si="11"/>
        <v>182594.86000000002</v>
      </c>
      <c r="M32" s="957">
        <f t="shared" si="11"/>
        <v>591000</v>
      </c>
      <c r="N32" s="286">
        <f t="shared" si="11"/>
        <v>0</v>
      </c>
      <c r="O32" s="286">
        <f t="shared" si="11"/>
        <v>0</v>
      </c>
      <c r="P32" s="286">
        <f t="shared" si="11"/>
        <v>0</v>
      </c>
      <c r="Q32" s="286">
        <f t="shared" si="11"/>
        <v>0</v>
      </c>
      <c r="R32" s="286">
        <f t="shared" si="11"/>
        <v>0</v>
      </c>
      <c r="S32" s="286">
        <f t="shared" si="11"/>
        <v>0</v>
      </c>
      <c r="T32" s="334">
        <f t="shared" si="3"/>
        <v>0</v>
      </c>
      <c r="U32" s="845">
        <f t="shared" si="6"/>
        <v>591000</v>
      </c>
      <c r="V32" s="652">
        <v>591000</v>
      </c>
      <c r="W32" s="652">
        <v>591000</v>
      </c>
    </row>
    <row r="33" spans="2:23" ht="14.25" customHeight="1">
      <c r="B33" s="284"/>
      <c r="C33" s="285"/>
      <c r="D33" s="428"/>
      <c r="E33" s="346" t="s">
        <v>860</v>
      </c>
      <c r="F33" s="428"/>
      <c r="G33" s="429"/>
      <c r="H33" s="1537" t="s">
        <v>1262</v>
      </c>
      <c r="I33" s="1600"/>
      <c r="J33" s="1601"/>
      <c r="K33" s="913">
        <f aca="true" t="shared" si="12" ref="K33:S33">K34</f>
        <v>1531000</v>
      </c>
      <c r="L33" s="913">
        <f t="shared" si="12"/>
        <v>182594.86000000002</v>
      </c>
      <c r="M33" s="913">
        <f t="shared" si="12"/>
        <v>591000</v>
      </c>
      <c r="N33" s="290">
        <f t="shared" si="12"/>
        <v>0</v>
      </c>
      <c r="O33" s="290">
        <f t="shared" si="12"/>
        <v>0</v>
      </c>
      <c r="P33" s="290">
        <f t="shared" si="12"/>
        <v>0</v>
      </c>
      <c r="Q33" s="290">
        <f t="shared" si="12"/>
        <v>0</v>
      </c>
      <c r="R33" s="290">
        <f t="shared" si="12"/>
        <v>0</v>
      </c>
      <c r="S33" s="290">
        <f t="shared" si="12"/>
        <v>0</v>
      </c>
      <c r="T33" s="335">
        <f t="shared" si="3"/>
        <v>0</v>
      </c>
      <c r="U33" s="845">
        <f t="shared" si="6"/>
        <v>591000</v>
      </c>
      <c r="V33" s="652">
        <v>591000</v>
      </c>
      <c r="W33" s="652">
        <v>591000</v>
      </c>
    </row>
    <row r="34" spans="2:23" s="23" customFormat="1" ht="12.75">
      <c r="B34" s="546"/>
      <c r="C34" s="547"/>
      <c r="D34" s="56">
        <v>330</v>
      </c>
      <c r="E34" s="58"/>
      <c r="F34" s="548"/>
      <c r="G34" s="549"/>
      <c r="H34" s="1526" t="s">
        <v>1176</v>
      </c>
      <c r="I34" s="1527"/>
      <c r="J34" s="1528"/>
      <c r="K34" s="768">
        <f aca="true" t="shared" si="13" ref="K34:S34">SUM(K35:K39)</f>
        <v>1531000</v>
      </c>
      <c r="L34" s="768">
        <f t="shared" si="13"/>
        <v>182594.86000000002</v>
      </c>
      <c r="M34" s="768">
        <f t="shared" si="13"/>
        <v>591000</v>
      </c>
      <c r="N34" s="550">
        <f t="shared" si="13"/>
        <v>0</v>
      </c>
      <c r="O34" s="550">
        <f t="shared" si="13"/>
        <v>0</v>
      </c>
      <c r="P34" s="550">
        <f t="shared" si="13"/>
        <v>0</v>
      </c>
      <c r="Q34" s="550">
        <f t="shared" si="13"/>
        <v>0</v>
      </c>
      <c r="R34" s="550">
        <f t="shared" si="13"/>
        <v>0</v>
      </c>
      <c r="S34" s="550">
        <f t="shared" si="13"/>
        <v>0</v>
      </c>
      <c r="T34" s="178">
        <f t="shared" si="3"/>
        <v>0</v>
      </c>
      <c r="U34" s="1175">
        <f t="shared" si="6"/>
        <v>591000</v>
      </c>
      <c r="V34" s="837">
        <v>591000</v>
      </c>
      <c r="W34" s="1175">
        <v>591000</v>
      </c>
    </row>
    <row r="35" spans="2:23" s="356" customFormat="1" ht="12.75">
      <c r="B35" s="350"/>
      <c r="C35" s="357"/>
      <c r="D35" s="352"/>
      <c r="E35" s="357"/>
      <c r="F35" s="529">
        <v>15</v>
      </c>
      <c r="G35" s="530">
        <v>411</v>
      </c>
      <c r="H35" s="1492" t="s">
        <v>27</v>
      </c>
      <c r="I35" s="1493"/>
      <c r="J35" s="1493"/>
      <c r="K35" s="955">
        <v>1128000</v>
      </c>
      <c r="L35" s="955">
        <v>109323.82</v>
      </c>
      <c r="M35" s="955">
        <v>330000</v>
      </c>
      <c r="N35" s="405">
        <v>0</v>
      </c>
      <c r="O35" s="411">
        <v>0</v>
      </c>
      <c r="P35" s="411">
        <v>0</v>
      </c>
      <c r="Q35" s="414">
        <v>0</v>
      </c>
      <c r="R35" s="414">
        <v>0</v>
      </c>
      <c r="S35" s="414">
        <v>0</v>
      </c>
      <c r="T35" s="414">
        <f t="shared" si="3"/>
        <v>0</v>
      </c>
      <c r="U35" s="844">
        <f t="shared" si="6"/>
        <v>330000</v>
      </c>
      <c r="V35" s="608">
        <v>330000</v>
      </c>
      <c r="W35" s="844">
        <v>330000</v>
      </c>
    </row>
    <row r="36" spans="2:23" s="356" customFormat="1" ht="12.75">
      <c r="B36" s="350"/>
      <c r="C36" s="483"/>
      <c r="D36" s="564"/>
      <c r="E36" s="648"/>
      <c r="F36" s="529">
        <v>16</v>
      </c>
      <c r="G36" s="639">
        <v>412</v>
      </c>
      <c r="H36" s="1648" t="s">
        <v>79</v>
      </c>
      <c r="I36" s="1648"/>
      <c r="J36" s="1648"/>
      <c r="K36" s="955">
        <v>202000</v>
      </c>
      <c r="L36" s="955">
        <v>18202.41</v>
      </c>
      <c r="M36" s="955">
        <v>60000</v>
      </c>
      <c r="N36" s="405">
        <v>0</v>
      </c>
      <c r="O36" s="531">
        <v>0</v>
      </c>
      <c r="P36" s="531">
        <v>0</v>
      </c>
      <c r="Q36" s="451">
        <v>0</v>
      </c>
      <c r="R36" s="451">
        <v>0</v>
      </c>
      <c r="S36" s="414">
        <v>0</v>
      </c>
      <c r="T36" s="414">
        <f t="shared" si="3"/>
        <v>0</v>
      </c>
      <c r="U36" s="844">
        <f t="shared" si="6"/>
        <v>60000</v>
      </c>
      <c r="V36" s="608">
        <v>60000</v>
      </c>
      <c r="W36" s="844">
        <v>60000</v>
      </c>
    </row>
    <row r="37" spans="2:23" s="356" customFormat="1" ht="12.75">
      <c r="B37" s="647"/>
      <c r="C37" s="485"/>
      <c r="D37" s="532"/>
      <c r="E37" s="485"/>
      <c r="F37" s="529">
        <v>17</v>
      </c>
      <c r="G37" s="525">
        <v>415</v>
      </c>
      <c r="H37" s="1614" t="s">
        <v>31</v>
      </c>
      <c r="I37" s="1614"/>
      <c r="J37" s="1614"/>
      <c r="K37" s="919">
        <v>160000</v>
      </c>
      <c r="L37" s="919">
        <v>54922.229999999996</v>
      </c>
      <c r="M37" s="919">
        <v>160000</v>
      </c>
      <c r="N37" s="405">
        <v>0</v>
      </c>
      <c r="O37" s="457">
        <v>0</v>
      </c>
      <c r="P37" s="457">
        <v>0</v>
      </c>
      <c r="Q37" s="645">
        <v>0</v>
      </c>
      <c r="R37" s="645">
        <v>0</v>
      </c>
      <c r="S37" s="644">
        <v>0</v>
      </c>
      <c r="T37" s="415">
        <f t="shared" si="3"/>
        <v>0</v>
      </c>
      <c r="U37" s="844">
        <f t="shared" si="6"/>
        <v>160000</v>
      </c>
      <c r="V37" s="608">
        <v>160000</v>
      </c>
      <c r="W37" s="844">
        <v>160000</v>
      </c>
    </row>
    <row r="38" spans="2:23" s="356" customFormat="1" ht="12.75">
      <c r="B38" s="647"/>
      <c r="C38" s="485"/>
      <c r="D38" s="532"/>
      <c r="E38" s="485"/>
      <c r="F38" s="529">
        <v>18</v>
      </c>
      <c r="G38" s="525">
        <v>421</v>
      </c>
      <c r="H38" s="1614" t="s">
        <v>33</v>
      </c>
      <c r="I38" s="1614"/>
      <c r="J38" s="1614"/>
      <c r="K38" s="919">
        <v>1000</v>
      </c>
      <c r="L38" s="919">
        <v>146.4</v>
      </c>
      <c r="M38" s="919">
        <v>1000</v>
      </c>
      <c r="N38" s="405">
        <v>0</v>
      </c>
      <c r="O38" s="457">
        <v>0</v>
      </c>
      <c r="P38" s="457">
        <v>0</v>
      </c>
      <c r="Q38" s="457">
        <v>0</v>
      </c>
      <c r="R38" s="457">
        <v>0</v>
      </c>
      <c r="S38" s="457">
        <v>0</v>
      </c>
      <c r="T38" s="422">
        <f t="shared" si="3"/>
        <v>0</v>
      </c>
      <c r="U38" s="844">
        <f t="shared" si="6"/>
        <v>1000</v>
      </c>
      <c r="V38" s="608">
        <v>1000</v>
      </c>
      <c r="W38" s="844">
        <v>1000</v>
      </c>
    </row>
    <row r="39" spans="2:23" s="356" customFormat="1" ht="13.5" thickBot="1">
      <c r="B39" s="647"/>
      <c r="C39" s="485"/>
      <c r="D39" s="532"/>
      <c r="E39" s="485"/>
      <c r="F39" s="529">
        <v>19</v>
      </c>
      <c r="G39" s="525">
        <v>426</v>
      </c>
      <c r="H39" s="1614" t="s">
        <v>38</v>
      </c>
      <c r="I39" s="1614"/>
      <c r="J39" s="1614"/>
      <c r="K39" s="920">
        <v>40000</v>
      </c>
      <c r="L39" s="920">
        <v>0</v>
      </c>
      <c r="M39" s="920">
        <v>40000</v>
      </c>
      <c r="N39" s="405">
        <v>0</v>
      </c>
      <c r="O39" s="457">
        <v>0</v>
      </c>
      <c r="P39" s="457">
        <v>0</v>
      </c>
      <c r="Q39" s="457">
        <v>0</v>
      </c>
      <c r="R39" s="457">
        <v>0</v>
      </c>
      <c r="S39" s="457">
        <v>0</v>
      </c>
      <c r="T39" s="422">
        <f t="shared" si="3"/>
        <v>0</v>
      </c>
      <c r="U39" s="844">
        <f t="shared" si="6"/>
        <v>40000</v>
      </c>
      <c r="V39" s="608">
        <v>40000</v>
      </c>
      <c r="W39" s="844">
        <v>40000</v>
      </c>
    </row>
    <row r="40" spans="2:23" s="500" customFormat="1" ht="12.75" customHeight="1">
      <c r="B40" s="494" t="s">
        <v>329</v>
      </c>
      <c r="C40" s="495"/>
      <c r="D40" s="524"/>
      <c r="E40" s="534"/>
      <c r="F40" s="524"/>
      <c r="G40" s="640"/>
      <c r="H40" s="1645" t="s">
        <v>81</v>
      </c>
      <c r="I40" s="1646"/>
      <c r="J40" s="1647"/>
      <c r="K40" s="921">
        <f>K41</f>
        <v>9969000</v>
      </c>
      <c r="L40" s="921">
        <f>L41</f>
        <v>5651077.56</v>
      </c>
      <c r="M40" s="921">
        <f>M41</f>
        <v>12189000</v>
      </c>
      <c r="N40" s="506">
        <f aca="true" t="shared" si="14" ref="N40:S40">N41</f>
        <v>0</v>
      </c>
      <c r="O40" s="506">
        <f t="shared" si="14"/>
        <v>0</v>
      </c>
      <c r="P40" s="506">
        <f t="shared" si="14"/>
        <v>200000</v>
      </c>
      <c r="Q40" s="506">
        <f t="shared" si="14"/>
        <v>0</v>
      </c>
      <c r="R40" s="506">
        <f t="shared" si="14"/>
        <v>0</v>
      </c>
      <c r="S40" s="506">
        <f t="shared" si="14"/>
        <v>0</v>
      </c>
      <c r="T40" s="507">
        <f t="shared" si="3"/>
        <v>200000</v>
      </c>
      <c r="U40" s="835">
        <f t="shared" si="6"/>
        <v>12389000</v>
      </c>
      <c r="V40" s="839">
        <v>12389000</v>
      </c>
      <c r="W40" s="1108">
        <v>12389000</v>
      </c>
    </row>
    <row r="41" spans="2:23" ht="12.75">
      <c r="B41" s="284"/>
      <c r="C41" s="285"/>
      <c r="D41" s="428"/>
      <c r="E41" s="610" t="s">
        <v>1199</v>
      </c>
      <c r="F41" s="611"/>
      <c r="G41" s="612"/>
      <c r="H41" s="1511" t="s">
        <v>1198</v>
      </c>
      <c r="I41" s="1512"/>
      <c r="J41" s="1513"/>
      <c r="K41" s="912">
        <f aca="true" t="shared" si="15" ref="K41:S41">K42</f>
        <v>9969000</v>
      </c>
      <c r="L41" s="912">
        <f t="shared" si="15"/>
        <v>5651077.56</v>
      </c>
      <c r="M41" s="912">
        <f t="shared" si="15"/>
        <v>12189000</v>
      </c>
      <c r="N41" s="286">
        <f t="shared" si="15"/>
        <v>0</v>
      </c>
      <c r="O41" s="286">
        <f t="shared" si="15"/>
        <v>0</v>
      </c>
      <c r="P41" s="286">
        <f t="shared" si="15"/>
        <v>200000</v>
      </c>
      <c r="Q41" s="286">
        <f t="shared" si="15"/>
        <v>0</v>
      </c>
      <c r="R41" s="286">
        <f t="shared" si="15"/>
        <v>0</v>
      </c>
      <c r="S41" s="286">
        <f t="shared" si="15"/>
        <v>0</v>
      </c>
      <c r="T41" s="334">
        <f t="shared" si="3"/>
        <v>200000</v>
      </c>
      <c r="U41" s="845">
        <f t="shared" si="6"/>
        <v>12389000</v>
      </c>
      <c r="V41" s="652">
        <v>12389000</v>
      </c>
      <c r="W41" s="652">
        <v>12389000</v>
      </c>
    </row>
    <row r="42" spans="2:23" ht="13.5" customHeight="1">
      <c r="B42" s="284"/>
      <c r="C42" s="285"/>
      <c r="D42" s="428"/>
      <c r="E42" s="346" t="s">
        <v>1205</v>
      </c>
      <c r="F42" s="428"/>
      <c r="G42" s="429"/>
      <c r="H42" s="1537" t="s">
        <v>1204</v>
      </c>
      <c r="I42" s="1600"/>
      <c r="J42" s="1601"/>
      <c r="K42" s="913">
        <f aca="true" t="shared" si="16" ref="K42:S42">K43</f>
        <v>9969000</v>
      </c>
      <c r="L42" s="913">
        <f t="shared" si="16"/>
        <v>5651077.56</v>
      </c>
      <c r="M42" s="913">
        <f t="shared" si="16"/>
        <v>12189000</v>
      </c>
      <c r="N42" s="290">
        <f t="shared" si="16"/>
        <v>0</v>
      </c>
      <c r="O42" s="290">
        <f t="shared" si="16"/>
        <v>0</v>
      </c>
      <c r="P42" s="290">
        <f t="shared" si="16"/>
        <v>200000</v>
      </c>
      <c r="Q42" s="290">
        <f t="shared" si="16"/>
        <v>0</v>
      </c>
      <c r="R42" s="290">
        <f t="shared" si="16"/>
        <v>0</v>
      </c>
      <c r="S42" s="290">
        <f t="shared" si="16"/>
        <v>0</v>
      </c>
      <c r="T42" s="335">
        <f t="shared" si="3"/>
        <v>200000</v>
      </c>
      <c r="U42" s="845">
        <f t="shared" si="6"/>
        <v>12389000</v>
      </c>
      <c r="V42" s="652">
        <v>12389000</v>
      </c>
      <c r="W42" s="652">
        <v>12389000</v>
      </c>
    </row>
    <row r="43" spans="2:23" s="591" customFormat="1" ht="26.25" customHeight="1">
      <c r="B43" s="586"/>
      <c r="C43" s="587"/>
      <c r="D43" s="646">
        <v>110</v>
      </c>
      <c r="E43" s="588"/>
      <c r="F43" s="589"/>
      <c r="G43" s="590"/>
      <c r="H43" s="1584" t="s">
        <v>1197</v>
      </c>
      <c r="I43" s="1585"/>
      <c r="J43" s="1586"/>
      <c r="K43" s="592">
        <f aca="true" t="shared" si="17" ref="K43:S43">SUM(K44:K55)</f>
        <v>9969000</v>
      </c>
      <c r="L43" s="592">
        <f t="shared" si="17"/>
        <v>5651077.56</v>
      </c>
      <c r="M43" s="592">
        <f t="shared" si="17"/>
        <v>12189000</v>
      </c>
      <c r="N43" s="592">
        <f t="shared" si="17"/>
        <v>0</v>
      </c>
      <c r="O43" s="592">
        <f t="shared" si="17"/>
        <v>0</v>
      </c>
      <c r="P43" s="592">
        <f t="shared" si="17"/>
        <v>200000</v>
      </c>
      <c r="Q43" s="592">
        <f t="shared" si="17"/>
        <v>0</v>
      </c>
      <c r="R43" s="592">
        <f t="shared" si="17"/>
        <v>0</v>
      </c>
      <c r="S43" s="592">
        <f t="shared" si="17"/>
        <v>0</v>
      </c>
      <c r="T43" s="819">
        <f t="shared" si="3"/>
        <v>200000</v>
      </c>
      <c r="U43" s="1175">
        <f t="shared" si="6"/>
        <v>12389000</v>
      </c>
      <c r="V43" s="837">
        <v>12389000</v>
      </c>
      <c r="W43" s="1175">
        <v>12389000</v>
      </c>
    </row>
    <row r="44" spans="2:23" s="356" customFormat="1" ht="12.75">
      <c r="B44" s="350"/>
      <c r="C44" s="357"/>
      <c r="D44" s="352"/>
      <c r="E44" s="357"/>
      <c r="F44" s="368">
        <v>20</v>
      </c>
      <c r="G44" s="434">
        <v>411</v>
      </c>
      <c r="H44" s="1492" t="s">
        <v>27</v>
      </c>
      <c r="I44" s="1493"/>
      <c r="J44" s="1494"/>
      <c r="K44" s="922">
        <v>3120000</v>
      </c>
      <c r="L44" s="922">
        <v>1636603.66</v>
      </c>
      <c r="M44" s="922">
        <v>3320000</v>
      </c>
      <c r="N44" s="441">
        <v>0</v>
      </c>
      <c r="O44" s="411">
        <v>0</v>
      </c>
      <c r="P44" s="411">
        <v>0</v>
      </c>
      <c r="Q44" s="414">
        <v>0</v>
      </c>
      <c r="R44" s="414">
        <v>0</v>
      </c>
      <c r="S44" s="414">
        <v>0</v>
      </c>
      <c r="T44" s="414">
        <f t="shared" si="3"/>
        <v>0</v>
      </c>
      <c r="U44" s="844">
        <f t="shared" si="6"/>
        <v>3320000</v>
      </c>
      <c r="V44" s="608">
        <v>3320000</v>
      </c>
      <c r="W44" s="844">
        <v>3320000</v>
      </c>
    </row>
    <row r="45" spans="2:23" s="356" customFormat="1" ht="12.75">
      <c r="B45" s="350"/>
      <c r="C45" s="357"/>
      <c r="D45" s="352"/>
      <c r="E45" s="357"/>
      <c r="F45" s="368">
        <v>21</v>
      </c>
      <c r="G45" s="434">
        <v>412</v>
      </c>
      <c r="H45" s="1492" t="s">
        <v>79</v>
      </c>
      <c r="I45" s="1493"/>
      <c r="J45" s="1494"/>
      <c r="K45" s="922">
        <v>534000</v>
      </c>
      <c r="L45" s="922">
        <v>272494.61</v>
      </c>
      <c r="M45" s="922">
        <v>554000</v>
      </c>
      <c r="N45" s="441">
        <v>0</v>
      </c>
      <c r="O45" s="411">
        <v>0</v>
      </c>
      <c r="P45" s="411">
        <v>0</v>
      </c>
      <c r="Q45" s="414">
        <v>0</v>
      </c>
      <c r="R45" s="414">
        <v>0</v>
      </c>
      <c r="S45" s="414">
        <v>0</v>
      </c>
      <c r="T45" s="414">
        <f t="shared" si="3"/>
        <v>0</v>
      </c>
      <c r="U45" s="844">
        <f t="shared" si="6"/>
        <v>554000</v>
      </c>
      <c r="V45" s="608">
        <v>554000</v>
      </c>
      <c r="W45" s="844">
        <v>554000</v>
      </c>
    </row>
    <row r="46" spans="2:23" s="356" customFormat="1" ht="12.75">
      <c r="B46" s="350"/>
      <c r="C46" s="357"/>
      <c r="D46" s="352"/>
      <c r="E46" s="357"/>
      <c r="F46" s="368">
        <v>22</v>
      </c>
      <c r="G46" s="434">
        <v>414</v>
      </c>
      <c r="H46" s="1495" t="s">
        <v>203</v>
      </c>
      <c r="I46" s="1496"/>
      <c r="J46" s="1497"/>
      <c r="K46" s="922">
        <v>50000</v>
      </c>
      <c r="L46" s="922">
        <v>0</v>
      </c>
      <c r="M46" s="922">
        <v>50000</v>
      </c>
      <c r="N46" s="441">
        <v>0</v>
      </c>
      <c r="O46" s="411">
        <v>0</v>
      </c>
      <c r="P46" s="411">
        <v>0</v>
      </c>
      <c r="Q46" s="414">
        <v>0</v>
      </c>
      <c r="R46" s="414">
        <v>0</v>
      </c>
      <c r="S46" s="414">
        <v>0</v>
      </c>
      <c r="T46" s="414">
        <f t="shared" si="3"/>
        <v>0</v>
      </c>
      <c r="U46" s="844">
        <f t="shared" si="6"/>
        <v>50000</v>
      </c>
      <c r="V46" s="608">
        <v>50000</v>
      </c>
      <c r="W46" s="844">
        <v>50000</v>
      </c>
    </row>
    <row r="47" spans="2:23" s="356" customFormat="1" ht="12.75">
      <c r="B47" s="350"/>
      <c r="C47" s="357"/>
      <c r="D47" s="352"/>
      <c r="E47" s="357"/>
      <c r="F47" s="368">
        <v>23</v>
      </c>
      <c r="G47" s="434">
        <v>415</v>
      </c>
      <c r="H47" s="1495" t="s">
        <v>31</v>
      </c>
      <c r="I47" s="1496"/>
      <c r="J47" s="1497"/>
      <c r="K47" s="922">
        <v>340000</v>
      </c>
      <c r="L47" s="922">
        <v>198333.34999999998</v>
      </c>
      <c r="M47" s="922">
        <v>340000</v>
      </c>
      <c r="N47" s="441">
        <v>0</v>
      </c>
      <c r="O47" s="411">
        <v>0</v>
      </c>
      <c r="P47" s="411">
        <v>0</v>
      </c>
      <c r="Q47" s="414">
        <v>0</v>
      </c>
      <c r="R47" s="414">
        <v>0</v>
      </c>
      <c r="S47" s="414">
        <v>0</v>
      </c>
      <c r="T47" s="414">
        <f t="shared" si="3"/>
        <v>0</v>
      </c>
      <c r="U47" s="844">
        <f t="shared" si="6"/>
        <v>340000</v>
      </c>
      <c r="V47" s="608">
        <v>340000</v>
      </c>
      <c r="W47" s="844">
        <v>340000</v>
      </c>
    </row>
    <row r="48" spans="2:23" s="356" customFormat="1" ht="12.75">
      <c r="B48" s="350"/>
      <c r="C48" s="357"/>
      <c r="D48" s="352"/>
      <c r="E48" s="357"/>
      <c r="F48" s="368">
        <v>24</v>
      </c>
      <c r="G48" s="434">
        <v>421</v>
      </c>
      <c r="H48" s="1495" t="s">
        <v>33</v>
      </c>
      <c r="I48" s="1496"/>
      <c r="J48" s="1497"/>
      <c r="K48" s="922">
        <v>180000</v>
      </c>
      <c r="L48" s="922">
        <v>40573.6</v>
      </c>
      <c r="M48" s="922">
        <v>200000</v>
      </c>
      <c r="N48" s="441">
        <v>0</v>
      </c>
      <c r="O48" s="411">
        <v>0</v>
      </c>
      <c r="P48" s="411">
        <v>0</v>
      </c>
      <c r="Q48" s="414">
        <v>0</v>
      </c>
      <c r="R48" s="414">
        <v>0</v>
      </c>
      <c r="S48" s="414">
        <v>0</v>
      </c>
      <c r="T48" s="414">
        <f t="shared" si="3"/>
        <v>0</v>
      </c>
      <c r="U48" s="844">
        <f t="shared" si="6"/>
        <v>200000</v>
      </c>
      <c r="V48" s="608">
        <v>200000</v>
      </c>
      <c r="W48" s="844">
        <v>200000</v>
      </c>
    </row>
    <row r="49" spans="2:23" s="356" customFormat="1" ht="12.75">
      <c r="B49" s="350"/>
      <c r="C49" s="357"/>
      <c r="D49" s="352"/>
      <c r="E49" s="357"/>
      <c r="F49" s="368">
        <v>25</v>
      </c>
      <c r="G49" s="434">
        <v>422</v>
      </c>
      <c r="H49" s="1495" t="s">
        <v>34</v>
      </c>
      <c r="I49" s="1496"/>
      <c r="J49" s="1497"/>
      <c r="K49" s="922">
        <v>60000</v>
      </c>
      <c r="L49" s="922">
        <v>0</v>
      </c>
      <c r="M49" s="922">
        <v>60000</v>
      </c>
      <c r="N49" s="441">
        <v>0</v>
      </c>
      <c r="O49" s="411">
        <v>0</v>
      </c>
      <c r="P49" s="411">
        <v>0</v>
      </c>
      <c r="Q49" s="414">
        <v>0</v>
      </c>
      <c r="R49" s="414">
        <v>0</v>
      </c>
      <c r="S49" s="414">
        <v>0</v>
      </c>
      <c r="T49" s="414">
        <f t="shared" si="3"/>
        <v>0</v>
      </c>
      <c r="U49" s="844">
        <f t="shared" si="6"/>
        <v>60000</v>
      </c>
      <c r="V49" s="608">
        <v>60000</v>
      </c>
      <c r="W49" s="844">
        <v>60000</v>
      </c>
    </row>
    <row r="50" spans="2:23" s="356" customFormat="1" ht="12.75">
      <c r="B50" s="350"/>
      <c r="C50" s="357"/>
      <c r="D50" s="352"/>
      <c r="E50" s="357"/>
      <c r="F50" s="368">
        <v>26</v>
      </c>
      <c r="G50" s="434">
        <v>423</v>
      </c>
      <c r="H50" s="1495" t="s">
        <v>1372</v>
      </c>
      <c r="I50" s="1496"/>
      <c r="J50" s="1497"/>
      <c r="K50" s="922">
        <v>1928500</v>
      </c>
      <c r="L50" s="922">
        <v>1854840.27</v>
      </c>
      <c r="M50" s="922">
        <v>3500000</v>
      </c>
      <c r="N50" s="441">
        <v>0</v>
      </c>
      <c r="O50" s="411">
        <v>0</v>
      </c>
      <c r="P50" s="411">
        <v>200000</v>
      </c>
      <c r="Q50" s="414">
        <v>0</v>
      </c>
      <c r="R50" s="414">
        <v>0</v>
      </c>
      <c r="S50" s="414">
        <v>0</v>
      </c>
      <c r="T50" s="414">
        <f t="shared" si="3"/>
        <v>200000</v>
      </c>
      <c r="U50" s="844">
        <f t="shared" si="6"/>
        <v>3700000</v>
      </c>
      <c r="V50" s="608">
        <v>3700000</v>
      </c>
      <c r="W50" s="844">
        <v>3700000</v>
      </c>
    </row>
    <row r="51" spans="2:23" s="356" customFormat="1" ht="12.75">
      <c r="B51" s="350"/>
      <c r="C51" s="357"/>
      <c r="D51" s="352"/>
      <c r="E51" s="357"/>
      <c r="F51" s="368">
        <v>27</v>
      </c>
      <c r="G51" s="434">
        <v>423</v>
      </c>
      <c r="H51" s="1495" t="s">
        <v>35</v>
      </c>
      <c r="I51" s="1496"/>
      <c r="J51" s="1497"/>
      <c r="K51" s="922">
        <v>2700000</v>
      </c>
      <c r="L51" s="922">
        <v>1222779.97</v>
      </c>
      <c r="M51" s="922">
        <v>3000000</v>
      </c>
      <c r="N51" s="441">
        <v>0</v>
      </c>
      <c r="O51" s="411">
        <v>0</v>
      </c>
      <c r="P51" s="411">
        <v>0</v>
      </c>
      <c r="Q51" s="414">
        <v>0</v>
      </c>
      <c r="R51" s="414">
        <v>0</v>
      </c>
      <c r="S51" s="414">
        <v>0</v>
      </c>
      <c r="T51" s="414">
        <f t="shared" si="3"/>
        <v>0</v>
      </c>
      <c r="U51" s="844">
        <f t="shared" si="6"/>
        <v>3000000</v>
      </c>
      <c r="V51" s="608">
        <v>3000000</v>
      </c>
      <c r="W51" s="844">
        <v>3000000</v>
      </c>
    </row>
    <row r="52" spans="2:23" s="356" customFormat="1" ht="12.75">
      <c r="B52" s="350"/>
      <c r="C52" s="357"/>
      <c r="D52" s="352"/>
      <c r="E52" s="357"/>
      <c r="F52" s="368">
        <v>28</v>
      </c>
      <c r="G52" s="434">
        <v>423</v>
      </c>
      <c r="H52" s="1492" t="s">
        <v>1373</v>
      </c>
      <c r="I52" s="1493"/>
      <c r="J52" s="1494"/>
      <c r="K52" s="922">
        <v>436500</v>
      </c>
      <c r="L52" s="922">
        <v>0</v>
      </c>
      <c r="M52" s="922">
        <v>300000</v>
      </c>
      <c r="N52" s="441">
        <v>0</v>
      </c>
      <c r="O52" s="411">
        <v>0</v>
      </c>
      <c r="P52" s="411">
        <v>0</v>
      </c>
      <c r="Q52" s="414">
        <v>0</v>
      </c>
      <c r="R52" s="414">
        <v>0</v>
      </c>
      <c r="S52" s="414">
        <v>0</v>
      </c>
      <c r="T52" s="414">
        <f t="shared" si="3"/>
        <v>0</v>
      </c>
      <c r="U52" s="844">
        <f t="shared" si="6"/>
        <v>300000</v>
      </c>
      <c r="V52" s="608">
        <v>300000</v>
      </c>
      <c r="W52" s="844">
        <v>300000</v>
      </c>
    </row>
    <row r="53" spans="2:23" s="356" customFormat="1" ht="12.75">
      <c r="B53" s="350"/>
      <c r="C53" s="357"/>
      <c r="D53" s="352"/>
      <c r="E53" s="357"/>
      <c r="F53" s="368">
        <v>29</v>
      </c>
      <c r="G53" s="444">
        <v>424</v>
      </c>
      <c r="H53" s="1517" t="s">
        <v>36</v>
      </c>
      <c r="I53" s="1518"/>
      <c r="J53" s="1519"/>
      <c r="K53" s="936">
        <v>50000</v>
      </c>
      <c r="L53" s="936">
        <v>0</v>
      </c>
      <c r="M53" s="936">
        <v>50000</v>
      </c>
      <c r="N53" s="441">
        <v>0</v>
      </c>
      <c r="O53" s="411">
        <v>0</v>
      </c>
      <c r="P53" s="411">
        <v>0</v>
      </c>
      <c r="Q53" s="414">
        <v>0</v>
      </c>
      <c r="R53" s="414">
        <v>0</v>
      </c>
      <c r="S53" s="414">
        <v>0</v>
      </c>
      <c r="T53" s="414">
        <f t="shared" si="3"/>
        <v>0</v>
      </c>
      <c r="U53" s="844">
        <f t="shared" si="6"/>
        <v>50000</v>
      </c>
      <c r="V53" s="608">
        <v>50000</v>
      </c>
      <c r="W53" s="844">
        <v>50000</v>
      </c>
    </row>
    <row r="54" spans="2:23" s="356" customFormat="1" ht="12.75">
      <c r="B54" s="563"/>
      <c r="C54" s="483"/>
      <c r="D54" s="564"/>
      <c r="E54" s="483"/>
      <c r="F54" s="368">
        <v>30</v>
      </c>
      <c r="G54" s="530">
        <v>426</v>
      </c>
      <c r="H54" s="1640" t="s">
        <v>38</v>
      </c>
      <c r="I54" s="1641"/>
      <c r="J54" s="1641"/>
      <c r="K54" s="955">
        <v>540000</v>
      </c>
      <c r="L54" s="955">
        <v>421246.1</v>
      </c>
      <c r="M54" s="955">
        <v>785000</v>
      </c>
      <c r="N54" s="405">
        <v>0</v>
      </c>
      <c r="O54" s="411">
        <v>0</v>
      </c>
      <c r="P54" s="411">
        <v>0</v>
      </c>
      <c r="Q54" s="414">
        <v>0</v>
      </c>
      <c r="R54" s="414">
        <v>0</v>
      </c>
      <c r="S54" s="414">
        <v>0</v>
      </c>
      <c r="T54" s="414">
        <f t="shared" si="3"/>
        <v>0</v>
      </c>
      <c r="U54" s="844">
        <f t="shared" si="6"/>
        <v>785000</v>
      </c>
      <c r="V54" s="608">
        <v>785000</v>
      </c>
      <c r="W54" s="844">
        <v>785000</v>
      </c>
    </row>
    <row r="55" spans="2:23" s="356" customFormat="1" ht="13.5" thickBot="1">
      <c r="B55" s="485"/>
      <c r="C55" s="485"/>
      <c r="D55" s="532"/>
      <c r="E55" s="485"/>
      <c r="F55" s="368">
        <v>31</v>
      </c>
      <c r="G55" s="482">
        <v>482</v>
      </c>
      <c r="H55" s="1558" t="s">
        <v>82</v>
      </c>
      <c r="I55" s="1558"/>
      <c r="J55" s="1631"/>
      <c r="K55" s="540">
        <v>30000</v>
      </c>
      <c r="L55" s="540">
        <v>4206</v>
      </c>
      <c r="M55" s="540">
        <v>30000</v>
      </c>
      <c r="N55" s="405">
        <v>0</v>
      </c>
      <c r="O55" s="411">
        <v>0</v>
      </c>
      <c r="P55" s="411">
        <v>0</v>
      </c>
      <c r="Q55" s="414">
        <v>0</v>
      </c>
      <c r="R55" s="414">
        <v>0</v>
      </c>
      <c r="S55" s="414">
        <v>0</v>
      </c>
      <c r="T55" s="414">
        <f t="shared" si="3"/>
        <v>0</v>
      </c>
      <c r="U55" s="844">
        <f t="shared" si="6"/>
        <v>30000</v>
      </c>
      <c r="V55" s="608">
        <v>30000</v>
      </c>
      <c r="W55" s="844">
        <v>30000</v>
      </c>
    </row>
    <row r="56" spans="2:23" s="500" customFormat="1" ht="12.75">
      <c r="B56" s="692" t="s">
        <v>330</v>
      </c>
      <c r="C56" s="693"/>
      <c r="D56" s="524"/>
      <c r="E56" s="534"/>
      <c r="F56" s="524"/>
      <c r="G56" s="524"/>
      <c r="H56" s="689" t="s">
        <v>86</v>
      </c>
      <c r="I56" s="690"/>
      <c r="J56" s="691"/>
      <c r="K56" s="911">
        <f aca="true" t="shared" si="18" ref="K56:M58">K57</f>
        <v>7332000</v>
      </c>
      <c r="L56" s="911">
        <f t="shared" si="18"/>
        <v>3423430.0599999996</v>
      </c>
      <c r="M56" s="911">
        <f t="shared" si="18"/>
        <v>7482000</v>
      </c>
      <c r="N56" s="498">
        <f aca="true" t="shared" si="19" ref="N56:S56">N57</f>
        <v>0</v>
      </c>
      <c r="O56" s="498">
        <f t="shared" si="19"/>
        <v>0</v>
      </c>
      <c r="P56" s="498">
        <f t="shared" si="19"/>
        <v>0</v>
      </c>
      <c r="Q56" s="498">
        <f t="shared" si="19"/>
        <v>0</v>
      </c>
      <c r="R56" s="498">
        <f t="shared" si="19"/>
        <v>0</v>
      </c>
      <c r="S56" s="498">
        <f t="shared" si="19"/>
        <v>0</v>
      </c>
      <c r="T56" s="499">
        <f t="shared" si="3"/>
        <v>0</v>
      </c>
      <c r="U56" s="835">
        <f t="shared" si="6"/>
        <v>7482000</v>
      </c>
      <c r="V56" s="835">
        <v>7482000</v>
      </c>
      <c r="W56" s="1108">
        <v>7482000</v>
      </c>
    </row>
    <row r="57" spans="2:23" ht="12.75">
      <c r="B57" s="284"/>
      <c r="C57" s="285"/>
      <c r="D57" s="428"/>
      <c r="E57" s="610" t="s">
        <v>1199</v>
      </c>
      <c r="F57" s="611"/>
      <c r="G57" s="612"/>
      <c r="H57" s="1511" t="s">
        <v>1198</v>
      </c>
      <c r="I57" s="1512"/>
      <c r="J57" s="1513"/>
      <c r="K57" s="912">
        <f t="shared" si="18"/>
        <v>7332000</v>
      </c>
      <c r="L57" s="912">
        <f t="shared" si="18"/>
        <v>3423430.0599999996</v>
      </c>
      <c r="M57" s="912">
        <f t="shared" si="18"/>
        <v>7482000</v>
      </c>
      <c r="N57" s="286">
        <f aca="true" t="shared" si="20" ref="N57:S58">N58</f>
        <v>0</v>
      </c>
      <c r="O57" s="286">
        <f t="shared" si="20"/>
        <v>0</v>
      </c>
      <c r="P57" s="286">
        <f t="shared" si="20"/>
        <v>0</v>
      </c>
      <c r="Q57" s="286">
        <f t="shared" si="20"/>
        <v>0</v>
      </c>
      <c r="R57" s="286">
        <f t="shared" si="20"/>
        <v>0</v>
      </c>
      <c r="S57" s="334">
        <f t="shared" si="20"/>
        <v>0</v>
      </c>
      <c r="T57" s="334">
        <f t="shared" si="3"/>
        <v>0</v>
      </c>
      <c r="U57" s="845">
        <f t="shared" si="6"/>
        <v>7482000</v>
      </c>
      <c r="V57" s="652">
        <v>7482000</v>
      </c>
      <c r="W57" s="652">
        <v>7482000</v>
      </c>
    </row>
    <row r="58" spans="2:23" ht="12.75" customHeight="1">
      <c r="B58" s="284"/>
      <c r="C58" s="285"/>
      <c r="D58" s="428"/>
      <c r="E58" s="346" t="s">
        <v>1205</v>
      </c>
      <c r="F58" s="428"/>
      <c r="G58" s="429"/>
      <c r="H58" s="1537" t="s">
        <v>1204</v>
      </c>
      <c r="I58" s="1600"/>
      <c r="J58" s="1601"/>
      <c r="K58" s="913">
        <f t="shared" si="18"/>
        <v>7332000</v>
      </c>
      <c r="L58" s="913">
        <f t="shared" si="18"/>
        <v>3423430.0599999996</v>
      </c>
      <c r="M58" s="913">
        <f t="shared" si="18"/>
        <v>7482000</v>
      </c>
      <c r="N58" s="290">
        <f t="shared" si="20"/>
        <v>0</v>
      </c>
      <c r="O58" s="290">
        <f t="shared" si="20"/>
        <v>0</v>
      </c>
      <c r="P58" s="290">
        <f t="shared" si="20"/>
        <v>0</v>
      </c>
      <c r="Q58" s="290">
        <f t="shared" si="20"/>
        <v>0</v>
      </c>
      <c r="R58" s="290">
        <f t="shared" si="20"/>
        <v>0</v>
      </c>
      <c r="S58" s="335">
        <f t="shared" si="20"/>
        <v>0</v>
      </c>
      <c r="T58" s="335">
        <f t="shared" si="3"/>
        <v>0</v>
      </c>
      <c r="U58" s="845">
        <f t="shared" si="6"/>
        <v>7482000</v>
      </c>
      <c r="V58" s="652">
        <v>7482000</v>
      </c>
      <c r="W58" s="652">
        <v>7482000</v>
      </c>
    </row>
    <row r="59" spans="2:23" s="591" customFormat="1" ht="27" customHeight="1">
      <c r="B59" s="586"/>
      <c r="C59" s="587"/>
      <c r="D59" s="646">
        <v>110</v>
      </c>
      <c r="E59" s="588"/>
      <c r="F59" s="589"/>
      <c r="G59" s="590"/>
      <c r="H59" s="1584" t="s">
        <v>1221</v>
      </c>
      <c r="I59" s="1585"/>
      <c r="J59" s="1586"/>
      <c r="K59" s="592">
        <f>SUM(K60:K71)</f>
        <v>7332000</v>
      </c>
      <c r="L59" s="592">
        <f>SUM(L60:L71)</f>
        <v>3423430.0599999996</v>
      </c>
      <c r="M59" s="592">
        <f aca="true" t="shared" si="21" ref="M59:S59">SUM(M60:M71)</f>
        <v>7482000</v>
      </c>
      <c r="N59" s="592">
        <f t="shared" si="21"/>
        <v>0</v>
      </c>
      <c r="O59" s="592">
        <f t="shared" si="21"/>
        <v>0</v>
      </c>
      <c r="P59" s="592">
        <f t="shared" si="21"/>
        <v>0</v>
      </c>
      <c r="Q59" s="592">
        <f t="shared" si="21"/>
        <v>0</v>
      </c>
      <c r="R59" s="592">
        <f t="shared" si="21"/>
        <v>0</v>
      </c>
      <c r="S59" s="592">
        <f t="shared" si="21"/>
        <v>0</v>
      </c>
      <c r="T59" s="592">
        <f>SUM(T60:T70)</f>
        <v>0</v>
      </c>
      <c r="U59" s="1175">
        <f t="shared" si="6"/>
        <v>7482000</v>
      </c>
      <c r="V59" s="592">
        <v>7482000</v>
      </c>
      <c r="W59" s="1175">
        <v>7482000</v>
      </c>
    </row>
    <row r="60" spans="2:23" s="356" customFormat="1" ht="12.75">
      <c r="B60" s="350"/>
      <c r="C60" s="357"/>
      <c r="D60" s="352"/>
      <c r="E60" s="357"/>
      <c r="F60" s="368">
        <v>32</v>
      </c>
      <c r="G60" s="434">
        <v>411</v>
      </c>
      <c r="H60" s="1576" t="s">
        <v>27</v>
      </c>
      <c r="I60" s="1577"/>
      <c r="J60" s="1578"/>
      <c r="K60" s="925">
        <v>3500000</v>
      </c>
      <c r="L60" s="925">
        <v>2134419.3099999996</v>
      </c>
      <c r="M60" s="925">
        <v>4420000</v>
      </c>
      <c r="N60" s="441">
        <v>0</v>
      </c>
      <c r="O60" s="411">
        <v>0</v>
      </c>
      <c r="P60" s="411">
        <v>0</v>
      </c>
      <c r="Q60" s="414">
        <v>0</v>
      </c>
      <c r="R60" s="414">
        <v>0</v>
      </c>
      <c r="S60" s="414">
        <v>0</v>
      </c>
      <c r="T60" s="414">
        <f t="shared" si="3"/>
        <v>0</v>
      </c>
      <c r="U60" s="844">
        <f t="shared" si="6"/>
        <v>4420000</v>
      </c>
      <c r="V60" s="608">
        <v>4420000</v>
      </c>
      <c r="W60" s="844">
        <v>4420000</v>
      </c>
    </row>
    <row r="61" spans="2:23" s="356" customFormat="1" ht="12.75">
      <c r="B61" s="350"/>
      <c r="C61" s="357"/>
      <c r="D61" s="352"/>
      <c r="E61" s="357"/>
      <c r="F61" s="368">
        <v>33</v>
      </c>
      <c r="G61" s="434">
        <v>412</v>
      </c>
      <c r="H61" s="1576" t="s">
        <v>79</v>
      </c>
      <c r="I61" s="1577"/>
      <c r="J61" s="1578"/>
      <c r="K61" s="925">
        <v>610000</v>
      </c>
      <c r="L61" s="925">
        <v>355380.74000000005</v>
      </c>
      <c r="M61" s="925">
        <v>750000</v>
      </c>
      <c r="N61" s="441">
        <v>0</v>
      </c>
      <c r="O61" s="411">
        <v>0</v>
      </c>
      <c r="P61" s="411">
        <v>0</v>
      </c>
      <c r="Q61" s="414">
        <v>0</v>
      </c>
      <c r="R61" s="414">
        <v>0</v>
      </c>
      <c r="S61" s="414">
        <v>0</v>
      </c>
      <c r="T61" s="414">
        <f t="shared" si="3"/>
        <v>0</v>
      </c>
      <c r="U61" s="844">
        <f t="shared" si="6"/>
        <v>750000</v>
      </c>
      <c r="V61" s="608">
        <v>750000</v>
      </c>
      <c r="W61" s="844">
        <v>750000</v>
      </c>
    </row>
    <row r="62" spans="2:23" s="356" customFormat="1" ht="12.75">
      <c r="B62" s="350"/>
      <c r="C62" s="357"/>
      <c r="D62" s="352"/>
      <c r="E62" s="357"/>
      <c r="F62" s="368">
        <v>34</v>
      </c>
      <c r="G62" s="434">
        <v>414</v>
      </c>
      <c r="H62" s="1581" t="s">
        <v>203</v>
      </c>
      <c r="I62" s="1582"/>
      <c r="J62" s="1583"/>
      <c r="K62" s="925">
        <v>50000</v>
      </c>
      <c r="L62" s="925">
        <v>2863.090000000004</v>
      </c>
      <c r="M62" s="925">
        <v>50000</v>
      </c>
      <c r="N62" s="441">
        <v>0</v>
      </c>
      <c r="O62" s="411">
        <v>0</v>
      </c>
      <c r="P62" s="411">
        <v>0</v>
      </c>
      <c r="Q62" s="414">
        <v>0</v>
      </c>
      <c r="R62" s="414">
        <v>0</v>
      </c>
      <c r="S62" s="414">
        <v>0</v>
      </c>
      <c r="T62" s="414">
        <f t="shared" si="3"/>
        <v>0</v>
      </c>
      <c r="U62" s="844">
        <f t="shared" si="6"/>
        <v>50000</v>
      </c>
      <c r="V62" s="608">
        <v>50000</v>
      </c>
      <c r="W62" s="844">
        <v>50000</v>
      </c>
    </row>
    <row r="63" spans="2:23" s="356" customFormat="1" ht="12.75">
      <c r="B63" s="350"/>
      <c r="C63" s="357"/>
      <c r="D63" s="352"/>
      <c r="E63" s="357"/>
      <c r="F63" s="368">
        <v>35</v>
      </c>
      <c r="G63" s="434">
        <v>415</v>
      </c>
      <c r="H63" s="1576" t="s">
        <v>31</v>
      </c>
      <c r="I63" s="1577"/>
      <c r="J63" s="1578"/>
      <c r="K63" s="925">
        <v>732000</v>
      </c>
      <c r="L63" s="925">
        <v>374377.76</v>
      </c>
      <c r="M63" s="925">
        <v>732000</v>
      </c>
      <c r="N63" s="441">
        <v>0</v>
      </c>
      <c r="O63" s="411">
        <v>0</v>
      </c>
      <c r="P63" s="411">
        <v>0</v>
      </c>
      <c r="Q63" s="414">
        <v>0</v>
      </c>
      <c r="R63" s="414">
        <v>0</v>
      </c>
      <c r="S63" s="414">
        <v>0</v>
      </c>
      <c r="T63" s="414">
        <f t="shared" si="3"/>
        <v>0</v>
      </c>
      <c r="U63" s="844">
        <f t="shared" si="6"/>
        <v>732000</v>
      </c>
      <c r="V63" s="608">
        <v>732000</v>
      </c>
      <c r="W63" s="844">
        <v>732000</v>
      </c>
    </row>
    <row r="64" spans="2:23" s="356" customFormat="1" ht="12.75">
      <c r="B64" s="350"/>
      <c r="C64" s="357"/>
      <c r="D64" s="352"/>
      <c r="E64" s="357"/>
      <c r="F64" s="368">
        <v>36</v>
      </c>
      <c r="G64" s="434">
        <v>421</v>
      </c>
      <c r="H64" s="1581" t="s">
        <v>33</v>
      </c>
      <c r="I64" s="1582"/>
      <c r="J64" s="1583"/>
      <c r="K64" s="925">
        <v>150000</v>
      </c>
      <c r="L64" s="925">
        <v>38935.4</v>
      </c>
      <c r="M64" s="925">
        <v>150000</v>
      </c>
      <c r="N64" s="441">
        <v>0</v>
      </c>
      <c r="O64" s="411">
        <v>0</v>
      </c>
      <c r="P64" s="411">
        <v>0</v>
      </c>
      <c r="Q64" s="414">
        <v>0</v>
      </c>
      <c r="R64" s="414">
        <v>0</v>
      </c>
      <c r="S64" s="414">
        <v>0</v>
      </c>
      <c r="T64" s="414">
        <f t="shared" si="3"/>
        <v>0</v>
      </c>
      <c r="U64" s="844">
        <f t="shared" si="6"/>
        <v>150000</v>
      </c>
      <c r="V64" s="608">
        <v>150000</v>
      </c>
      <c r="W64" s="844">
        <v>150000</v>
      </c>
    </row>
    <row r="65" spans="2:23" s="356" customFormat="1" ht="12.75">
      <c r="B65" s="350"/>
      <c r="C65" s="357"/>
      <c r="D65" s="352"/>
      <c r="E65" s="357"/>
      <c r="F65" s="368">
        <v>37</v>
      </c>
      <c r="G65" s="434">
        <v>422</v>
      </c>
      <c r="H65" s="1581" t="s">
        <v>34</v>
      </c>
      <c r="I65" s="1582"/>
      <c r="J65" s="1583"/>
      <c r="K65" s="925">
        <v>50000</v>
      </c>
      <c r="L65" s="925">
        <v>0</v>
      </c>
      <c r="M65" s="925">
        <v>50000</v>
      </c>
      <c r="N65" s="441">
        <v>0</v>
      </c>
      <c r="O65" s="411">
        <v>0</v>
      </c>
      <c r="P65" s="411">
        <v>0</v>
      </c>
      <c r="Q65" s="414">
        <v>0</v>
      </c>
      <c r="R65" s="414">
        <v>0</v>
      </c>
      <c r="S65" s="414">
        <v>0</v>
      </c>
      <c r="T65" s="414">
        <f t="shared" si="3"/>
        <v>0</v>
      </c>
      <c r="U65" s="844">
        <f t="shared" si="6"/>
        <v>50000</v>
      </c>
      <c r="V65" s="608">
        <v>50000</v>
      </c>
      <c r="W65" s="844">
        <v>50000</v>
      </c>
    </row>
    <row r="66" spans="2:23" s="356" customFormat="1" ht="12.75">
      <c r="B66" s="350"/>
      <c r="C66" s="357"/>
      <c r="D66" s="352"/>
      <c r="E66" s="357"/>
      <c r="F66" s="368">
        <v>38</v>
      </c>
      <c r="G66" s="434">
        <v>423</v>
      </c>
      <c r="H66" s="1581" t="s">
        <v>35</v>
      </c>
      <c r="I66" s="1582"/>
      <c r="J66" s="1583"/>
      <c r="K66" s="925">
        <v>300000</v>
      </c>
      <c r="L66" s="925">
        <v>48338.189999999995</v>
      </c>
      <c r="M66" s="925">
        <v>300000</v>
      </c>
      <c r="N66" s="441">
        <v>0</v>
      </c>
      <c r="O66" s="411">
        <v>0</v>
      </c>
      <c r="P66" s="411">
        <v>0</v>
      </c>
      <c r="Q66" s="414">
        <v>0</v>
      </c>
      <c r="R66" s="414">
        <v>0</v>
      </c>
      <c r="S66" s="414">
        <v>0</v>
      </c>
      <c r="T66" s="414">
        <f t="shared" si="3"/>
        <v>0</v>
      </c>
      <c r="U66" s="844">
        <f t="shared" si="6"/>
        <v>300000</v>
      </c>
      <c r="V66" s="608">
        <v>300000</v>
      </c>
      <c r="W66" s="844">
        <v>300000</v>
      </c>
    </row>
    <row r="67" spans="2:23" s="356" customFormat="1" ht="12.75">
      <c r="B67" s="350"/>
      <c r="C67" s="357"/>
      <c r="D67" s="352"/>
      <c r="E67" s="357"/>
      <c r="F67" s="368">
        <v>39</v>
      </c>
      <c r="G67" s="444">
        <v>423</v>
      </c>
      <c r="H67" s="1508" t="s">
        <v>1420</v>
      </c>
      <c r="I67" s="1509"/>
      <c r="J67" s="1510"/>
      <c r="K67" s="746">
        <v>900000</v>
      </c>
      <c r="L67" s="746">
        <v>152830.2</v>
      </c>
      <c r="M67" s="746">
        <v>320000</v>
      </c>
      <c r="N67" s="441">
        <v>0</v>
      </c>
      <c r="O67" s="411">
        <v>0</v>
      </c>
      <c r="P67" s="411">
        <v>0</v>
      </c>
      <c r="Q67" s="414">
        <v>0</v>
      </c>
      <c r="R67" s="414">
        <v>0</v>
      </c>
      <c r="S67" s="414">
        <v>0</v>
      </c>
      <c r="T67" s="414">
        <f t="shared" si="3"/>
        <v>0</v>
      </c>
      <c r="U67" s="844">
        <f t="shared" si="6"/>
        <v>320000</v>
      </c>
      <c r="V67" s="608">
        <v>320000</v>
      </c>
      <c r="W67" s="844">
        <v>320000</v>
      </c>
    </row>
    <row r="68" spans="2:23" s="356" customFormat="1" ht="12.75">
      <c r="B68" s="350"/>
      <c r="C68" s="357"/>
      <c r="D68" s="352"/>
      <c r="E68" s="357"/>
      <c r="F68" s="368">
        <v>40</v>
      </c>
      <c r="G68" s="434">
        <v>423</v>
      </c>
      <c r="H68" s="1576" t="s">
        <v>87</v>
      </c>
      <c r="I68" s="1577"/>
      <c r="J68" s="1578"/>
      <c r="K68" s="925">
        <v>100000</v>
      </c>
      <c r="L68" s="925">
        <v>0</v>
      </c>
      <c r="M68" s="925">
        <v>100000</v>
      </c>
      <c r="N68" s="441">
        <v>0</v>
      </c>
      <c r="O68" s="411">
        <v>0</v>
      </c>
      <c r="P68" s="411">
        <v>0</v>
      </c>
      <c r="Q68" s="414">
        <v>0</v>
      </c>
      <c r="R68" s="414">
        <v>0</v>
      </c>
      <c r="S68" s="414">
        <v>0</v>
      </c>
      <c r="T68" s="414">
        <f t="shared" si="3"/>
        <v>0</v>
      </c>
      <c r="U68" s="844">
        <f t="shared" si="6"/>
        <v>100000</v>
      </c>
      <c r="V68" s="608">
        <v>100000</v>
      </c>
      <c r="W68" s="844">
        <v>100000</v>
      </c>
    </row>
    <row r="69" spans="2:23" s="356" customFormat="1" ht="12.75">
      <c r="B69" s="350"/>
      <c r="C69" s="357"/>
      <c r="D69" s="352"/>
      <c r="E69" s="357"/>
      <c r="F69" s="368">
        <v>41</v>
      </c>
      <c r="G69" s="434">
        <v>423</v>
      </c>
      <c r="H69" s="1576" t="s">
        <v>1372</v>
      </c>
      <c r="I69" s="1577"/>
      <c r="J69" s="1578"/>
      <c r="K69" s="925">
        <v>530000</v>
      </c>
      <c r="L69" s="925">
        <v>110550.46</v>
      </c>
      <c r="M69" s="925">
        <v>200000</v>
      </c>
      <c r="N69" s="441">
        <v>0</v>
      </c>
      <c r="O69" s="411">
        <v>0</v>
      </c>
      <c r="P69" s="411">
        <v>0</v>
      </c>
      <c r="Q69" s="414">
        <v>0</v>
      </c>
      <c r="R69" s="414">
        <v>0</v>
      </c>
      <c r="S69" s="414">
        <v>0</v>
      </c>
      <c r="T69" s="414">
        <f t="shared" si="3"/>
        <v>0</v>
      </c>
      <c r="U69" s="844">
        <f t="shared" si="6"/>
        <v>200000</v>
      </c>
      <c r="V69" s="608">
        <v>200000</v>
      </c>
      <c r="W69" s="844">
        <v>200000</v>
      </c>
    </row>
    <row r="70" spans="2:23" s="356" customFormat="1" ht="12.75">
      <c r="B70" s="350"/>
      <c r="C70" s="357"/>
      <c r="D70" s="352"/>
      <c r="E70" s="357"/>
      <c r="F70" s="368">
        <v>42</v>
      </c>
      <c r="G70" s="530">
        <v>426</v>
      </c>
      <c r="H70" s="1628" t="s">
        <v>38</v>
      </c>
      <c r="I70" s="1629"/>
      <c r="J70" s="1630"/>
      <c r="K70" s="926">
        <v>360000</v>
      </c>
      <c r="L70" s="926">
        <v>155734.91000000003</v>
      </c>
      <c r="M70" s="926">
        <v>360000</v>
      </c>
      <c r="N70" s="441">
        <v>0</v>
      </c>
      <c r="O70" s="411">
        <v>0</v>
      </c>
      <c r="P70" s="411">
        <v>0</v>
      </c>
      <c r="Q70" s="414">
        <v>0</v>
      </c>
      <c r="R70" s="414">
        <v>0</v>
      </c>
      <c r="S70" s="414">
        <v>0</v>
      </c>
      <c r="T70" s="414">
        <f t="shared" si="3"/>
        <v>0</v>
      </c>
      <c r="U70" s="844">
        <f t="shared" si="6"/>
        <v>360000</v>
      </c>
      <c r="V70" s="608">
        <v>360000</v>
      </c>
      <c r="W70" s="844">
        <v>360000</v>
      </c>
    </row>
    <row r="71" spans="2:23" s="356" customFormat="1" ht="12.75">
      <c r="B71" s="350"/>
      <c r="C71" s="357"/>
      <c r="D71" s="352"/>
      <c r="E71" s="357"/>
      <c r="F71" s="368" t="s">
        <v>1573</v>
      </c>
      <c r="G71" s="795">
        <v>472</v>
      </c>
      <c r="H71" s="1440" t="s">
        <v>1505</v>
      </c>
      <c r="I71" s="1078"/>
      <c r="J71" s="1441"/>
      <c r="K71" s="1442">
        <v>50000</v>
      </c>
      <c r="L71" s="1442">
        <v>50000</v>
      </c>
      <c r="M71" s="1442">
        <v>50000</v>
      </c>
      <c r="N71" s="405"/>
      <c r="O71" s="404"/>
      <c r="P71" s="404"/>
      <c r="Q71" s="417"/>
      <c r="R71" s="417"/>
      <c r="S71" s="417"/>
      <c r="T71" s="417"/>
      <c r="U71" s="844"/>
      <c r="V71" s="608"/>
      <c r="W71" s="844"/>
    </row>
    <row r="72" spans="2:23" s="500" customFormat="1" ht="12.75">
      <c r="B72" s="501" t="s">
        <v>1185</v>
      </c>
      <c r="C72" s="502"/>
      <c r="D72" s="503"/>
      <c r="E72" s="504"/>
      <c r="F72" s="503"/>
      <c r="G72" s="1058"/>
      <c r="H72" s="1602" t="s">
        <v>89</v>
      </c>
      <c r="I72" s="1603"/>
      <c r="J72" s="1604"/>
      <c r="K72" s="911">
        <f aca="true" t="shared" si="22" ref="K72:S72">K73+K130+K138+K143+K190+K204+K243+K258+K275+K289+K312+K321+K325+K340+K359+K381+K406+K417+K435+K448+K462+K479+K494</f>
        <v>401520340</v>
      </c>
      <c r="L72" s="911">
        <f t="shared" si="22"/>
        <v>160995282.61999997</v>
      </c>
      <c r="M72" s="911">
        <f t="shared" si="22"/>
        <v>419056579</v>
      </c>
      <c r="N72" s="505">
        <f t="shared" si="22"/>
        <v>180000</v>
      </c>
      <c r="O72" s="505">
        <f t="shared" si="22"/>
        <v>400000</v>
      </c>
      <c r="P72" s="505">
        <f t="shared" si="22"/>
        <v>92052279.21000001</v>
      </c>
      <c r="Q72" s="505">
        <f t="shared" si="22"/>
        <v>81581123</v>
      </c>
      <c r="R72" s="505">
        <f t="shared" si="22"/>
        <v>0</v>
      </c>
      <c r="S72" s="505">
        <f t="shared" si="22"/>
        <v>427000</v>
      </c>
      <c r="T72" s="820">
        <f aca="true" t="shared" si="23" ref="T72:T131">SUM(N72:S72)</f>
        <v>174640402.21</v>
      </c>
      <c r="U72" s="835">
        <f aca="true" t="shared" si="24" ref="U72:U135">M72+N72+O72+P72+Q72+R72+S72</f>
        <v>593696981.21</v>
      </c>
      <c r="V72" s="836">
        <v>593696981.21</v>
      </c>
      <c r="W72" s="1108">
        <v>593696981.21</v>
      </c>
    </row>
    <row r="73" spans="2:23" ht="12.75">
      <c r="B73" s="284"/>
      <c r="C73" s="285"/>
      <c r="D73" s="428"/>
      <c r="E73" s="610" t="s">
        <v>284</v>
      </c>
      <c r="F73" s="611"/>
      <c r="G73" s="612"/>
      <c r="H73" s="1511" t="s">
        <v>1261</v>
      </c>
      <c r="I73" s="1512"/>
      <c r="J73" s="1512"/>
      <c r="K73" s="957">
        <f>K74+K106+K117+K124+K127</f>
        <v>90130000</v>
      </c>
      <c r="L73" s="957">
        <f>L74+L106+L117+L124+L127</f>
        <v>42597739.64999999</v>
      </c>
      <c r="M73" s="957">
        <f>M74+M106+M117+M124+M127</f>
        <v>92600000</v>
      </c>
      <c r="N73" s="286">
        <f aca="true" t="shared" si="25" ref="N73:S73">N74+N106+N117+N124+N127+N112</f>
        <v>0</v>
      </c>
      <c r="O73" s="286">
        <f t="shared" si="25"/>
        <v>0</v>
      </c>
      <c r="P73" s="286">
        <f t="shared" si="25"/>
        <v>952400</v>
      </c>
      <c r="Q73" s="286">
        <f t="shared" si="25"/>
        <v>2000000</v>
      </c>
      <c r="R73" s="286">
        <f t="shared" si="25"/>
        <v>0</v>
      </c>
      <c r="S73" s="286">
        <f t="shared" si="25"/>
        <v>0</v>
      </c>
      <c r="T73" s="334">
        <f t="shared" si="23"/>
        <v>2952400</v>
      </c>
      <c r="U73" s="845">
        <f t="shared" si="24"/>
        <v>95552400</v>
      </c>
      <c r="V73" s="618">
        <v>95552400</v>
      </c>
      <c r="W73" s="652">
        <v>95552400</v>
      </c>
    </row>
    <row r="74" spans="2:23" ht="13.5" customHeight="1">
      <c r="B74" s="284"/>
      <c r="C74" s="285"/>
      <c r="D74" s="428"/>
      <c r="E74" s="346" t="s">
        <v>286</v>
      </c>
      <c r="F74" s="428"/>
      <c r="G74" s="429"/>
      <c r="H74" s="1537" t="s">
        <v>320</v>
      </c>
      <c r="I74" s="1600"/>
      <c r="J74" s="1601"/>
      <c r="K74" s="913">
        <f aca="true" t="shared" si="26" ref="K74:S74">K75</f>
        <v>83700000</v>
      </c>
      <c r="L74" s="913">
        <f t="shared" si="26"/>
        <v>40395157.50999999</v>
      </c>
      <c r="M74" s="913">
        <f t="shared" si="26"/>
        <v>86070000</v>
      </c>
      <c r="N74" s="913">
        <f t="shared" si="26"/>
        <v>0</v>
      </c>
      <c r="O74" s="290">
        <f t="shared" si="26"/>
        <v>0</v>
      </c>
      <c r="P74" s="290">
        <f t="shared" si="26"/>
        <v>952400</v>
      </c>
      <c r="Q74" s="290">
        <f t="shared" si="26"/>
        <v>2000000</v>
      </c>
      <c r="R74" s="290">
        <f t="shared" si="26"/>
        <v>0</v>
      </c>
      <c r="S74" s="290">
        <f t="shared" si="26"/>
        <v>0</v>
      </c>
      <c r="T74" s="335">
        <f t="shared" si="23"/>
        <v>2952400</v>
      </c>
      <c r="U74" s="845">
        <f t="shared" si="24"/>
        <v>89022400</v>
      </c>
      <c r="V74" s="652">
        <v>89022400</v>
      </c>
      <c r="W74" s="652">
        <v>89022400</v>
      </c>
    </row>
    <row r="75" spans="2:23" s="23" customFormat="1" ht="12.75">
      <c r="B75" s="546"/>
      <c r="C75" s="547"/>
      <c r="D75" s="56">
        <v>130</v>
      </c>
      <c r="E75" s="58"/>
      <c r="F75" s="548"/>
      <c r="G75" s="549"/>
      <c r="H75" s="1526" t="s">
        <v>90</v>
      </c>
      <c r="I75" s="1527"/>
      <c r="J75" s="729"/>
      <c r="K75" s="539">
        <f>SUM(K76:K105)</f>
        <v>83700000</v>
      </c>
      <c r="L75" s="539">
        <f>SUM(L76:L105)</f>
        <v>40395157.50999999</v>
      </c>
      <c r="M75" s="539">
        <f>SUM(M76:M105)</f>
        <v>86070000</v>
      </c>
      <c r="N75" s="68">
        <f aca="true" t="shared" si="27" ref="N75:S75">SUM(N76:N105)</f>
        <v>0</v>
      </c>
      <c r="O75" s="68">
        <f t="shared" si="27"/>
        <v>0</v>
      </c>
      <c r="P75" s="68">
        <f t="shared" si="27"/>
        <v>952400</v>
      </c>
      <c r="Q75" s="68">
        <f t="shared" si="27"/>
        <v>2000000</v>
      </c>
      <c r="R75" s="68">
        <f t="shared" si="27"/>
        <v>0</v>
      </c>
      <c r="S75" s="68">
        <f t="shared" si="27"/>
        <v>0</v>
      </c>
      <c r="T75" s="338">
        <f t="shared" si="23"/>
        <v>2952400</v>
      </c>
      <c r="U75" s="1175">
        <f t="shared" si="24"/>
        <v>89022400</v>
      </c>
      <c r="V75" s="837">
        <v>89022400</v>
      </c>
      <c r="W75" s="1175">
        <v>89022400</v>
      </c>
    </row>
    <row r="76" spans="2:23" s="356" customFormat="1" ht="12.75">
      <c r="B76" s="350"/>
      <c r="C76" s="357"/>
      <c r="D76" s="352"/>
      <c r="E76" s="357"/>
      <c r="F76" s="368">
        <v>43</v>
      </c>
      <c r="G76" s="434">
        <v>411</v>
      </c>
      <c r="H76" s="1492" t="s">
        <v>27</v>
      </c>
      <c r="I76" s="1493"/>
      <c r="J76" s="1494"/>
      <c r="K76" s="922">
        <v>32000000</v>
      </c>
      <c r="L76" s="922">
        <v>14742180.009999998</v>
      </c>
      <c r="M76" s="372">
        <v>32798000</v>
      </c>
      <c r="N76" s="441">
        <v>0</v>
      </c>
      <c r="O76" s="411">
        <v>0</v>
      </c>
      <c r="P76" s="411">
        <v>0</v>
      </c>
      <c r="Q76" s="414">
        <v>0</v>
      </c>
      <c r="R76" s="414">
        <v>0</v>
      </c>
      <c r="S76" s="414">
        <v>0</v>
      </c>
      <c r="T76" s="414">
        <f t="shared" si="23"/>
        <v>0</v>
      </c>
      <c r="U76" s="844">
        <f t="shared" si="24"/>
        <v>32798000</v>
      </c>
      <c r="V76" s="608">
        <v>32798000</v>
      </c>
      <c r="W76" s="844">
        <v>32798000</v>
      </c>
    </row>
    <row r="77" spans="2:23" s="356" customFormat="1" ht="12.75">
      <c r="B77" s="350"/>
      <c r="C77" s="357"/>
      <c r="D77" s="352"/>
      <c r="E77" s="357"/>
      <c r="F77" s="368">
        <v>44</v>
      </c>
      <c r="G77" s="434">
        <v>412</v>
      </c>
      <c r="H77" s="1508" t="s">
        <v>79</v>
      </c>
      <c r="I77" s="1509"/>
      <c r="J77" s="1510"/>
      <c r="K77" s="372">
        <v>5800000</v>
      </c>
      <c r="L77" s="372">
        <v>2454572.84</v>
      </c>
      <c r="M77" s="372">
        <v>5942000</v>
      </c>
      <c r="N77" s="441">
        <v>0</v>
      </c>
      <c r="O77" s="411">
        <v>0</v>
      </c>
      <c r="P77" s="411">
        <v>0</v>
      </c>
      <c r="Q77" s="414">
        <v>0</v>
      </c>
      <c r="R77" s="414">
        <v>0</v>
      </c>
      <c r="S77" s="414">
        <v>0</v>
      </c>
      <c r="T77" s="414">
        <f t="shared" si="23"/>
        <v>0</v>
      </c>
      <c r="U77" s="844">
        <f t="shared" si="24"/>
        <v>5942000</v>
      </c>
      <c r="V77" s="608">
        <v>5942000</v>
      </c>
      <c r="W77" s="844">
        <v>5942000</v>
      </c>
    </row>
    <row r="78" spans="2:23" s="356" customFormat="1" ht="12.75">
      <c r="B78" s="350"/>
      <c r="C78" s="357"/>
      <c r="D78" s="352"/>
      <c r="E78" s="357"/>
      <c r="F78" s="368">
        <v>45</v>
      </c>
      <c r="G78" s="434">
        <v>414</v>
      </c>
      <c r="H78" s="1508" t="s">
        <v>30</v>
      </c>
      <c r="I78" s="1509"/>
      <c r="J78" s="1510"/>
      <c r="K78" s="372">
        <v>1000000</v>
      </c>
      <c r="L78" s="372">
        <v>500414.06</v>
      </c>
      <c r="M78" s="372">
        <v>1100000</v>
      </c>
      <c r="N78" s="441">
        <v>0</v>
      </c>
      <c r="O78" s="411">
        <v>0</v>
      </c>
      <c r="P78" s="411">
        <v>0</v>
      </c>
      <c r="Q78" s="414">
        <v>0</v>
      </c>
      <c r="R78" s="414">
        <v>0</v>
      </c>
      <c r="S78" s="414">
        <v>0</v>
      </c>
      <c r="T78" s="414">
        <f t="shared" si="23"/>
        <v>0</v>
      </c>
      <c r="U78" s="844">
        <f t="shared" si="24"/>
        <v>1100000</v>
      </c>
      <c r="V78" s="608">
        <v>1100000</v>
      </c>
      <c r="W78" s="844">
        <v>1100000</v>
      </c>
    </row>
    <row r="79" spans="2:23" s="356" customFormat="1" ht="12.75">
      <c r="B79" s="350"/>
      <c r="C79" s="357"/>
      <c r="D79" s="352"/>
      <c r="E79" s="357"/>
      <c r="F79" s="368">
        <v>46</v>
      </c>
      <c r="G79" s="434">
        <v>415</v>
      </c>
      <c r="H79" s="1508" t="s">
        <v>31</v>
      </c>
      <c r="I79" s="1509"/>
      <c r="J79" s="1510"/>
      <c r="K79" s="372">
        <v>5000000</v>
      </c>
      <c r="L79" s="372">
        <v>2385622.32</v>
      </c>
      <c r="M79" s="372">
        <v>5000000</v>
      </c>
      <c r="N79" s="441">
        <v>0</v>
      </c>
      <c r="O79" s="411">
        <v>0</v>
      </c>
      <c r="P79" s="411">
        <v>0</v>
      </c>
      <c r="Q79" s="414">
        <v>0</v>
      </c>
      <c r="R79" s="414">
        <v>0</v>
      </c>
      <c r="S79" s="414">
        <v>0</v>
      </c>
      <c r="T79" s="414">
        <f t="shared" si="23"/>
        <v>0</v>
      </c>
      <c r="U79" s="844">
        <f t="shared" si="24"/>
        <v>5000000</v>
      </c>
      <c r="V79" s="608">
        <v>5000000</v>
      </c>
      <c r="W79" s="844">
        <v>5000000</v>
      </c>
    </row>
    <row r="80" spans="2:23" s="356" customFormat="1" ht="12.75">
      <c r="B80" s="350"/>
      <c r="C80" s="357"/>
      <c r="D80" s="352"/>
      <c r="E80" s="357"/>
      <c r="F80" s="368">
        <v>47</v>
      </c>
      <c r="G80" s="434">
        <v>416</v>
      </c>
      <c r="H80" s="1517" t="s">
        <v>200</v>
      </c>
      <c r="I80" s="1518"/>
      <c r="J80" s="1519"/>
      <c r="K80" s="372">
        <v>400000</v>
      </c>
      <c r="L80" s="372">
        <v>393939.07</v>
      </c>
      <c r="M80" s="372">
        <v>590000</v>
      </c>
      <c r="N80" s="441">
        <v>0</v>
      </c>
      <c r="O80" s="411">
        <v>0</v>
      </c>
      <c r="P80" s="411">
        <v>0</v>
      </c>
      <c r="Q80" s="414">
        <v>0</v>
      </c>
      <c r="R80" s="414">
        <v>0</v>
      </c>
      <c r="S80" s="414">
        <v>0</v>
      </c>
      <c r="T80" s="414">
        <f t="shared" si="23"/>
        <v>0</v>
      </c>
      <c r="U80" s="844">
        <f t="shared" si="24"/>
        <v>590000</v>
      </c>
      <c r="V80" s="608">
        <v>590000</v>
      </c>
      <c r="W80" s="844">
        <v>590000</v>
      </c>
    </row>
    <row r="81" spans="2:23" s="356" customFormat="1" ht="12.75">
      <c r="B81" s="350"/>
      <c r="C81" s="357"/>
      <c r="D81" s="352"/>
      <c r="E81" s="357"/>
      <c r="F81" s="368">
        <v>48</v>
      </c>
      <c r="G81" s="444">
        <v>421</v>
      </c>
      <c r="H81" s="1508" t="s">
        <v>33</v>
      </c>
      <c r="I81" s="1509"/>
      <c r="J81" s="1510"/>
      <c r="K81" s="372">
        <v>6100000</v>
      </c>
      <c r="L81" s="372">
        <v>3149054.71</v>
      </c>
      <c r="M81" s="372">
        <v>6100000</v>
      </c>
      <c r="N81" s="441">
        <v>0</v>
      </c>
      <c r="O81" s="411">
        <v>0</v>
      </c>
      <c r="P81" s="411">
        <v>0</v>
      </c>
      <c r="Q81" s="414">
        <v>0</v>
      </c>
      <c r="R81" s="414">
        <v>0</v>
      </c>
      <c r="S81" s="414">
        <v>0</v>
      </c>
      <c r="T81" s="414">
        <f t="shared" si="23"/>
        <v>0</v>
      </c>
      <c r="U81" s="844">
        <f t="shared" si="24"/>
        <v>6100000</v>
      </c>
      <c r="V81" s="608">
        <v>6100000</v>
      </c>
      <c r="W81" s="844">
        <v>6100000</v>
      </c>
    </row>
    <row r="82" spans="2:23" s="356" customFormat="1" ht="12.75">
      <c r="B82" s="350"/>
      <c r="C82" s="357"/>
      <c r="D82" s="352"/>
      <c r="E82" s="357"/>
      <c r="F82" s="368">
        <v>49</v>
      </c>
      <c r="G82" s="444">
        <v>422</v>
      </c>
      <c r="H82" s="1517" t="s">
        <v>34</v>
      </c>
      <c r="I82" s="1518"/>
      <c r="J82" s="1519"/>
      <c r="K82" s="372">
        <v>100000</v>
      </c>
      <c r="L82" s="372">
        <v>12367.5</v>
      </c>
      <c r="M82" s="372">
        <v>50000</v>
      </c>
      <c r="N82" s="441">
        <v>0</v>
      </c>
      <c r="O82" s="411">
        <v>0</v>
      </c>
      <c r="P82" s="411">
        <v>0</v>
      </c>
      <c r="Q82" s="414">
        <v>0</v>
      </c>
      <c r="R82" s="414">
        <v>0</v>
      </c>
      <c r="S82" s="414">
        <v>0</v>
      </c>
      <c r="T82" s="414">
        <f t="shared" si="23"/>
        <v>0</v>
      </c>
      <c r="U82" s="844">
        <f t="shared" si="24"/>
        <v>50000</v>
      </c>
      <c r="V82" s="608">
        <v>50000</v>
      </c>
      <c r="W82" s="844">
        <v>50000</v>
      </c>
    </row>
    <row r="83" spans="2:23" s="356" customFormat="1" ht="12.75">
      <c r="B83" s="350"/>
      <c r="C83" s="357"/>
      <c r="D83" s="352"/>
      <c r="E83" s="357"/>
      <c r="F83" s="368">
        <v>50</v>
      </c>
      <c r="G83" s="444">
        <v>423</v>
      </c>
      <c r="H83" s="1517" t="s">
        <v>35</v>
      </c>
      <c r="I83" s="1518"/>
      <c r="J83" s="1519"/>
      <c r="K83" s="372">
        <v>13000000</v>
      </c>
      <c r="L83" s="372">
        <v>11278441.44</v>
      </c>
      <c r="M83" s="372">
        <v>17000000</v>
      </c>
      <c r="N83" s="441">
        <v>0</v>
      </c>
      <c r="O83" s="411">
        <v>0</v>
      </c>
      <c r="P83" s="411">
        <v>0</v>
      </c>
      <c r="Q83" s="414">
        <v>0</v>
      </c>
      <c r="R83" s="414">
        <v>0</v>
      </c>
      <c r="S83" s="414">
        <v>0</v>
      </c>
      <c r="T83" s="414">
        <f t="shared" si="23"/>
        <v>0</v>
      </c>
      <c r="U83" s="844">
        <f t="shared" si="24"/>
        <v>17000000</v>
      </c>
      <c r="V83" s="608">
        <v>17000000</v>
      </c>
      <c r="W83" s="844">
        <v>17000000</v>
      </c>
    </row>
    <row r="84" spans="1:23" s="356" customFormat="1" ht="12.75">
      <c r="A84" s="356" t="s">
        <v>1490</v>
      </c>
      <c r="B84" s="350"/>
      <c r="C84" s="357"/>
      <c r="D84" s="352"/>
      <c r="E84" s="357"/>
      <c r="F84" s="368">
        <v>51</v>
      </c>
      <c r="G84" s="444">
        <v>423</v>
      </c>
      <c r="H84" s="1517" t="s">
        <v>1491</v>
      </c>
      <c r="I84" s="1518"/>
      <c r="J84" s="1519"/>
      <c r="K84" s="372">
        <v>200000</v>
      </c>
      <c r="L84" s="372">
        <v>0</v>
      </c>
      <c r="M84" s="372">
        <v>200000</v>
      </c>
      <c r="N84" s="441">
        <v>0</v>
      </c>
      <c r="O84" s="411">
        <v>0</v>
      </c>
      <c r="P84" s="411">
        <v>0</v>
      </c>
      <c r="Q84" s="414">
        <v>0</v>
      </c>
      <c r="R84" s="414">
        <v>0</v>
      </c>
      <c r="S84" s="414">
        <v>0</v>
      </c>
      <c r="T84" s="414">
        <f t="shared" si="23"/>
        <v>0</v>
      </c>
      <c r="U84" s="844">
        <f t="shared" si="24"/>
        <v>200000</v>
      </c>
      <c r="V84" s="608">
        <v>200000</v>
      </c>
      <c r="W84" s="844">
        <v>200000</v>
      </c>
    </row>
    <row r="85" spans="2:23" s="356" customFormat="1" ht="12.75">
      <c r="B85" s="350"/>
      <c r="C85" s="357"/>
      <c r="D85" s="352"/>
      <c r="E85" s="357"/>
      <c r="F85" s="368">
        <v>52</v>
      </c>
      <c r="G85" s="434">
        <v>423</v>
      </c>
      <c r="H85" s="1508" t="s">
        <v>1372</v>
      </c>
      <c r="I85" s="1509"/>
      <c r="J85" s="1510"/>
      <c r="K85" s="372">
        <v>300000</v>
      </c>
      <c r="L85" s="372">
        <v>178396.14</v>
      </c>
      <c r="M85" s="372">
        <v>300000</v>
      </c>
      <c r="N85" s="441">
        <v>0</v>
      </c>
      <c r="O85" s="411">
        <v>0</v>
      </c>
      <c r="P85" s="411">
        <v>0</v>
      </c>
      <c r="Q85" s="414">
        <v>0</v>
      </c>
      <c r="R85" s="414">
        <v>0</v>
      </c>
      <c r="S85" s="414">
        <v>0</v>
      </c>
      <c r="T85" s="414">
        <f t="shared" si="23"/>
        <v>0</v>
      </c>
      <c r="U85" s="844">
        <f t="shared" si="24"/>
        <v>300000</v>
      </c>
      <c r="V85" s="608">
        <v>300000</v>
      </c>
      <c r="W85" s="844">
        <v>300000</v>
      </c>
    </row>
    <row r="86" spans="2:23" s="356" customFormat="1" ht="12.75">
      <c r="B86" s="350"/>
      <c r="C86" s="357"/>
      <c r="D86" s="446"/>
      <c r="E86" s="447"/>
      <c r="F86" s="368">
        <v>53</v>
      </c>
      <c r="G86" s="448">
        <v>423</v>
      </c>
      <c r="H86" s="1605" t="s">
        <v>1374</v>
      </c>
      <c r="I86" s="1606"/>
      <c r="J86" s="1607"/>
      <c r="K86" s="927">
        <v>150000</v>
      </c>
      <c r="L86" s="927">
        <v>0</v>
      </c>
      <c r="M86" s="927">
        <v>150000</v>
      </c>
      <c r="N86" s="441">
        <v>0</v>
      </c>
      <c r="O86" s="421">
        <v>0</v>
      </c>
      <c r="P86" s="421">
        <v>0</v>
      </c>
      <c r="Q86" s="414">
        <v>0</v>
      </c>
      <c r="R86" s="414">
        <v>0</v>
      </c>
      <c r="S86" s="408">
        <v>0</v>
      </c>
      <c r="T86" s="408">
        <f t="shared" si="23"/>
        <v>0</v>
      </c>
      <c r="U86" s="844">
        <f t="shared" si="24"/>
        <v>150000</v>
      </c>
      <c r="V86" s="376">
        <v>150000</v>
      </c>
      <c r="W86" s="844">
        <v>150000</v>
      </c>
    </row>
    <row r="87" spans="2:23" s="510" customFormat="1" ht="12.75">
      <c r="B87" s="511"/>
      <c r="C87" s="452"/>
      <c r="D87" s="512"/>
      <c r="E87" s="452"/>
      <c r="F87" s="368">
        <v>54</v>
      </c>
      <c r="G87" s="434">
        <v>423</v>
      </c>
      <c r="H87" s="1576" t="s">
        <v>1375</v>
      </c>
      <c r="I87" s="1577"/>
      <c r="J87" s="1578"/>
      <c r="K87" s="925">
        <v>180000</v>
      </c>
      <c r="L87" s="925">
        <v>0</v>
      </c>
      <c r="M87" s="925">
        <v>180000</v>
      </c>
      <c r="N87" s="441">
        <v>0</v>
      </c>
      <c r="O87" s="513">
        <v>0</v>
      </c>
      <c r="P87" s="513">
        <v>0</v>
      </c>
      <c r="Q87" s="414">
        <v>0</v>
      </c>
      <c r="R87" s="414">
        <v>0</v>
      </c>
      <c r="S87" s="416">
        <v>0</v>
      </c>
      <c r="T87" s="416">
        <f t="shared" si="23"/>
        <v>0</v>
      </c>
      <c r="U87" s="844">
        <f t="shared" si="24"/>
        <v>180000</v>
      </c>
      <c r="V87" s="608">
        <v>180000</v>
      </c>
      <c r="W87" s="844">
        <v>180000</v>
      </c>
    </row>
    <row r="88" spans="2:23" s="510" customFormat="1" ht="12.75">
      <c r="B88" s="511"/>
      <c r="C88" s="452"/>
      <c r="D88" s="512"/>
      <c r="E88" s="452"/>
      <c r="F88" s="368">
        <v>55</v>
      </c>
      <c r="G88" s="434">
        <v>423</v>
      </c>
      <c r="H88" s="1581" t="s">
        <v>1376</v>
      </c>
      <c r="I88" s="1582"/>
      <c r="J88" s="1583"/>
      <c r="K88" s="925">
        <v>400000</v>
      </c>
      <c r="L88" s="925">
        <v>110400</v>
      </c>
      <c r="M88" s="925">
        <v>120000</v>
      </c>
      <c r="N88" s="441">
        <v>0</v>
      </c>
      <c r="O88" s="513">
        <v>0</v>
      </c>
      <c r="P88" s="513">
        <v>0</v>
      </c>
      <c r="Q88" s="414">
        <v>0</v>
      </c>
      <c r="R88" s="414">
        <v>0</v>
      </c>
      <c r="S88" s="416">
        <v>0</v>
      </c>
      <c r="T88" s="416">
        <f t="shared" si="23"/>
        <v>0</v>
      </c>
      <c r="U88" s="844">
        <f t="shared" si="24"/>
        <v>120000</v>
      </c>
      <c r="V88" s="608">
        <v>120000</v>
      </c>
      <c r="W88" s="844">
        <v>120000</v>
      </c>
    </row>
    <row r="89" spans="2:23" s="356" customFormat="1" ht="12.75">
      <c r="B89" s="350"/>
      <c r="C89" s="357"/>
      <c r="D89" s="352"/>
      <c r="E89" s="357"/>
      <c r="F89" s="368">
        <v>56</v>
      </c>
      <c r="G89" s="434">
        <v>424</v>
      </c>
      <c r="H89" s="1508" t="s">
        <v>36</v>
      </c>
      <c r="I89" s="1509"/>
      <c r="J89" s="1510"/>
      <c r="K89" s="746">
        <v>600000</v>
      </c>
      <c r="L89" s="746">
        <v>308930.24</v>
      </c>
      <c r="M89" s="746">
        <v>600000</v>
      </c>
      <c r="N89" s="441">
        <v>0</v>
      </c>
      <c r="O89" s="411">
        <v>0</v>
      </c>
      <c r="P89" s="411">
        <v>0</v>
      </c>
      <c r="Q89" s="414">
        <v>2000000</v>
      </c>
      <c r="R89" s="414">
        <v>0</v>
      </c>
      <c r="S89" s="414">
        <v>0</v>
      </c>
      <c r="T89" s="414">
        <f t="shared" si="23"/>
        <v>2000000</v>
      </c>
      <c r="U89" s="844">
        <f t="shared" si="24"/>
        <v>2600000</v>
      </c>
      <c r="V89" s="608">
        <v>2600000</v>
      </c>
      <c r="W89" s="844">
        <v>2600000</v>
      </c>
    </row>
    <row r="90" spans="2:23" s="356" customFormat="1" ht="12.75">
      <c r="B90" s="350"/>
      <c r="C90" s="357"/>
      <c r="D90" s="352"/>
      <c r="E90" s="357"/>
      <c r="F90" s="368">
        <v>57</v>
      </c>
      <c r="G90" s="434">
        <v>425</v>
      </c>
      <c r="H90" s="1508" t="s">
        <v>91</v>
      </c>
      <c r="I90" s="1509"/>
      <c r="J90" s="1510"/>
      <c r="K90" s="746">
        <v>2200000</v>
      </c>
      <c r="L90" s="746">
        <v>585606.06</v>
      </c>
      <c r="M90" s="746">
        <v>2200000</v>
      </c>
      <c r="N90" s="441">
        <v>0</v>
      </c>
      <c r="O90" s="411">
        <v>0</v>
      </c>
      <c r="P90" s="411">
        <v>0</v>
      </c>
      <c r="Q90" s="414">
        <v>0</v>
      </c>
      <c r="R90" s="414">
        <v>0</v>
      </c>
      <c r="S90" s="414">
        <v>0</v>
      </c>
      <c r="T90" s="414">
        <f t="shared" si="23"/>
        <v>0</v>
      </c>
      <c r="U90" s="844">
        <f t="shared" si="24"/>
        <v>2200000</v>
      </c>
      <c r="V90" s="608">
        <v>2200000</v>
      </c>
      <c r="W90" s="844">
        <v>2200000</v>
      </c>
    </row>
    <row r="91" spans="2:23" s="356" customFormat="1" ht="12.75">
      <c r="B91" s="350"/>
      <c r="C91" s="357"/>
      <c r="D91" s="446"/>
      <c r="E91" s="447"/>
      <c r="F91" s="368">
        <v>58</v>
      </c>
      <c r="G91" s="448">
        <v>425</v>
      </c>
      <c r="H91" s="1605" t="s">
        <v>1183</v>
      </c>
      <c r="I91" s="1606"/>
      <c r="J91" s="1607"/>
      <c r="K91" s="927">
        <v>300000</v>
      </c>
      <c r="L91" s="927">
        <v>0</v>
      </c>
      <c r="M91" s="927">
        <v>300000</v>
      </c>
      <c r="N91" s="441">
        <v>0</v>
      </c>
      <c r="O91" s="421">
        <v>0</v>
      </c>
      <c r="P91" s="421">
        <v>0</v>
      </c>
      <c r="Q91" s="414">
        <v>0</v>
      </c>
      <c r="R91" s="414">
        <v>0</v>
      </c>
      <c r="S91" s="408">
        <v>0</v>
      </c>
      <c r="T91" s="408">
        <f t="shared" si="23"/>
        <v>0</v>
      </c>
      <c r="U91" s="844">
        <f t="shared" si="24"/>
        <v>300000</v>
      </c>
      <c r="V91" s="376">
        <v>300000</v>
      </c>
      <c r="W91" s="844">
        <v>300000</v>
      </c>
    </row>
    <row r="92" spans="2:23" s="356" customFormat="1" ht="12.75">
      <c r="B92" s="350"/>
      <c r="C92" s="357"/>
      <c r="D92" s="352"/>
      <c r="E92" s="357"/>
      <c r="F92" s="368">
        <v>59</v>
      </c>
      <c r="G92" s="434">
        <v>426</v>
      </c>
      <c r="H92" s="1508" t="s">
        <v>38</v>
      </c>
      <c r="I92" s="1509"/>
      <c r="J92" s="1510"/>
      <c r="K92" s="746">
        <v>3000000</v>
      </c>
      <c r="L92" s="746">
        <v>1351824.19</v>
      </c>
      <c r="M92" s="746">
        <v>3000000</v>
      </c>
      <c r="N92" s="441">
        <v>0</v>
      </c>
      <c r="O92" s="411">
        <v>0</v>
      </c>
      <c r="P92" s="411">
        <v>80456</v>
      </c>
      <c r="Q92" s="414">
        <v>0</v>
      </c>
      <c r="R92" s="414">
        <v>0</v>
      </c>
      <c r="S92" s="414">
        <v>0</v>
      </c>
      <c r="T92" s="414">
        <f t="shared" si="23"/>
        <v>80456</v>
      </c>
      <c r="U92" s="844">
        <f t="shared" si="24"/>
        <v>3080456</v>
      </c>
      <c r="V92" s="608">
        <v>3080456</v>
      </c>
      <c r="W92" s="844">
        <v>3080456</v>
      </c>
    </row>
    <row r="93" spans="2:23" s="356" customFormat="1" ht="12.75">
      <c r="B93" s="350"/>
      <c r="C93" s="357"/>
      <c r="D93" s="446"/>
      <c r="E93" s="447"/>
      <c r="F93" s="368">
        <v>60</v>
      </c>
      <c r="G93" s="448">
        <v>426</v>
      </c>
      <c r="H93" s="1605" t="s">
        <v>17</v>
      </c>
      <c r="I93" s="1606"/>
      <c r="J93" s="1607"/>
      <c r="K93" s="927">
        <v>50000</v>
      </c>
      <c r="L93" s="927">
        <v>0</v>
      </c>
      <c r="M93" s="927">
        <v>50000</v>
      </c>
      <c r="N93" s="441">
        <v>0</v>
      </c>
      <c r="O93" s="421">
        <v>0</v>
      </c>
      <c r="P93" s="421">
        <v>0</v>
      </c>
      <c r="Q93" s="414">
        <v>0</v>
      </c>
      <c r="R93" s="414">
        <v>0</v>
      </c>
      <c r="S93" s="408">
        <v>0</v>
      </c>
      <c r="T93" s="408">
        <f t="shared" si="23"/>
        <v>0</v>
      </c>
      <c r="U93" s="844">
        <f t="shared" si="24"/>
        <v>50000</v>
      </c>
      <c r="V93" s="376">
        <v>50000</v>
      </c>
      <c r="W93" s="844">
        <v>50000</v>
      </c>
    </row>
    <row r="94" spans="2:23" s="356" customFormat="1" ht="12.75">
      <c r="B94" s="350"/>
      <c r="C94" s="357"/>
      <c r="D94" s="352"/>
      <c r="E94" s="357"/>
      <c r="F94" s="368">
        <v>61</v>
      </c>
      <c r="G94" s="444">
        <v>465</v>
      </c>
      <c r="H94" s="1517" t="s">
        <v>1429</v>
      </c>
      <c r="I94" s="1518"/>
      <c r="J94" s="1519"/>
      <c r="K94" s="746">
        <v>500000</v>
      </c>
      <c r="L94" s="746">
        <v>0</v>
      </c>
      <c r="M94" s="746">
        <v>500000</v>
      </c>
      <c r="N94" s="441">
        <v>0</v>
      </c>
      <c r="O94" s="411">
        <v>0</v>
      </c>
      <c r="P94" s="411">
        <v>0</v>
      </c>
      <c r="Q94" s="414">
        <v>0</v>
      </c>
      <c r="R94" s="414">
        <v>0</v>
      </c>
      <c r="S94" s="414">
        <v>0</v>
      </c>
      <c r="T94" s="414">
        <f t="shared" si="23"/>
        <v>0</v>
      </c>
      <c r="U94" s="844">
        <f t="shared" si="24"/>
        <v>500000</v>
      </c>
      <c r="V94" s="608">
        <v>500000</v>
      </c>
      <c r="W94" s="844">
        <v>500000</v>
      </c>
    </row>
    <row r="95" spans="2:23" s="356" customFormat="1" ht="12.75">
      <c r="B95" s="350"/>
      <c r="C95" s="357"/>
      <c r="D95" s="352"/>
      <c r="E95" s="357"/>
      <c r="F95" s="368">
        <v>62</v>
      </c>
      <c r="G95" s="434">
        <v>465</v>
      </c>
      <c r="H95" s="1508" t="s">
        <v>280</v>
      </c>
      <c r="I95" s="1509"/>
      <c r="J95" s="1510"/>
      <c r="K95" s="746">
        <v>600000</v>
      </c>
      <c r="L95" s="746">
        <v>260486.5</v>
      </c>
      <c r="M95" s="746">
        <v>600000</v>
      </c>
      <c r="N95" s="441">
        <v>0</v>
      </c>
      <c r="O95" s="411">
        <v>0</v>
      </c>
      <c r="P95" s="411">
        <v>0</v>
      </c>
      <c r="Q95" s="414">
        <v>0</v>
      </c>
      <c r="R95" s="414">
        <v>0</v>
      </c>
      <c r="S95" s="414">
        <v>0</v>
      </c>
      <c r="T95" s="414">
        <f t="shared" si="23"/>
        <v>0</v>
      </c>
      <c r="U95" s="844">
        <f t="shared" si="24"/>
        <v>600000</v>
      </c>
      <c r="V95" s="608">
        <v>600000</v>
      </c>
      <c r="W95" s="844">
        <v>600000</v>
      </c>
    </row>
    <row r="96" spans="2:23" s="356" customFormat="1" ht="12.75">
      <c r="B96" s="350"/>
      <c r="C96" s="357"/>
      <c r="D96" s="180"/>
      <c r="E96" s="180"/>
      <c r="F96" s="368">
        <v>63</v>
      </c>
      <c r="G96" s="448">
        <v>472</v>
      </c>
      <c r="H96" s="1508" t="s">
        <v>1377</v>
      </c>
      <c r="I96" s="1509"/>
      <c r="J96" s="1510"/>
      <c r="K96" s="746">
        <v>50000</v>
      </c>
      <c r="L96" s="746">
        <v>0</v>
      </c>
      <c r="M96" s="746">
        <v>50000</v>
      </c>
      <c r="N96" s="441">
        <v>0</v>
      </c>
      <c r="O96" s="450">
        <v>0</v>
      </c>
      <c r="P96" s="450">
        <v>0</v>
      </c>
      <c r="Q96" s="418">
        <v>0</v>
      </c>
      <c r="R96" s="414">
        <v>0</v>
      </c>
      <c r="S96" s="418">
        <v>0</v>
      </c>
      <c r="T96" s="418">
        <f t="shared" si="23"/>
        <v>0</v>
      </c>
      <c r="U96" s="844">
        <f t="shared" si="24"/>
        <v>50000</v>
      </c>
      <c r="V96" s="376">
        <v>50000</v>
      </c>
      <c r="W96" s="844">
        <v>50000</v>
      </c>
    </row>
    <row r="97" spans="2:23" s="356" customFormat="1" ht="12.75">
      <c r="B97" s="350"/>
      <c r="C97" s="357"/>
      <c r="D97" s="180"/>
      <c r="E97" s="180"/>
      <c r="F97" s="368">
        <v>64</v>
      </c>
      <c r="G97" s="353">
        <v>481</v>
      </c>
      <c r="H97" s="1508" t="s">
        <v>1443</v>
      </c>
      <c r="I97" s="1509"/>
      <c r="J97" s="1510"/>
      <c r="K97" s="746">
        <v>700000</v>
      </c>
      <c r="L97" s="746">
        <v>700000</v>
      </c>
      <c r="M97" s="746">
        <v>970000</v>
      </c>
      <c r="N97" s="441">
        <v>0</v>
      </c>
      <c r="O97" s="626">
        <v>0</v>
      </c>
      <c r="P97" s="418">
        <v>0</v>
      </c>
      <c r="Q97" s="418">
        <v>0</v>
      </c>
      <c r="R97" s="414">
        <v>0</v>
      </c>
      <c r="S97" s="355">
        <v>0</v>
      </c>
      <c r="T97" s="418">
        <f t="shared" si="23"/>
        <v>0</v>
      </c>
      <c r="U97" s="844">
        <f t="shared" si="24"/>
        <v>970000</v>
      </c>
      <c r="V97" s="376">
        <v>970000</v>
      </c>
      <c r="W97" s="844">
        <v>970000</v>
      </c>
    </row>
    <row r="98" spans="2:23" s="356" customFormat="1" ht="12.75">
      <c r="B98" s="350"/>
      <c r="C98" s="357"/>
      <c r="D98" s="180"/>
      <c r="E98" s="180"/>
      <c r="F98" s="368">
        <v>65</v>
      </c>
      <c r="G98" s="448">
        <v>481</v>
      </c>
      <c r="H98" s="1517" t="s">
        <v>1378</v>
      </c>
      <c r="I98" s="1518"/>
      <c r="J98" s="1519"/>
      <c r="K98" s="746">
        <v>4300000</v>
      </c>
      <c r="L98" s="746">
        <v>1546337.3</v>
      </c>
      <c r="M98" s="746">
        <v>4300000</v>
      </c>
      <c r="N98" s="441">
        <v>0</v>
      </c>
      <c r="O98" s="531">
        <v>0</v>
      </c>
      <c r="P98" s="414">
        <v>0</v>
      </c>
      <c r="Q98" s="414">
        <v>0</v>
      </c>
      <c r="R98" s="414">
        <v>0</v>
      </c>
      <c r="S98" s="354">
        <v>0</v>
      </c>
      <c r="T98" s="418">
        <f t="shared" si="23"/>
        <v>0</v>
      </c>
      <c r="U98" s="844">
        <f t="shared" si="24"/>
        <v>4300000</v>
      </c>
      <c r="V98" s="376">
        <v>4300000</v>
      </c>
      <c r="W98" s="844">
        <v>4300000</v>
      </c>
    </row>
    <row r="99" spans="2:23" s="356" customFormat="1" ht="12.75">
      <c r="B99" s="350"/>
      <c r="C99" s="357"/>
      <c r="D99" s="352"/>
      <c r="E99" s="357"/>
      <c r="F99" s="368">
        <v>66</v>
      </c>
      <c r="G99" s="434">
        <v>482</v>
      </c>
      <c r="H99" s="1508" t="s">
        <v>82</v>
      </c>
      <c r="I99" s="1509"/>
      <c r="J99" s="1510"/>
      <c r="K99" s="746">
        <v>3000000</v>
      </c>
      <c r="L99" s="746">
        <v>29124.329999999998</v>
      </c>
      <c r="M99" s="746">
        <v>1200000</v>
      </c>
      <c r="N99" s="441">
        <v>0</v>
      </c>
      <c r="O99" s="531">
        <v>0</v>
      </c>
      <c r="P99" s="411">
        <v>0</v>
      </c>
      <c r="Q99" s="414">
        <v>0</v>
      </c>
      <c r="R99" s="414">
        <v>0</v>
      </c>
      <c r="S99" s="414">
        <v>0</v>
      </c>
      <c r="T99" s="414">
        <f t="shared" si="23"/>
        <v>0</v>
      </c>
      <c r="U99" s="844">
        <f t="shared" si="24"/>
        <v>1200000</v>
      </c>
      <c r="V99" s="608">
        <v>1200000</v>
      </c>
      <c r="W99" s="844">
        <v>1200000</v>
      </c>
    </row>
    <row r="100" spans="2:23" s="356" customFormat="1" ht="12.75">
      <c r="B100" s="350"/>
      <c r="C100" s="357"/>
      <c r="D100" s="352"/>
      <c r="E100" s="357"/>
      <c r="F100" s="368">
        <v>67</v>
      </c>
      <c r="G100" s="434">
        <v>483</v>
      </c>
      <c r="H100" s="1508" t="s">
        <v>92</v>
      </c>
      <c r="I100" s="1509"/>
      <c r="J100" s="1510"/>
      <c r="K100" s="746">
        <v>400000</v>
      </c>
      <c r="L100" s="746">
        <v>0</v>
      </c>
      <c r="M100" s="746">
        <v>400000</v>
      </c>
      <c r="N100" s="441">
        <v>0</v>
      </c>
      <c r="O100" s="531">
        <v>0</v>
      </c>
      <c r="P100" s="411">
        <v>0</v>
      </c>
      <c r="Q100" s="414">
        <v>0</v>
      </c>
      <c r="R100" s="414">
        <v>0</v>
      </c>
      <c r="S100" s="414">
        <v>0</v>
      </c>
      <c r="T100" s="414">
        <f t="shared" si="23"/>
        <v>0</v>
      </c>
      <c r="U100" s="844">
        <f t="shared" si="24"/>
        <v>400000</v>
      </c>
      <c r="V100" s="608">
        <v>400000</v>
      </c>
      <c r="W100" s="844">
        <v>400000</v>
      </c>
    </row>
    <row r="101" spans="2:23" s="356" customFormat="1" ht="12.75">
      <c r="B101" s="350"/>
      <c r="C101" s="357"/>
      <c r="D101" s="352"/>
      <c r="E101" s="357"/>
      <c r="F101" s="368">
        <v>68</v>
      </c>
      <c r="G101" s="434">
        <v>485</v>
      </c>
      <c r="H101" s="1508" t="s">
        <v>93</v>
      </c>
      <c r="I101" s="1509"/>
      <c r="J101" s="1510"/>
      <c r="K101" s="746">
        <v>1400000</v>
      </c>
      <c r="L101" s="746">
        <v>0</v>
      </c>
      <c r="M101" s="746">
        <v>400000</v>
      </c>
      <c r="N101" s="441">
        <v>0</v>
      </c>
      <c r="O101" s="531">
        <v>0</v>
      </c>
      <c r="P101" s="411">
        <v>0</v>
      </c>
      <c r="Q101" s="414">
        <v>0</v>
      </c>
      <c r="R101" s="414">
        <v>0</v>
      </c>
      <c r="S101" s="414">
        <v>0</v>
      </c>
      <c r="T101" s="414">
        <f t="shared" si="23"/>
        <v>0</v>
      </c>
      <c r="U101" s="844">
        <f t="shared" si="24"/>
        <v>400000</v>
      </c>
      <c r="V101" s="608">
        <v>400000</v>
      </c>
      <c r="W101" s="844">
        <v>400000</v>
      </c>
    </row>
    <row r="102" spans="2:23" s="356" customFormat="1" ht="12.75">
      <c r="B102" s="350"/>
      <c r="C102" s="357"/>
      <c r="D102" s="352"/>
      <c r="E102" s="357"/>
      <c r="F102" s="368">
        <v>69</v>
      </c>
      <c r="G102" s="434">
        <v>512</v>
      </c>
      <c r="H102" s="1508" t="s">
        <v>83</v>
      </c>
      <c r="I102" s="1509"/>
      <c r="J102" s="1510"/>
      <c r="K102" s="746">
        <v>700000</v>
      </c>
      <c r="L102" s="746">
        <v>224580.79999999996</v>
      </c>
      <c r="M102" s="746">
        <v>700000</v>
      </c>
      <c r="N102" s="441">
        <v>0</v>
      </c>
      <c r="O102" s="531">
        <v>0</v>
      </c>
      <c r="P102" s="411">
        <v>271944</v>
      </c>
      <c r="Q102" s="416">
        <v>0</v>
      </c>
      <c r="R102" s="414">
        <v>0</v>
      </c>
      <c r="S102" s="414">
        <v>0</v>
      </c>
      <c r="T102" s="414">
        <f t="shared" si="23"/>
        <v>271944</v>
      </c>
      <c r="U102" s="844">
        <f t="shared" si="24"/>
        <v>971944</v>
      </c>
      <c r="V102" s="608">
        <v>971944</v>
      </c>
      <c r="W102" s="844">
        <v>971944</v>
      </c>
    </row>
    <row r="103" spans="2:23" s="356" customFormat="1" ht="12.75">
      <c r="B103" s="350"/>
      <c r="C103" s="357"/>
      <c r="D103" s="446"/>
      <c r="E103" s="447"/>
      <c r="F103" s="368">
        <v>70</v>
      </c>
      <c r="G103" s="448">
        <v>512</v>
      </c>
      <c r="H103" s="1605" t="s">
        <v>277</v>
      </c>
      <c r="I103" s="1606"/>
      <c r="J103" s="1607"/>
      <c r="K103" s="928">
        <v>110000</v>
      </c>
      <c r="L103" s="928">
        <v>0</v>
      </c>
      <c r="M103" s="928">
        <v>110000</v>
      </c>
      <c r="N103" s="1061">
        <v>0</v>
      </c>
      <c r="O103" s="531">
        <v>0</v>
      </c>
      <c r="P103" s="421">
        <v>0</v>
      </c>
      <c r="Q103" s="408">
        <v>0</v>
      </c>
      <c r="R103" s="414">
        <v>0</v>
      </c>
      <c r="S103" s="408">
        <v>0</v>
      </c>
      <c r="T103" s="408">
        <f t="shared" si="23"/>
        <v>0</v>
      </c>
      <c r="U103" s="844">
        <f t="shared" si="24"/>
        <v>110000</v>
      </c>
      <c r="V103" s="376">
        <v>110000</v>
      </c>
      <c r="W103" s="844">
        <v>110000</v>
      </c>
    </row>
    <row r="104" spans="2:23" s="356" customFormat="1" ht="12.75">
      <c r="B104" s="350"/>
      <c r="C104" s="357"/>
      <c r="D104" s="446"/>
      <c r="E104" s="447"/>
      <c r="F104" s="368">
        <v>71</v>
      </c>
      <c r="G104" s="448">
        <v>515</v>
      </c>
      <c r="H104" s="1658" t="s">
        <v>215</v>
      </c>
      <c r="I104" s="1659"/>
      <c r="J104" s="1659"/>
      <c r="K104" s="726">
        <v>660000</v>
      </c>
      <c r="L104" s="726">
        <v>182880</v>
      </c>
      <c r="M104" s="726">
        <v>660000</v>
      </c>
      <c r="N104" s="457">
        <v>0</v>
      </c>
      <c r="O104" s="736">
        <v>0</v>
      </c>
      <c r="P104" s="406">
        <v>600000</v>
      </c>
      <c r="Q104" s="408">
        <v>0</v>
      </c>
      <c r="R104" s="414">
        <v>0</v>
      </c>
      <c r="S104" s="408">
        <v>0</v>
      </c>
      <c r="T104" s="408">
        <f t="shared" si="23"/>
        <v>600000</v>
      </c>
      <c r="U104" s="844">
        <f t="shared" si="24"/>
        <v>1260000</v>
      </c>
      <c r="V104" s="376">
        <v>1260000</v>
      </c>
      <c r="W104" s="844">
        <v>1260000</v>
      </c>
    </row>
    <row r="105" spans="2:23" s="356" customFormat="1" ht="12.75">
      <c r="B105" s="350"/>
      <c r="C105" s="357"/>
      <c r="D105" s="352"/>
      <c r="E105" s="357"/>
      <c r="F105" s="368">
        <v>72</v>
      </c>
      <c r="G105" s="444">
        <v>541</v>
      </c>
      <c r="H105" s="1653" t="s">
        <v>204</v>
      </c>
      <c r="I105" s="1653"/>
      <c r="J105" s="1523"/>
      <c r="K105" s="540">
        <v>500000</v>
      </c>
      <c r="L105" s="540">
        <v>0</v>
      </c>
      <c r="M105" s="540">
        <v>500000</v>
      </c>
      <c r="N105" s="457">
        <v>0</v>
      </c>
      <c r="O105" s="736">
        <v>0</v>
      </c>
      <c r="P105" s="404">
        <v>0</v>
      </c>
      <c r="Q105" s="414">
        <v>0</v>
      </c>
      <c r="R105" s="414">
        <v>0</v>
      </c>
      <c r="S105" s="414">
        <v>0</v>
      </c>
      <c r="T105" s="414">
        <f t="shared" si="23"/>
        <v>0</v>
      </c>
      <c r="U105" s="844">
        <f t="shared" si="24"/>
        <v>500000</v>
      </c>
      <c r="V105" s="608">
        <v>500000</v>
      </c>
      <c r="W105" s="844">
        <v>500000</v>
      </c>
    </row>
    <row r="106" spans="2:23" ht="27.75" customHeight="1">
      <c r="B106" s="284"/>
      <c r="C106" s="285"/>
      <c r="D106" s="428"/>
      <c r="E106" s="346" t="s">
        <v>1254</v>
      </c>
      <c r="F106" s="428"/>
      <c r="G106" s="429"/>
      <c r="H106" s="1638" t="s">
        <v>328</v>
      </c>
      <c r="I106" s="1639"/>
      <c r="J106" s="1639"/>
      <c r="K106" s="1062">
        <f aca="true" t="shared" si="28" ref="K106:S106">SUM(K108:K111)</f>
        <v>2000000</v>
      </c>
      <c r="L106" s="1062">
        <f t="shared" si="28"/>
        <v>1541600</v>
      </c>
      <c r="M106" s="1062">
        <f t="shared" si="28"/>
        <v>2550000</v>
      </c>
      <c r="N106" s="652">
        <f t="shared" si="28"/>
        <v>0</v>
      </c>
      <c r="O106" s="290">
        <f t="shared" si="28"/>
        <v>0</v>
      </c>
      <c r="P106" s="290">
        <f t="shared" si="28"/>
        <v>0</v>
      </c>
      <c r="Q106" s="290">
        <f t="shared" si="28"/>
        <v>0</v>
      </c>
      <c r="R106" s="290">
        <f t="shared" si="28"/>
        <v>0</v>
      </c>
      <c r="S106" s="290">
        <f t="shared" si="28"/>
        <v>0</v>
      </c>
      <c r="T106" s="335">
        <f t="shared" si="23"/>
        <v>0</v>
      </c>
      <c r="U106" s="845">
        <f t="shared" si="24"/>
        <v>2550000</v>
      </c>
      <c r="V106" s="652">
        <v>2550000</v>
      </c>
      <c r="W106" s="652">
        <v>2550000</v>
      </c>
    </row>
    <row r="107" spans="2:23" ht="12.75">
      <c r="B107" s="430"/>
      <c r="C107" s="431"/>
      <c r="D107" s="56">
        <v>130</v>
      </c>
      <c r="E107" s="58"/>
      <c r="F107" s="432"/>
      <c r="G107" s="433"/>
      <c r="H107" s="1526" t="s">
        <v>90</v>
      </c>
      <c r="I107" s="1527"/>
      <c r="J107" s="1528"/>
      <c r="K107" s="751">
        <f aca="true" t="shared" si="29" ref="K107:S107">SUM(K108:K111)</f>
        <v>2000000</v>
      </c>
      <c r="L107" s="751">
        <f t="shared" si="29"/>
        <v>1541600</v>
      </c>
      <c r="M107" s="751">
        <f t="shared" si="29"/>
        <v>2550000</v>
      </c>
      <c r="N107" s="751">
        <f t="shared" si="29"/>
        <v>0</v>
      </c>
      <c r="O107" s="751">
        <f t="shared" si="29"/>
        <v>0</v>
      </c>
      <c r="P107" s="181">
        <f t="shared" si="29"/>
        <v>0</v>
      </c>
      <c r="Q107" s="181">
        <f t="shared" si="29"/>
        <v>0</v>
      </c>
      <c r="R107" s="181">
        <f t="shared" si="29"/>
        <v>0</v>
      </c>
      <c r="S107" s="181">
        <f t="shared" si="29"/>
        <v>0</v>
      </c>
      <c r="T107" s="336">
        <f t="shared" si="23"/>
        <v>0</v>
      </c>
      <c r="U107" s="1175">
        <f t="shared" si="24"/>
        <v>2550000</v>
      </c>
      <c r="V107" s="837">
        <v>2550000</v>
      </c>
      <c r="W107" s="1175">
        <v>2550000</v>
      </c>
    </row>
    <row r="108" spans="2:23" ht="12.75">
      <c r="B108" s="430"/>
      <c r="C108" s="431"/>
      <c r="D108" s="358"/>
      <c r="E108" s="459"/>
      <c r="F108" s="368">
        <v>73</v>
      </c>
      <c r="G108" s="433">
        <v>421</v>
      </c>
      <c r="H108" s="1508" t="s">
        <v>1381</v>
      </c>
      <c r="I108" s="1509"/>
      <c r="J108" s="1510"/>
      <c r="K108" s="372">
        <v>10000</v>
      </c>
      <c r="L108" s="372">
        <v>0</v>
      </c>
      <c r="M108" s="372">
        <v>10000</v>
      </c>
      <c r="N108" s="372">
        <v>0</v>
      </c>
      <c r="O108" s="746">
        <v>0</v>
      </c>
      <c r="P108" s="746">
        <v>0</v>
      </c>
      <c r="Q108" s="359">
        <v>0</v>
      </c>
      <c r="R108" s="746">
        <v>0</v>
      </c>
      <c r="S108" s="359">
        <v>0</v>
      </c>
      <c r="T108" s="359">
        <f t="shared" si="23"/>
        <v>0</v>
      </c>
      <c r="U108" s="844">
        <f t="shared" si="24"/>
        <v>10000</v>
      </c>
      <c r="V108" s="766">
        <v>10000</v>
      </c>
      <c r="W108" s="844">
        <v>10000</v>
      </c>
    </row>
    <row r="109" spans="2:23" ht="12.75">
      <c r="B109" s="430"/>
      <c r="C109" s="431"/>
      <c r="D109" s="358"/>
      <c r="E109" s="459"/>
      <c r="F109" s="368">
        <v>74</v>
      </c>
      <c r="G109" s="433">
        <v>422</v>
      </c>
      <c r="H109" s="1517" t="s">
        <v>34</v>
      </c>
      <c r="I109" s="1518"/>
      <c r="J109" s="1519"/>
      <c r="K109" s="372">
        <v>10000</v>
      </c>
      <c r="L109" s="372">
        <v>0</v>
      </c>
      <c r="M109" s="372">
        <v>10000</v>
      </c>
      <c r="N109" s="372">
        <v>0</v>
      </c>
      <c r="O109" s="746">
        <v>0</v>
      </c>
      <c r="P109" s="746">
        <v>0</v>
      </c>
      <c r="Q109" s="359">
        <v>0</v>
      </c>
      <c r="R109" s="746">
        <v>0</v>
      </c>
      <c r="S109" s="359">
        <v>0</v>
      </c>
      <c r="T109" s="359"/>
      <c r="U109" s="844">
        <f t="shared" si="24"/>
        <v>10000</v>
      </c>
      <c r="V109" s="766">
        <v>10000</v>
      </c>
      <c r="W109" s="844">
        <v>10000</v>
      </c>
    </row>
    <row r="110" spans="2:23" s="356" customFormat="1" ht="12.75">
      <c r="B110" s="350"/>
      <c r="C110" s="357"/>
      <c r="D110" s="352"/>
      <c r="E110" s="357"/>
      <c r="F110" s="368">
        <v>75</v>
      </c>
      <c r="G110" s="444">
        <v>423</v>
      </c>
      <c r="H110" s="1508" t="s">
        <v>1379</v>
      </c>
      <c r="I110" s="1509"/>
      <c r="J110" s="1510"/>
      <c r="K110" s="372">
        <v>1970000</v>
      </c>
      <c r="L110" s="372">
        <v>1541600</v>
      </c>
      <c r="M110" s="372">
        <v>2520000</v>
      </c>
      <c r="N110" s="441">
        <v>0</v>
      </c>
      <c r="O110" s="411">
        <v>0</v>
      </c>
      <c r="P110" s="411">
        <v>0</v>
      </c>
      <c r="Q110" s="414">
        <v>0</v>
      </c>
      <c r="R110" s="411">
        <v>0</v>
      </c>
      <c r="S110" s="414">
        <v>0</v>
      </c>
      <c r="T110" s="417">
        <f t="shared" si="23"/>
        <v>0</v>
      </c>
      <c r="U110" s="844">
        <f t="shared" si="24"/>
        <v>2520000</v>
      </c>
      <c r="V110" s="766">
        <v>2520000</v>
      </c>
      <c r="W110" s="844">
        <v>2520000</v>
      </c>
    </row>
    <row r="111" spans="2:23" s="356" customFormat="1" ht="12.75">
      <c r="B111" s="350"/>
      <c r="C111" s="357"/>
      <c r="D111" s="352"/>
      <c r="E111" s="357"/>
      <c r="F111" s="628" t="s">
        <v>1542</v>
      </c>
      <c r="G111" s="434">
        <v>426</v>
      </c>
      <c r="H111" s="1508" t="s">
        <v>1380</v>
      </c>
      <c r="I111" s="1509"/>
      <c r="J111" s="1510"/>
      <c r="K111" s="746">
        <v>10000</v>
      </c>
      <c r="L111" s="746">
        <v>0</v>
      </c>
      <c r="M111" s="746">
        <v>10000</v>
      </c>
      <c r="N111" s="441">
        <v>0</v>
      </c>
      <c r="O111" s="411">
        <v>0</v>
      </c>
      <c r="P111" s="411">
        <v>0</v>
      </c>
      <c r="Q111" s="414">
        <v>0</v>
      </c>
      <c r="R111" s="411">
        <v>0</v>
      </c>
      <c r="S111" s="414">
        <v>0</v>
      </c>
      <c r="T111" s="417">
        <f t="shared" si="23"/>
        <v>0</v>
      </c>
      <c r="U111" s="844">
        <f t="shared" si="24"/>
        <v>10000</v>
      </c>
      <c r="V111" s="766">
        <v>10000</v>
      </c>
      <c r="W111" s="844">
        <v>10000</v>
      </c>
    </row>
    <row r="112" spans="2:23" ht="12.75" customHeight="1" hidden="1">
      <c r="B112" s="284"/>
      <c r="C112" s="285"/>
      <c r="D112" s="428"/>
      <c r="E112" s="346"/>
      <c r="F112" s="428"/>
      <c r="G112" s="429"/>
      <c r="H112" s="1660"/>
      <c r="I112" s="1661"/>
      <c r="J112" s="1662"/>
      <c r="K112" s="929">
        <f>K113</f>
        <v>4650000</v>
      </c>
      <c r="L112" s="929">
        <f>L113</f>
        <v>0</v>
      </c>
      <c r="M112" s="929">
        <f>M113</f>
        <v>0</v>
      </c>
      <c r="N112" s="290">
        <f aca="true" t="shared" si="30" ref="N112:S112">N113</f>
        <v>0</v>
      </c>
      <c r="O112" s="290">
        <f t="shared" si="30"/>
        <v>0</v>
      </c>
      <c r="P112" s="290">
        <f t="shared" si="30"/>
        <v>0</v>
      </c>
      <c r="Q112" s="290">
        <f t="shared" si="30"/>
        <v>0</v>
      </c>
      <c r="R112" s="290">
        <f t="shared" si="30"/>
        <v>0</v>
      </c>
      <c r="S112" s="335">
        <f t="shared" si="30"/>
        <v>0</v>
      </c>
      <c r="T112" s="818">
        <f t="shared" si="23"/>
        <v>0</v>
      </c>
      <c r="U112" s="835">
        <f t="shared" si="24"/>
        <v>0</v>
      </c>
      <c r="V112" s="652">
        <v>0</v>
      </c>
      <c r="W112" s="652">
        <v>0</v>
      </c>
    </row>
    <row r="113" spans="2:23" s="42" customFormat="1" ht="12.75" hidden="1">
      <c r="B113" s="328"/>
      <c r="C113" s="329"/>
      <c r="D113" s="332"/>
      <c r="E113" s="329"/>
      <c r="F113" s="332"/>
      <c r="G113" s="1073"/>
      <c r="H113" s="1501"/>
      <c r="I113" s="1502"/>
      <c r="J113" s="1674"/>
      <c r="K113" s="1063">
        <f>SUM(K114:K116)</f>
        <v>4650000</v>
      </c>
      <c r="L113" s="1063">
        <f>SUM(L114:L116)</f>
        <v>0</v>
      </c>
      <c r="M113" s="1063"/>
      <c r="N113" s="330"/>
      <c r="O113" s="330"/>
      <c r="P113" s="330"/>
      <c r="Q113" s="330"/>
      <c r="R113" s="330"/>
      <c r="S113" s="341"/>
      <c r="T113" s="821">
        <f t="shared" si="23"/>
        <v>0</v>
      </c>
      <c r="U113" s="835">
        <f t="shared" si="24"/>
        <v>0</v>
      </c>
      <c r="V113" s="375">
        <v>0</v>
      </c>
      <c r="W113" s="652">
        <v>0</v>
      </c>
    </row>
    <row r="114" spans="2:23" s="356" customFormat="1" ht="12.75" customHeight="1" hidden="1">
      <c r="B114" s="361"/>
      <c r="C114" s="362"/>
      <c r="D114" s="363"/>
      <c r="E114" s="628"/>
      <c r="F114" s="351"/>
      <c r="G114" s="641"/>
      <c r="H114" s="1498"/>
      <c r="I114" s="1499"/>
      <c r="J114" s="1500"/>
      <c r="K114" s="1064">
        <v>150000</v>
      </c>
      <c r="L114" s="1064">
        <v>0</v>
      </c>
      <c r="M114" s="1064"/>
      <c r="N114" s="405"/>
      <c r="O114" s="537"/>
      <c r="P114" s="537"/>
      <c r="Q114" s="537"/>
      <c r="R114" s="615"/>
      <c r="S114" s="659"/>
      <c r="T114" s="822">
        <f t="shared" si="23"/>
        <v>0</v>
      </c>
      <c r="U114" s="835">
        <f t="shared" si="24"/>
        <v>0</v>
      </c>
      <c r="V114" s="376">
        <v>0</v>
      </c>
      <c r="W114" s="652">
        <v>0</v>
      </c>
    </row>
    <row r="115" spans="2:23" s="356" customFormat="1" ht="12.75" customHeight="1" hidden="1">
      <c r="B115" s="361"/>
      <c r="C115" s="362"/>
      <c r="D115" s="363"/>
      <c r="E115" s="357"/>
      <c r="F115" s="762"/>
      <c r="G115" s="352"/>
      <c r="H115" s="1498"/>
      <c r="I115" s="1499"/>
      <c r="J115" s="1500"/>
      <c r="K115" s="1064">
        <v>2250000</v>
      </c>
      <c r="L115" s="1064">
        <v>0</v>
      </c>
      <c r="M115" s="1064"/>
      <c r="N115" s="405"/>
      <c r="O115" s="631"/>
      <c r="P115" s="631"/>
      <c r="Q115" s="631"/>
      <c r="R115" s="596"/>
      <c r="S115" s="657"/>
      <c r="T115" s="822">
        <f t="shared" si="23"/>
        <v>0</v>
      </c>
      <c r="U115" s="835">
        <f t="shared" si="24"/>
        <v>0</v>
      </c>
      <c r="V115" s="376">
        <v>0</v>
      </c>
      <c r="W115" s="652">
        <v>0</v>
      </c>
    </row>
    <row r="116" spans="2:23" s="356" customFormat="1" ht="12.75" customHeight="1" hidden="1">
      <c r="B116" s="361"/>
      <c r="C116" s="362"/>
      <c r="D116" s="363"/>
      <c r="E116" s="604"/>
      <c r="F116" s="763"/>
      <c r="G116" s="642"/>
      <c r="H116" s="1546"/>
      <c r="I116" s="1547"/>
      <c r="J116" s="1657"/>
      <c r="K116" s="1064">
        <v>2250000</v>
      </c>
      <c r="L116" s="1064">
        <v>0</v>
      </c>
      <c r="M116" s="1064"/>
      <c r="N116" s="405"/>
      <c r="O116" s="629"/>
      <c r="P116" s="629"/>
      <c r="Q116" s="629"/>
      <c r="R116" s="630"/>
      <c r="S116" s="658"/>
      <c r="T116" s="822">
        <f t="shared" si="23"/>
        <v>0</v>
      </c>
      <c r="U116" s="835">
        <f t="shared" si="24"/>
        <v>0</v>
      </c>
      <c r="V116" s="376">
        <v>0</v>
      </c>
      <c r="W116" s="652">
        <v>0</v>
      </c>
    </row>
    <row r="117" spans="2:23" s="356" customFormat="1" ht="12.75">
      <c r="B117" s="284"/>
      <c r="C117" s="285"/>
      <c r="D117" s="428"/>
      <c r="E117" s="346" t="s">
        <v>1208</v>
      </c>
      <c r="F117" s="346"/>
      <c r="G117" s="601"/>
      <c r="H117" s="1489" t="s">
        <v>1264</v>
      </c>
      <c r="I117" s="1490"/>
      <c r="J117" s="1491"/>
      <c r="K117" s="916">
        <f aca="true" t="shared" si="31" ref="K117:S117">K118</f>
        <v>3980000</v>
      </c>
      <c r="L117" s="916">
        <f t="shared" si="31"/>
        <v>660982.14</v>
      </c>
      <c r="M117" s="916">
        <f t="shared" si="31"/>
        <v>2980000</v>
      </c>
      <c r="N117" s="290">
        <f t="shared" si="31"/>
        <v>0</v>
      </c>
      <c r="O117" s="290">
        <f t="shared" si="31"/>
        <v>0</v>
      </c>
      <c r="P117" s="290">
        <f t="shared" si="31"/>
        <v>0</v>
      </c>
      <c r="Q117" s="290">
        <f t="shared" si="31"/>
        <v>0</v>
      </c>
      <c r="R117" s="290">
        <f t="shared" si="31"/>
        <v>0</v>
      </c>
      <c r="S117" s="290">
        <f t="shared" si="31"/>
        <v>0</v>
      </c>
      <c r="T117" s="335">
        <f t="shared" si="23"/>
        <v>0</v>
      </c>
      <c r="U117" s="845">
        <f t="shared" si="24"/>
        <v>2980000</v>
      </c>
      <c r="V117" s="652">
        <v>2980000</v>
      </c>
      <c r="W117" s="652">
        <v>2980000</v>
      </c>
    </row>
    <row r="118" spans="2:23" s="356" customFormat="1" ht="12.75">
      <c r="B118" s="350"/>
      <c r="C118" s="357"/>
      <c r="D118" s="56">
        <v>220</v>
      </c>
      <c r="E118" s="180"/>
      <c r="F118" s="357"/>
      <c r="G118" s="353"/>
      <c r="H118" s="1526" t="s">
        <v>1255</v>
      </c>
      <c r="I118" s="1527"/>
      <c r="J118" s="1528"/>
      <c r="K118" s="181">
        <f>SUM(K119:K123)</f>
        <v>3980000</v>
      </c>
      <c r="L118" s="181">
        <f>SUM(L119:L123)</f>
        <v>660982.14</v>
      </c>
      <c r="M118" s="181">
        <f>SUM(M119:M123)</f>
        <v>2980000</v>
      </c>
      <c r="N118" s="181">
        <f aca="true" t="shared" si="32" ref="N118:S118">SUM(N119:N123)</f>
        <v>0</v>
      </c>
      <c r="O118" s="181">
        <f t="shared" si="32"/>
        <v>0</v>
      </c>
      <c r="P118" s="181">
        <f t="shared" si="32"/>
        <v>0</v>
      </c>
      <c r="Q118" s="181">
        <f t="shared" si="32"/>
        <v>0</v>
      </c>
      <c r="R118" s="181">
        <f t="shared" si="32"/>
        <v>0</v>
      </c>
      <c r="S118" s="181">
        <f t="shared" si="32"/>
        <v>0</v>
      </c>
      <c r="T118" s="336">
        <f t="shared" si="23"/>
        <v>0</v>
      </c>
      <c r="U118" s="1175">
        <f t="shared" si="24"/>
        <v>2980000</v>
      </c>
      <c r="V118" s="375">
        <v>2980000</v>
      </c>
      <c r="W118" s="1175">
        <v>2980000</v>
      </c>
    </row>
    <row r="119" spans="2:23" s="510" customFormat="1" ht="12.75">
      <c r="B119" s="511"/>
      <c r="C119" s="452"/>
      <c r="D119" s="512"/>
      <c r="E119" s="452"/>
      <c r="F119" s="666" t="s">
        <v>1544</v>
      </c>
      <c r="G119" s="530">
        <v>423</v>
      </c>
      <c r="H119" s="1581" t="s">
        <v>1383</v>
      </c>
      <c r="I119" s="1582"/>
      <c r="J119" s="1583"/>
      <c r="K119" s="925">
        <v>580000</v>
      </c>
      <c r="L119" s="925">
        <v>188679.24</v>
      </c>
      <c r="M119" s="925">
        <v>580000</v>
      </c>
      <c r="N119" s="441">
        <v>0</v>
      </c>
      <c r="O119" s="513">
        <v>0</v>
      </c>
      <c r="P119" s="513">
        <v>0</v>
      </c>
      <c r="Q119" s="416">
        <v>0</v>
      </c>
      <c r="R119" s="414">
        <v>0</v>
      </c>
      <c r="S119" s="416">
        <v>0</v>
      </c>
      <c r="T119" s="416">
        <f t="shared" si="23"/>
        <v>0</v>
      </c>
      <c r="U119" s="844">
        <f t="shared" si="24"/>
        <v>580000</v>
      </c>
      <c r="V119" s="840">
        <v>580000</v>
      </c>
      <c r="W119" s="844">
        <v>580000</v>
      </c>
    </row>
    <row r="120" spans="2:23" s="356" customFormat="1" ht="12.75">
      <c r="B120" s="369"/>
      <c r="C120" s="362"/>
      <c r="D120" s="363"/>
      <c r="E120" s="362"/>
      <c r="F120" s="667" t="s">
        <v>1543</v>
      </c>
      <c r="G120" s="482">
        <v>424</v>
      </c>
      <c r="H120" s="1655" t="s">
        <v>1384</v>
      </c>
      <c r="I120" s="1655"/>
      <c r="J120" s="1656"/>
      <c r="K120" s="927">
        <v>2500000</v>
      </c>
      <c r="L120" s="927">
        <v>472302.9</v>
      </c>
      <c r="M120" s="927">
        <v>1500000</v>
      </c>
      <c r="N120" s="441">
        <v>0</v>
      </c>
      <c r="O120" s="441">
        <v>0</v>
      </c>
      <c r="P120" s="441">
        <v>0</v>
      </c>
      <c r="Q120" s="415">
        <v>0</v>
      </c>
      <c r="R120" s="414">
        <v>0</v>
      </c>
      <c r="S120" s="415">
        <v>0</v>
      </c>
      <c r="T120" s="415">
        <f t="shared" si="23"/>
        <v>0</v>
      </c>
      <c r="U120" s="844">
        <f t="shared" si="24"/>
        <v>1500000</v>
      </c>
      <c r="V120" s="608">
        <v>1500000</v>
      </c>
      <c r="W120" s="844">
        <v>1500000</v>
      </c>
    </row>
    <row r="121" spans="2:23" s="356" customFormat="1" ht="12.75">
      <c r="B121" s="369"/>
      <c r="C121" s="362"/>
      <c r="D121" s="363"/>
      <c r="E121" s="362"/>
      <c r="F121" s="1065" t="s">
        <v>1545</v>
      </c>
      <c r="G121" s="482">
        <v>472</v>
      </c>
      <c r="H121" s="1059" t="s">
        <v>1505</v>
      </c>
      <c r="I121" s="1060"/>
      <c r="J121" s="1060"/>
      <c r="K121" s="927">
        <v>100000</v>
      </c>
      <c r="L121" s="927">
        <v>0</v>
      </c>
      <c r="M121" s="927">
        <v>100000</v>
      </c>
      <c r="N121" s="441">
        <v>0</v>
      </c>
      <c r="O121" s="405">
        <v>0</v>
      </c>
      <c r="P121" s="405">
        <v>0</v>
      </c>
      <c r="Q121" s="422">
        <v>0</v>
      </c>
      <c r="R121" s="422">
        <v>0</v>
      </c>
      <c r="S121" s="422">
        <v>0</v>
      </c>
      <c r="T121" s="415">
        <f t="shared" si="23"/>
        <v>0</v>
      </c>
      <c r="U121" s="844">
        <f t="shared" si="24"/>
        <v>100000</v>
      </c>
      <c r="V121" s="608">
        <v>100000</v>
      </c>
      <c r="W121" s="844">
        <v>100000</v>
      </c>
    </row>
    <row r="122" spans="2:23" s="356" customFormat="1" ht="12.75">
      <c r="B122" s="369"/>
      <c r="C122" s="362"/>
      <c r="D122" s="363"/>
      <c r="E122" s="362"/>
      <c r="F122" s="1065" t="s">
        <v>433</v>
      </c>
      <c r="G122" s="482">
        <v>426</v>
      </c>
      <c r="H122" s="806" t="s">
        <v>38</v>
      </c>
      <c r="I122" s="1078"/>
      <c r="J122" s="1078"/>
      <c r="K122" s="927">
        <v>300000</v>
      </c>
      <c r="L122" s="927">
        <v>0</v>
      </c>
      <c r="M122" s="927">
        <v>300000</v>
      </c>
      <c r="N122" s="441">
        <v>0</v>
      </c>
      <c r="O122" s="405">
        <v>0</v>
      </c>
      <c r="P122" s="405">
        <v>0</v>
      </c>
      <c r="Q122" s="422">
        <v>0</v>
      </c>
      <c r="R122" s="422">
        <v>0</v>
      </c>
      <c r="S122" s="422">
        <v>0</v>
      </c>
      <c r="T122" s="415">
        <f t="shared" si="23"/>
        <v>0</v>
      </c>
      <c r="U122" s="844">
        <f t="shared" si="24"/>
        <v>300000</v>
      </c>
      <c r="V122" s="608">
        <v>300000</v>
      </c>
      <c r="W122" s="844">
        <v>300000</v>
      </c>
    </row>
    <row r="123" spans="2:23" s="356" customFormat="1" ht="12.75">
      <c r="B123" s="369"/>
      <c r="C123" s="362"/>
      <c r="D123" s="363"/>
      <c r="E123" s="362"/>
      <c r="F123" s="357" t="s">
        <v>1546</v>
      </c>
      <c r="G123" s="482">
        <v>512</v>
      </c>
      <c r="H123" s="1606" t="s">
        <v>1182</v>
      </c>
      <c r="I123" s="1606"/>
      <c r="J123" s="1607"/>
      <c r="K123" s="927">
        <v>500000</v>
      </c>
      <c r="L123" s="927">
        <v>0</v>
      </c>
      <c r="M123" s="927">
        <v>500000</v>
      </c>
      <c r="N123" s="441">
        <v>0</v>
      </c>
      <c r="O123" s="405">
        <v>0</v>
      </c>
      <c r="P123" s="405">
        <v>0</v>
      </c>
      <c r="Q123" s="422">
        <v>0</v>
      </c>
      <c r="R123" s="422">
        <v>0</v>
      </c>
      <c r="S123" s="422">
        <v>0</v>
      </c>
      <c r="T123" s="422">
        <f t="shared" si="23"/>
        <v>0</v>
      </c>
      <c r="U123" s="844">
        <f t="shared" si="24"/>
        <v>500000</v>
      </c>
      <c r="V123" s="608">
        <v>500000</v>
      </c>
      <c r="W123" s="844">
        <v>500000</v>
      </c>
    </row>
    <row r="124" spans="2:23" s="42" customFormat="1" ht="12.75">
      <c r="B124" s="284"/>
      <c r="C124" s="285"/>
      <c r="D124" s="428"/>
      <c r="E124" s="346" t="s">
        <v>1538</v>
      </c>
      <c r="F124" s="346"/>
      <c r="G124" s="429"/>
      <c r="H124" s="1663" t="s">
        <v>1207</v>
      </c>
      <c r="I124" s="1664"/>
      <c r="J124" s="1665"/>
      <c r="K124" s="1443">
        <f aca="true" t="shared" si="33" ref="K124:S125">K125</f>
        <v>450000</v>
      </c>
      <c r="L124" s="1096">
        <f t="shared" si="33"/>
        <v>0</v>
      </c>
      <c r="M124" s="1051">
        <f t="shared" si="33"/>
        <v>500000</v>
      </c>
      <c r="N124" s="286">
        <f t="shared" si="33"/>
        <v>0</v>
      </c>
      <c r="O124" s="286">
        <f t="shared" si="33"/>
        <v>0</v>
      </c>
      <c r="P124" s="286">
        <f t="shared" si="33"/>
        <v>0</v>
      </c>
      <c r="Q124" s="286">
        <f t="shared" si="33"/>
        <v>0</v>
      </c>
      <c r="R124" s="286">
        <f t="shared" si="33"/>
        <v>0</v>
      </c>
      <c r="S124" s="286">
        <f t="shared" si="33"/>
        <v>0</v>
      </c>
      <c r="T124" s="334">
        <f t="shared" si="23"/>
        <v>0</v>
      </c>
      <c r="U124" s="845">
        <f t="shared" si="24"/>
        <v>500000</v>
      </c>
      <c r="V124" s="652">
        <v>500000</v>
      </c>
      <c r="W124" s="652">
        <v>500000</v>
      </c>
    </row>
    <row r="125" spans="2:23" s="42" customFormat="1" ht="12.75">
      <c r="B125" s="350"/>
      <c r="C125" s="357"/>
      <c r="D125" s="56">
        <v>160</v>
      </c>
      <c r="E125" s="180"/>
      <c r="F125" s="357"/>
      <c r="G125" s="353"/>
      <c r="H125" s="1526" t="s">
        <v>1525</v>
      </c>
      <c r="I125" s="1527"/>
      <c r="J125" s="1527"/>
      <c r="K125" s="838">
        <f t="shared" si="33"/>
        <v>450000</v>
      </c>
      <c r="L125" s="838">
        <f t="shared" si="33"/>
        <v>0</v>
      </c>
      <c r="M125" s="768">
        <f t="shared" si="33"/>
        <v>500000</v>
      </c>
      <c r="N125" s="573">
        <f t="shared" si="33"/>
        <v>0</v>
      </c>
      <c r="O125" s="65">
        <f t="shared" si="33"/>
        <v>0</v>
      </c>
      <c r="P125" s="65">
        <f t="shared" si="33"/>
        <v>0</v>
      </c>
      <c r="Q125" s="65">
        <f t="shared" si="33"/>
        <v>0</v>
      </c>
      <c r="R125" s="65">
        <f t="shared" si="33"/>
        <v>0</v>
      </c>
      <c r="S125" s="65">
        <f t="shared" si="33"/>
        <v>0</v>
      </c>
      <c r="T125" s="340">
        <f t="shared" si="23"/>
        <v>0</v>
      </c>
      <c r="U125" s="1175">
        <f t="shared" si="24"/>
        <v>500000</v>
      </c>
      <c r="V125" s="375">
        <v>500000</v>
      </c>
      <c r="W125" s="1175">
        <v>500000</v>
      </c>
    </row>
    <row r="126" spans="2:23" s="42" customFormat="1" ht="12.75">
      <c r="B126" s="350"/>
      <c r="C126" s="357"/>
      <c r="D126" s="352"/>
      <c r="E126" s="604"/>
      <c r="F126" s="357" t="s">
        <v>1438</v>
      </c>
      <c r="G126" s="605">
        <v>499</v>
      </c>
      <c r="H126" s="1560" t="s">
        <v>84</v>
      </c>
      <c r="I126" s="1554"/>
      <c r="J126" s="1554"/>
      <c r="K126" s="540">
        <v>450000</v>
      </c>
      <c r="L126" s="540">
        <v>0</v>
      </c>
      <c r="M126" s="931">
        <v>500000</v>
      </c>
      <c r="N126" s="457">
        <v>0</v>
      </c>
      <c r="O126" s="404">
        <v>0</v>
      </c>
      <c r="P126" s="411">
        <v>0</v>
      </c>
      <c r="Q126" s="414">
        <v>0</v>
      </c>
      <c r="R126" s="414">
        <v>0</v>
      </c>
      <c r="S126" s="414">
        <v>0</v>
      </c>
      <c r="T126" s="414">
        <f t="shared" si="23"/>
        <v>0</v>
      </c>
      <c r="U126" s="844">
        <f t="shared" si="24"/>
        <v>500000</v>
      </c>
      <c r="V126" s="608">
        <v>500000</v>
      </c>
      <c r="W126" s="844">
        <v>500000</v>
      </c>
    </row>
    <row r="127" spans="2:23" s="42" customFormat="1" ht="12.75">
      <c r="B127" s="597"/>
      <c r="C127" s="598"/>
      <c r="D127" s="599"/>
      <c r="E127" s="346" t="s">
        <v>863</v>
      </c>
      <c r="F127" s="346"/>
      <c r="G127" s="601"/>
      <c r="H127" s="1663" t="s">
        <v>1206</v>
      </c>
      <c r="I127" s="1666"/>
      <c r="J127" s="1666"/>
      <c r="K127" s="1097">
        <f>K129</f>
        <v>0</v>
      </c>
      <c r="L127" s="1097">
        <f>L129</f>
        <v>0</v>
      </c>
      <c r="M127" s="932">
        <f>M129</f>
        <v>500000</v>
      </c>
      <c r="N127" s="618">
        <f aca="true" t="shared" si="34" ref="N127:S127">N129</f>
        <v>0</v>
      </c>
      <c r="O127" s="602">
        <f t="shared" si="34"/>
        <v>0</v>
      </c>
      <c r="P127" s="602">
        <f t="shared" si="34"/>
        <v>0</v>
      </c>
      <c r="Q127" s="602">
        <f t="shared" si="34"/>
        <v>0</v>
      </c>
      <c r="R127" s="602">
        <f t="shared" si="34"/>
        <v>0</v>
      </c>
      <c r="S127" s="602">
        <f t="shared" si="34"/>
        <v>0</v>
      </c>
      <c r="T127" s="603">
        <f t="shared" si="23"/>
        <v>0</v>
      </c>
      <c r="U127" s="845">
        <f t="shared" si="24"/>
        <v>500000</v>
      </c>
      <c r="V127" s="841">
        <v>500000</v>
      </c>
      <c r="W127" s="652">
        <v>500000</v>
      </c>
    </row>
    <row r="128" spans="2:23" s="42" customFormat="1" ht="12.75">
      <c r="B128" s="350"/>
      <c r="C128" s="357"/>
      <c r="D128" s="56">
        <v>160</v>
      </c>
      <c r="E128" s="180"/>
      <c r="F128" s="357"/>
      <c r="G128" s="353"/>
      <c r="H128" s="1526" t="s">
        <v>1525</v>
      </c>
      <c r="I128" s="1527"/>
      <c r="J128" s="1527"/>
      <c r="K128" s="838">
        <f>K129</f>
        <v>0</v>
      </c>
      <c r="L128" s="838">
        <f>L129</f>
        <v>0</v>
      </c>
      <c r="M128" s="751">
        <f>M129</f>
        <v>500000</v>
      </c>
      <c r="N128" s="739">
        <f aca="true" t="shared" si="35" ref="N128:S128">N129</f>
        <v>0</v>
      </c>
      <c r="O128" s="65">
        <f t="shared" si="35"/>
        <v>0</v>
      </c>
      <c r="P128" s="65">
        <f t="shared" si="35"/>
        <v>0</v>
      </c>
      <c r="Q128" s="65">
        <f t="shared" si="35"/>
        <v>0</v>
      </c>
      <c r="R128" s="65">
        <f t="shared" si="35"/>
        <v>0</v>
      </c>
      <c r="S128" s="65">
        <f t="shared" si="35"/>
        <v>0</v>
      </c>
      <c r="T128" s="340">
        <f t="shared" si="23"/>
        <v>0</v>
      </c>
      <c r="U128" s="1175">
        <f t="shared" si="24"/>
        <v>500000</v>
      </c>
      <c r="V128" s="375">
        <v>500000</v>
      </c>
      <c r="W128" s="1175">
        <v>500000</v>
      </c>
    </row>
    <row r="129" spans="2:23" s="356" customFormat="1" ht="12.75">
      <c r="B129" s="350"/>
      <c r="C129" s="357"/>
      <c r="D129" s="353"/>
      <c r="E129" s="485"/>
      <c r="F129" s="357" t="s">
        <v>1296</v>
      </c>
      <c r="G129" s="482">
        <v>499</v>
      </c>
      <c r="H129" s="1548" t="s">
        <v>85</v>
      </c>
      <c r="I129" s="1549"/>
      <c r="J129" s="1549"/>
      <c r="K129" s="540">
        <v>0</v>
      </c>
      <c r="L129" s="540">
        <v>0</v>
      </c>
      <c r="M129" s="924">
        <v>500000</v>
      </c>
      <c r="N129" s="441">
        <v>0</v>
      </c>
      <c r="O129" s="411">
        <v>0</v>
      </c>
      <c r="P129" s="411">
        <v>0</v>
      </c>
      <c r="Q129" s="414">
        <v>0</v>
      </c>
      <c r="R129" s="414">
        <v>0</v>
      </c>
      <c r="S129" s="414">
        <v>0</v>
      </c>
      <c r="T129" s="414">
        <f t="shared" si="23"/>
        <v>0</v>
      </c>
      <c r="U129" s="844">
        <f t="shared" si="24"/>
        <v>500000</v>
      </c>
      <c r="V129" s="608">
        <v>500000</v>
      </c>
      <c r="W129" s="844">
        <v>500000</v>
      </c>
    </row>
    <row r="130" spans="2:23" ht="12.75">
      <c r="B130" s="284"/>
      <c r="C130" s="285"/>
      <c r="D130" s="428"/>
      <c r="E130" s="610" t="s">
        <v>294</v>
      </c>
      <c r="F130" s="428"/>
      <c r="G130" s="429"/>
      <c r="H130" s="1529" t="s">
        <v>1224</v>
      </c>
      <c r="I130" s="1530"/>
      <c r="J130" s="1531"/>
      <c r="K130" s="933">
        <f aca="true" t="shared" si="36" ref="K130:S130">K131+K135</f>
        <v>7400000</v>
      </c>
      <c r="L130" s="933">
        <f t="shared" si="36"/>
        <v>2705000</v>
      </c>
      <c r="M130" s="933">
        <f t="shared" si="36"/>
        <v>8400000</v>
      </c>
      <c r="N130" s="286">
        <f t="shared" si="36"/>
        <v>0</v>
      </c>
      <c r="O130" s="286">
        <f t="shared" si="36"/>
        <v>0</v>
      </c>
      <c r="P130" s="286">
        <f t="shared" si="36"/>
        <v>0</v>
      </c>
      <c r="Q130" s="286">
        <f t="shared" si="36"/>
        <v>0</v>
      </c>
      <c r="R130" s="286">
        <f t="shared" si="36"/>
        <v>0</v>
      </c>
      <c r="S130" s="286">
        <f t="shared" si="36"/>
        <v>0</v>
      </c>
      <c r="T130" s="334">
        <f t="shared" si="23"/>
        <v>0</v>
      </c>
      <c r="U130" s="845">
        <f t="shared" si="24"/>
        <v>8400000</v>
      </c>
      <c r="V130" s="652">
        <v>8400000</v>
      </c>
      <c r="W130" s="652">
        <v>8400000</v>
      </c>
    </row>
    <row r="131" spans="2:23" ht="14.25" customHeight="1">
      <c r="B131" s="284"/>
      <c r="C131" s="285"/>
      <c r="D131" s="428"/>
      <c r="E131" s="346" t="s">
        <v>309</v>
      </c>
      <c r="F131" s="428"/>
      <c r="G131" s="429"/>
      <c r="H131" s="1537" t="s">
        <v>1284</v>
      </c>
      <c r="I131" s="1600"/>
      <c r="J131" s="1601"/>
      <c r="K131" s="913">
        <f aca="true" t="shared" si="37" ref="K131:S131">K132</f>
        <v>3000000</v>
      </c>
      <c r="L131" s="913">
        <f t="shared" si="37"/>
        <v>655000</v>
      </c>
      <c r="M131" s="913">
        <f t="shared" si="37"/>
        <v>4000000</v>
      </c>
      <c r="N131" s="290">
        <f t="shared" si="37"/>
        <v>0</v>
      </c>
      <c r="O131" s="290">
        <f t="shared" si="37"/>
        <v>0</v>
      </c>
      <c r="P131" s="290">
        <f t="shared" si="37"/>
        <v>0</v>
      </c>
      <c r="Q131" s="290">
        <f t="shared" si="37"/>
        <v>0</v>
      </c>
      <c r="R131" s="290">
        <f t="shared" si="37"/>
        <v>0</v>
      </c>
      <c r="S131" s="335">
        <f t="shared" si="37"/>
        <v>0</v>
      </c>
      <c r="T131" s="335">
        <f t="shared" si="23"/>
        <v>0</v>
      </c>
      <c r="U131" s="845">
        <f t="shared" si="24"/>
        <v>4000000</v>
      </c>
      <c r="V131" s="652">
        <v>4000000</v>
      </c>
      <c r="W131" s="652">
        <v>4000000</v>
      </c>
    </row>
    <row r="132" spans="2:23" s="356" customFormat="1" ht="12.75">
      <c r="B132" s="350"/>
      <c r="C132" s="357"/>
      <c r="D132" s="56">
        <v>820</v>
      </c>
      <c r="E132" s="180"/>
      <c r="F132" s="352"/>
      <c r="G132" s="353"/>
      <c r="H132" s="1526" t="s">
        <v>170</v>
      </c>
      <c r="I132" s="1527"/>
      <c r="J132" s="1528"/>
      <c r="K132" s="181">
        <f aca="true" t="shared" si="38" ref="K132:S132">SUM(K133:K134)</f>
        <v>3000000</v>
      </c>
      <c r="L132" s="181">
        <f t="shared" si="38"/>
        <v>655000</v>
      </c>
      <c r="M132" s="181">
        <f t="shared" si="38"/>
        <v>4000000</v>
      </c>
      <c r="N132" s="65">
        <f t="shared" si="38"/>
        <v>0</v>
      </c>
      <c r="O132" s="65">
        <f t="shared" si="38"/>
        <v>0</v>
      </c>
      <c r="P132" s="65">
        <f t="shared" si="38"/>
        <v>0</v>
      </c>
      <c r="Q132" s="65">
        <f t="shared" si="38"/>
        <v>0</v>
      </c>
      <c r="R132" s="65">
        <f t="shared" si="38"/>
        <v>0</v>
      </c>
      <c r="S132" s="65">
        <f t="shared" si="38"/>
        <v>0</v>
      </c>
      <c r="T132" s="339">
        <f aca="true" t="shared" si="39" ref="T132:T196">SUM(N132:S132)</f>
        <v>0</v>
      </c>
      <c r="U132" s="1175">
        <f t="shared" si="24"/>
        <v>4000000</v>
      </c>
      <c r="V132" s="375">
        <v>4000000</v>
      </c>
      <c r="W132" s="1175">
        <v>4000000</v>
      </c>
    </row>
    <row r="133" spans="2:23" s="356" customFormat="1" ht="12.75">
      <c r="B133" s="350"/>
      <c r="C133" s="357"/>
      <c r="D133" s="56"/>
      <c r="E133" s="180"/>
      <c r="F133" s="357" t="s">
        <v>1297</v>
      </c>
      <c r="G133" s="448">
        <v>481</v>
      </c>
      <c r="H133" s="1508" t="s">
        <v>1418</v>
      </c>
      <c r="I133" s="1509"/>
      <c r="J133" s="1510"/>
      <c r="K133" s="746">
        <v>2000000</v>
      </c>
      <c r="L133" s="746">
        <v>655000</v>
      </c>
      <c r="M133" s="746">
        <v>3000000</v>
      </c>
      <c r="N133" s="441">
        <v>0</v>
      </c>
      <c r="O133" s="450">
        <v>0</v>
      </c>
      <c r="P133" s="450">
        <v>0</v>
      </c>
      <c r="Q133" s="418">
        <v>0</v>
      </c>
      <c r="R133" s="411">
        <v>0</v>
      </c>
      <c r="S133" s="418">
        <v>0</v>
      </c>
      <c r="T133" s="355">
        <f t="shared" si="39"/>
        <v>0</v>
      </c>
      <c r="U133" s="844">
        <f t="shared" si="24"/>
        <v>3000000</v>
      </c>
      <c r="V133" s="376">
        <v>3000000</v>
      </c>
      <c r="W133" s="844">
        <v>3000000</v>
      </c>
    </row>
    <row r="134" spans="2:23" s="356" customFormat="1" ht="12.75">
      <c r="B134" s="350"/>
      <c r="C134" s="357"/>
      <c r="D134" s="352"/>
      <c r="E134" s="357"/>
      <c r="F134" s="794">
        <v>85</v>
      </c>
      <c r="G134" s="434">
        <v>481</v>
      </c>
      <c r="H134" s="1508" t="s">
        <v>1417</v>
      </c>
      <c r="I134" s="1509"/>
      <c r="J134" s="1510"/>
      <c r="K134" s="746">
        <v>1000000</v>
      </c>
      <c r="L134" s="746">
        <v>0</v>
      </c>
      <c r="M134" s="746">
        <v>1000000</v>
      </c>
      <c r="N134" s="441">
        <v>0</v>
      </c>
      <c r="O134" s="411">
        <v>0</v>
      </c>
      <c r="P134" s="411">
        <v>0</v>
      </c>
      <c r="Q134" s="414">
        <v>0</v>
      </c>
      <c r="R134" s="411">
        <v>0</v>
      </c>
      <c r="S134" s="414">
        <v>0</v>
      </c>
      <c r="T134" s="417">
        <f t="shared" si="39"/>
        <v>0</v>
      </c>
      <c r="U134" s="844">
        <f t="shared" si="24"/>
        <v>1000000</v>
      </c>
      <c r="V134" s="608">
        <v>1000000</v>
      </c>
      <c r="W134" s="844">
        <v>1000000</v>
      </c>
    </row>
    <row r="135" spans="2:23" ht="30" customHeight="1">
      <c r="B135" s="284"/>
      <c r="C135" s="285"/>
      <c r="D135" s="600"/>
      <c r="E135" s="346" t="s">
        <v>1222</v>
      </c>
      <c r="F135" s="428"/>
      <c r="G135" s="429"/>
      <c r="H135" s="1489" t="s">
        <v>1223</v>
      </c>
      <c r="I135" s="1490"/>
      <c r="J135" s="1491"/>
      <c r="K135" s="916">
        <f>K137</f>
        <v>4400000</v>
      </c>
      <c r="L135" s="916">
        <f>L137</f>
        <v>2050000</v>
      </c>
      <c r="M135" s="916">
        <f>M137</f>
        <v>4400000</v>
      </c>
      <c r="N135" s="290">
        <f aca="true" t="shared" si="40" ref="N135:S135">N137</f>
        <v>0</v>
      </c>
      <c r="O135" s="290">
        <f t="shared" si="40"/>
        <v>0</v>
      </c>
      <c r="P135" s="290">
        <f t="shared" si="40"/>
        <v>0</v>
      </c>
      <c r="Q135" s="290">
        <f t="shared" si="40"/>
        <v>0</v>
      </c>
      <c r="R135" s="290">
        <f t="shared" si="40"/>
        <v>0</v>
      </c>
      <c r="S135" s="335">
        <f t="shared" si="40"/>
        <v>0</v>
      </c>
      <c r="T135" s="335">
        <f t="shared" si="39"/>
        <v>0</v>
      </c>
      <c r="U135" s="845">
        <f t="shared" si="24"/>
        <v>4400000</v>
      </c>
      <c r="V135" s="652">
        <v>4400000</v>
      </c>
      <c r="W135" s="652">
        <v>4400000</v>
      </c>
    </row>
    <row r="136" spans="2:23" ht="12.75">
      <c r="B136" s="430"/>
      <c r="C136" s="431"/>
      <c r="D136" s="56">
        <v>830</v>
      </c>
      <c r="E136" s="58"/>
      <c r="F136" s="432"/>
      <c r="G136" s="433"/>
      <c r="H136" s="1526" t="s">
        <v>1225</v>
      </c>
      <c r="I136" s="1527"/>
      <c r="J136" s="1528"/>
      <c r="K136" s="181">
        <f aca="true" t="shared" si="41" ref="K136:S136">K137</f>
        <v>4400000</v>
      </c>
      <c r="L136" s="181">
        <f t="shared" si="41"/>
        <v>2050000</v>
      </c>
      <c r="M136" s="181">
        <f t="shared" si="41"/>
        <v>4400000</v>
      </c>
      <c r="N136" s="68">
        <f t="shared" si="41"/>
        <v>0</v>
      </c>
      <c r="O136" s="68">
        <f t="shared" si="41"/>
        <v>0</v>
      </c>
      <c r="P136" s="68">
        <f t="shared" si="41"/>
        <v>0</v>
      </c>
      <c r="Q136" s="68">
        <f t="shared" si="41"/>
        <v>0</v>
      </c>
      <c r="R136" s="68">
        <f t="shared" si="41"/>
        <v>0</v>
      </c>
      <c r="S136" s="338">
        <f t="shared" si="41"/>
        <v>0</v>
      </c>
      <c r="T136" s="338">
        <f t="shared" si="39"/>
        <v>0</v>
      </c>
      <c r="U136" s="1175">
        <f aca="true" t="shared" si="42" ref="U136:U199">M136+N136+O136+P136+Q136+R136+S136</f>
        <v>4400000</v>
      </c>
      <c r="V136" s="837">
        <v>4400000</v>
      </c>
      <c r="W136" s="1175">
        <v>4400000</v>
      </c>
    </row>
    <row r="137" spans="1:250" s="456" customFormat="1" ht="12.75">
      <c r="A137" s="350"/>
      <c r="B137" s="350"/>
      <c r="C137" s="357"/>
      <c r="D137" s="357"/>
      <c r="E137" s="357"/>
      <c r="F137" s="368">
        <v>86</v>
      </c>
      <c r="G137" s="452" t="s">
        <v>490</v>
      </c>
      <c r="H137" s="380" t="s">
        <v>1526</v>
      </c>
      <c r="I137" s="435"/>
      <c r="J137" s="453"/>
      <c r="K137" s="1092">
        <v>4400000</v>
      </c>
      <c r="L137" s="1092">
        <v>2050000</v>
      </c>
      <c r="M137" s="1092">
        <v>4400000</v>
      </c>
      <c r="N137" s="441">
        <v>0</v>
      </c>
      <c r="O137" s="411">
        <v>0</v>
      </c>
      <c r="P137" s="411">
        <v>0</v>
      </c>
      <c r="Q137" s="411">
        <v>0</v>
      </c>
      <c r="R137" s="414">
        <v>0</v>
      </c>
      <c r="S137" s="414">
        <v>0</v>
      </c>
      <c r="T137" s="454">
        <f t="shared" si="39"/>
        <v>0</v>
      </c>
      <c r="U137" s="844">
        <f t="shared" si="42"/>
        <v>4400000</v>
      </c>
      <c r="V137" s="766">
        <v>4400000</v>
      </c>
      <c r="W137" s="844">
        <v>4400000</v>
      </c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455"/>
      <c r="AH137" s="455"/>
      <c r="AI137" s="455"/>
      <c r="AJ137" s="455"/>
      <c r="AK137" s="455"/>
      <c r="AL137" s="455"/>
      <c r="AM137" s="455"/>
      <c r="AN137" s="455"/>
      <c r="AO137" s="455"/>
      <c r="AP137" s="455"/>
      <c r="AQ137" s="455"/>
      <c r="AR137" s="455"/>
      <c r="AS137" s="455"/>
      <c r="AT137" s="455"/>
      <c r="AU137" s="455"/>
      <c r="AV137" s="455"/>
      <c r="AW137" s="455"/>
      <c r="AX137" s="455"/>
      <c r="AY137" s="455"/>
      <c r="AZ137" s="455"/>
      <c r="BA137" s="455"/>
      <c r="BB137" s="455"/>
      <c r="BC137" s="455"/>
      <c r="BD137" s="455"/>
      <c r="BE137" s="455"/>
      <c r="BF137" s="455"/>
      <c r="BG137" s="455"/>
      <c r="BH137" s="455"/>
      <c r="BI137" s="455"/>
      <c r="BJ137" s="455"/>
      <c r="BK137" s="455"/>
      <c r="BL137" s="455"/>
      <c r="BM137" s="455"/>
      <c r="BN137" s="455"/>
      <c r="BO137" s="455"/>
      <c r="BP137" s="455"/>
      <c r="BQ137" s="455"/>
      <c r="BR137" s="455"/>
      <c r="BS137" s="455"/>
      <c r="BT137" s="455"/>
      <c r="BU137" s="455"/>
      <c r="BV137" s="455"/>
      <c r="BW137" s="455"/>
      <c r="BX137" s="455"/>
      <c r="BY137" s="455"/>
      <c r="BZ137" s="455"/>
      <c r="CA137" s="455"/>
      <c r="CB137" s="455"/>
      <c r="CC137" s="455"/>
      <c r="CD137" s="455"/>
      <c r="CE137" s="455"/>
      <c r="CF137" s="455"/>
      <c r="CG137" s="455"/>
      <c r="CH137" s="455"/>
      <c r="CI137" s="455"/>
      <c r="CJ137" s="455"/>
      <c r="CK137" s="455"/>
      <c r="CL137" s="455"/>
      <c r="CM137" s="455"/>
      <c r="CN137" s="455"/>
      <c r="CO137" s="455"/>
      <c r="CP137" s="455"/>
      <c r="CQ137" s="455"/>
      <c r="CR137" s="455"/>
      <c r="CS137" s="455"/>
      <c r="CT137" s="455"/>
      <c r="CU137" s="455"/>
      <c r="CV137" s="455"/>
      <c r="CW137" s="455"/>
      <c r="CX137" s="455"/>
      <c r="CY137" s="455"/>
      <c r="CZ137" s="455"/>
      <c r="DA137" s="455"/>
      <c r="DB137" s="455"/>
      <c r="DC137" s="455"/>
      <c r="DD137" s="455"/>
      <c r="DE137" s="455"/>
      <c r="DF137" s="455"/>
      <c r="DG137" s="455"/>
      <c r="DH137" s="455"/>
      <c r="DI137" s="455"/>
      <c r="DJ137" s="455"/>
      <c r="DK137" s="455"/>
      <c r="DL137" s="455"/>
      <c r="DM137" s="455"/>
      <c r="DN137" s="455"/>
      <c r="DO137" s="455"/>
      <c r="DP137" s="455"/>
      <c r="DQ137" s="455"/>
      <c r="DR137" s="455"/>
      <c r="DS137" s="455"/>
      <c r="DT137" s="455"/>
      <c r="DU137" s="455"/>
      <c r="DV137" s="455"/>
      <c r="DW137" s="455"/>
      <c r="DX137" s="455"/>
      <c r="DY137" s="455"/>
      <c r="DZ137" s="455"/>
      <c r="EA137" s="455"/>
      <c r="EB137" s="455"/>
      <c r="EC137" s="455"/>
      <c r="ED137" s="455"/>
      <c r="EE137" s="455"/>
      <c r="EF137" s="455"/>
      <c r="EG137" s="455"/>
      <c r="EH137" s="455"/>
      <c r="EI137" s="455"/>
      <c r="EJ137" s="455"/>
      <c r="EK137" s="455"/>
      <c r="EL137" s="455"/>
      <c r="EM137" s="455"/>
      <c r="EN137" s="455"/>
      <c r="EO137" s="455"/>
      <c r="EP137" s="455"/>
      <c r="EQ137" s="455"/>
      <c r="ER137" s="455"/>
      <c r="ES137" s="455"/>
      <c r="ET137" s="455"/>
      <c r="EU137" s="455"/>
      <c r="EV137" s="455"/>
      <c r="EW137" s="455"/>
      <c r="EX137" s="455"/>
      <c r="EY137" s="455"/>
      <c r="EZ137" s="455"/>
      <c r="FA137" s="455"/>
      <c r="FB137" s="455"/>
      <c r="FC137" s="455"/>
      <c r="FD137" s="455"/>
      <c r="FE137" s="455"/>
      <c r="FF137" s="455"/>
      <c r="FG137" s="455"/>
      <c r="FH137" s="455"/>
      <c r="FI137" s="455"/>
      <c r="FJ137" s="455"/>
      <c r="FK137" s="455"/>
      <c r="FL137" s="455"/>
      <c r="FM137" s="455"/>
      <c r="FN137" s="455"/>
      <c r="FO137" s="455"/>
      <c r="FP137" s="455"/>
      <c r="FQ137" s="455"/>
      <c r="FR137" s="455"/>
      <c r="FS137" s="455"/>
      <c r="FT137" s="455"/>
      <c r="FU137" s="455"/>
      <c r="FV137" s="455"/>
      <c r="FW137" s="455"/>
      <c r="FX137" s="455"/>
      <c r="FY137" s="455"/>
      <c r="FZ137" s="455"/>
      <c r="GA137" s="455"/>
      <c r="GB137" s="455"/>
      <c r="GC137" s="455"/>
      <c r="GD137" s="455"/>
      <c r="GE137" s="455"/>
      <c r="GF137" s="455"/>
      <c r="GG137" s="455"/>
      <c r="GH137" s="455"/>
      <c r="GI137" s="455"/>
      <c r="GJ137" s="455"/>
      <c r="GK137" s="455"/>
      <c r="GL137" s="455"/>
      <c r="GM137" s="455"/>
      <c r="GN137" s="455"/>
      <c r="GO137" s="455"/>
      <c r="GP137" s="455"/>
      <c r="GQ137" s="455"/>
      <c r="GR137" s="455"/>
      <c r="GS137" s="455"/>
      <c r="GT137" s="455"/>
      <c r="GU137" s="455"/>
      <c r="GV137" s="455"/>
      <c r="GW137" s="455"/>
      <c r="GX137" s="455"/>
      <c r="GY137" s="455"/>
      <c r="GZ137" s="455"/>
      <c r="HA137" s="455"/>
      <c r="HB137" s="455"/>
      <c r="HC137" s="455"/>
      <c r="HD137" s="455"/>
      <c r="HE137" s="455"/>
      <c r="HF137" s="455"/>
      <c r="HG137" s="455"/>
      <c r="HH137" s="455"/>
      <c r="HI137" s="455"/>
      <c r="HJ137" s="455"/>
      <c r="HK137" s="455"/>
      <c r="HL137" s="455"/>
      <c r="HM137" s="455"/>
      <c r="HN137" s="455"/>
      <c r="HO137" s="455"/>
      <c r="HP137" s="455"/>
      <c r="HQ137" s="455"/>
      <c r="HR137" s="455"/>
      <c r="HS137" s="455"/>
      <c r="HT137" s="455"/>
      <c r="HU137" s="455"/>
      <c r="HV137" s="455"/>
      <c r="HW137" s="455"/>
      <c r="HX137" s="455"/>
      <c r="HY137" s="455"/>
      <c r="HZ137" s="455"/>
      <c r="IA137" s="455"/>
      <c r="IB137" s="455"/>
      <c r="IC137" s="455"/>
      <c r="ID137" s="455"/>
      <c r="IE137" s="455"/>
      <c r="IF137" s="455"/>
      <c r="IG137" s="455"/>
      <c r="IH137" s="455"/>
      <c r="II137" s="455"/>
      <c r="IJ137" s="455"/>
      <c r="IK137" s="455"/>
      <c r="IL137" s="455"/>
      <c r="IM137" s="455"/>
      <c r="IN137" s="455"/>
      <c r="IO137" s="455"/>
      <c r="IP137" s="455"/>
    </row>
    <row r="138" spans="2:23" ht="12.75">
      <c r="B138" s="284"/>
      <c r="C138" s="285"/>
      <c r="D138" s="428"/>
      <c r="E138" s="613" t="s">
        <v>306</v>
      </c>
      <c r="F138" s="544"/>
      <c r="G138" s="429"/>
      <c r="H138" s="1520" t="s">
        <v>307</v>
      </c>
      <c r="I138" s="1521"/>
      <c r="J138" s="1521"/>
      <c r="K138" s="1072">
        <f>K139</f>
        <v>5100000</v>
      </c>
      <c r="L138" s="1072">
        <f>L139</f>
        <v>2877425.25</v>
      </c>
      <c r="M138" s="1072">
        <f>M139</f>
        <v>7001000</v>
      </c>
      <c r="N138" s="286">
        <f aca="true" t="shared" si="43" ref="N138:S138">N139</f>
        <v>0</v>
      </c>
      <c r="O138" s="286">
        <f t="shared" si="43"/>
        <v>0</v>
      </c>
      <c r="P138" s="286">
        <f t="shared" si="43"/>
        <v>0</v>
      </c>
      <c r="Q138" s="650">
        <f t="shared" si="43"/>
        <v>0</v>
      </c>
      <c r="R138" s="650">
        <f t="shared" si="43"/>
        <v>0</v>
      </c>
      <c r="S138" s="650">
        <f t="shared" si="43"/>
        <v>0</v>
      </c>
      <c r="T138" s="651">
        <f t="shared" si="39"/>
        <v>0</v>
      </c>
      <c r="U138" s="845">
        <f t="shared" si="42"/>
        <v>7001000</v>
      </c>
      <c r="V138" s="652">
        <v>7001000</v>
      </c>
      <c r="W138" s="652">
        <v>7001000</v>
      </c>
    </row>
    <row r="139" spans="2:23" ht="26.25" customHeight="1">
      <c r="B139" s="284"/>
      <c r="C139" s="285"/>
      <c r="D139" s="542"/>
      <c r="E139" s="542" t="s">
        <v>308</v>
      </c>
      <c r="F139" s="545"/>
      <c r="G139" s="543"/>
      <c r="H139" s="1489" t="s">
        <v>324</v>
      </c>
      <c r="I139" s="1490"/>
      <c r="J139" s="1490"/>
      <c r="K139" s="1062">
        <f>SUM(K141:K142)</f>
        <v>5100000</v>
      </c>
      <c r="L139" s="1062">
        <f>SUM(L141:L142)</f>
        <v>2877425.25</v>
      </c>
      <c r="M139" s="1062">
        <f>SUM(M141:M142)</f>
        <v>7001000</v>
      </c>
      <c r="N139" s="290">
        <f aca="true" t="shared" si="44" ref="N139:S139">N141</f>
        <v>0</v>
      </c>
      <c r="O139" s="290">
        <f>O141</f>
        <v>0</v>
      </c>
      <c r="P139" s="335">
        <f t="shared" si="44"/>
        <v>0</v>
      </c>
      <c r="Q139" s="652">
        <f t="shared" si="44"/>
        <v>0</v>
      </c>
      <c r="R139" s="652">
        <f>R141</f>
        <v>0</v>
      </c>
      <c r="S139" s="652">
        <f t="shared" si="44"/>
        <v>0</v>
      </c>
      <c r="T139" s="818">
        <f t="shared" si="39"/>
        <v>0</v>
      </c>
      <c r="U139" s="845">
        <f t="shared" si="42"/>
        <v>7001000</v>
      </c>
      <c r="V139" s="652">
        <v>7001000</v>
      </c>
      <c r="W139" s="652">
        <v>7001000</v>
      </c>
    </row>
    <row r="140" spans="2:23" ht="12.75">
      <c r="B140" s="430"/>
      <c r="C140" s="431"/>
      <c r="D140" s="180" t="s">
        <v>549</v>
      </c>
      <c r="E140" s="517"/>
      <c r="F140" s="515"/>
      <c r="G140" s="433"/>
      <c r="H140" s="1526" t="s">
        <v>171</v>
      </c>
      <c r="I140" s="1527"/>
      <c r="J140" s="1528"/>
      <c r="K140" s="1093">
        <f>K141+K142</f>
        <v>5100000</v>
      </c>
      <c r="L140" s="947">
        <f>L141+L142</f>
        <v>2877425.25</v>
      </c>
      <c r="M140" s="1094">
        <f>M141+M142</f>
        <v>7001000</v>
      </c>
      <c r="N140" s="68">
        <f aca="true" t="shared" si="45" ref="N140:S140">N141+N142</f>
        <v>0</v>
      </c>
      <c r="O140" s="68">
        <f t="shared" si="45"/>
        <v>0</v>
      </c>
      <c r="P140" s="68">
        <f t="shared" si="45"/>
        <v>0</v>
      </c>
      <c r="Q140" s="68">
        <f t="shared" si="45"/>
        <v>0</v>
      </c>
      <c r="R140" s="68">
        <f t="shared" si="45"/>
        <v>0</v>
      </c>
      <c r="S140" s="68">
        <f t="shared" si="45"/>
        <v>0</v>
      </c>
      <c r="T140" s="823">
        <f t="shared" si="39"/>
        <v>0</v>
      </c>
      <c r="U140" s="1175">
        <f t="shared" si="42"/>
        <v>7001000</v>
      </c>
      <c r="V140" s="837">
        <v>7001000</v>
      </c>
      <c r="W140" s="1175">
        <v>7001000</v>
      </c>
    </row>
    <row r="141" spans="2:23" s="356" customFormat="1" ht="12.75">
      <c r="B141" s="350"/>
      <c r="C141" s="357"/>
      <c r="D141" s="352"/>
      <c r="E141" s="604"/>
      <c r="F141" s="368">
        <v>87</v>
      </c>
      <c r="G141" s="609">
        <v>481</v>
      </c>
      <c r="H141" s="1667" t="s">
        <v>1416</v>
      </c>
      <c r="I141" s="1668"/>
      <c r="J141" s="1668"/>
      <c r="K141" s="955">
        <v>5000000</v>
      </c>
      <c r="L141" s="955">
        <v>2877425.25</v>
      </c>
      <c r="M141" s="955">
        <v>7000000</v>
      </c>
      <c r="N141" s="405">
        <v>0</v>
      </c>
      <c r="O141" s="411">
        <v>0</v>
      </c>
      <c r="P141" s="414">
        <v>0</v>
      </c>
      <c r="Q141" s="614">
        <v>0</v>
      </c>
      <c r="R141" s="457">
        <v>0</v>
      </c>
      <c r="S141" s="457">
        <v>0</v>
      </c>
      <c r="T141" s="733">
        <f t="shared" si="39"/>
        <v>0</v>
      </c>
      <c r="U141" s="844">
        <f t="shared" si="42"/>
        <v>7000000</v>
      </c>
      <c r="V141" s="608">
        <v>7000000</v>
      </c>
      <c r="W141" s="844">
        <v>7000000</v>
      </c>
    </row>
    <row r="142" spans="2:23" s="356" customFormat="1" ht="13.5" thickBot="1">
      <c r="B142" s="1140"/>
      <c r="C142" s="1141"/>
      <c r="E142" s="628"/>
      <c r="F142" s="529">
        <v>88</v>
      </c>
      <c r="G142" s="795">
        <v>481</v>
      </c>
      <c r="H142" s="1142" t="s">
        <v>1442</v>
      </c>
      <c r="I142" s="1143"/>
      <c r="J142" s="1143"/>
      <c r="K142" s="1144">
        <v>100000</v>
      </c>
      <c r="L142" s="1144">
        <v>0</v>
      </c>
      <c r="M142" s="1106">
        <v>1000</v>
      </c>
      <c r="N142" s="1145">
        <v>0</v>
      </c>
      <c r="O142" s="1145">
        <v>0</v>
      </c>
      <c r="P142" s="644">
        <v>0</v>
      </c>
      <c r="Q142" s="742">
        <v>0</v>
      </c>
      <c r="R142" s="645">
        <v>0</v>
      </c>
      <c r="S142" s="645">
        <v>0</v>
      </c>
      <c r="T142" s="1146"/>
      <c r="U142" s="844">
        <f t="shared" si="42"/>
        <v>1000</v>
      </c>
      <c r="V142" s="1147">
        <v>1000</v>
      </c>
      <c r="W142" s="844">
        <v>1000</v>
      </c>
    </row>
    <row r="143" spans="2:23" ht="12.75">
      <c r="B143" s="1148"/>
      <c r="C143" s="1149"/>
      <c r="D143" s="1150"/>
      <c r="E143" s="1151" t="s">
        <v>291</v>
      </c>
      <c r="F143" s="1150"/>
      <c r="G143" s="1152"/>
      <c r="H143" s="1669" t="s">
        <v>1265</v>
      </c>
      <c r="I143" s="1670"/>
      <c r="J143" s="1670"/>
      <c r="K143" s="1072">
        <f aca="true" t="shared" si="46" ref="K143:S143">K144+K160+K175</f>
        <v>36730762</v>
      </c>
      <c r="L143" s="1072">
        <f>L144+L160+L175</f>
        <v>16074035.930000002</v>
      </c>
      <c r="M143" s="1072">
        <f t="shared" si="46"/>
        <v>41680762</v>
      </c>
      <c r="N143" s="1155">
        <f t="shared" si="46"/>
        <v>0</v>
      </c>
      <c r="O143" s="1155">
        <f t="shared" si="46"/>
        <v>0</v>
      </c>
      <c r="P143" s="1156">
        <f t="shared" si="46"/>
        <v>0</v>
      </c>
      <c r="Q143" s="1157">
        <f t="shared" si="46"/>
        <v>0</v>
      </c>
      <c r="R143" s="1157">
        <f t="shared" si="46"/>
        <v>0</v>
      </c>
      <c r="S143" s="1157">
        <f t="shared" si="46"/>
        <v>0</v>
      </c>
      <c r="T143" s="1158">
        <f t="shared" si="39"/>
        <v>0</v>
      </c>
      <c r="U143" s="845">
        <f t="shared" si="42"/>
        <v>41680762</v>
      </c>
      <c r="V143" s="1159">
        <v>41680762</v>
      </c>
      <c r="W143" s="652">
        <v>41680762</v>
      </c>
    </row>
    <row r="144" spans="2:23" ht="12.75" customHeight="1">
      <c r="B144" s="1160"/>
      <c r="C144" s="285"/>
      <c r="D144" s="428"/>
      <c r="E144" s="346" t="s">
        <v>289</v>
      </c>
      <c r="F144" s="428"/>
      <c r="G144" s="429"/>
      <c r="H144" s="1489" t="s">
        <v>1210</v>
      </c>
      <c r="I144" s="1490"/>
      <c r="J144" s="1490"/>
      <c r="K144" s="1062">
        <f>K145</f>
        <v>13680531</v>
      </c>
      <c r="L144" s="1062">
        <f>L145</f>
        <v>7971435.45</v>
      </c>
      <c r="M144" s="1062">
        <f>M145</f>
        <v>18630531</v>
      </c>
      <c r="N144" s="290">
        <f aca="true" t="shared" si="47" ref="N144:S144">N145</f>
        <v>0</v>
      </c>
      <c r="O144" s="290">
        <f t="shared" si="47"/>
        <v>0</v>
      </c>
      <c r="P144" s="290">
        <f t="shared" si="47"/>
        <v>0</v>
      </c>
      <c r="Q144" s="290">
        <f t="shared" si="47"/>
        <v>0</v>
      </c>
      <c r="R144" s="290">
        <f t="shared" si="47"/>
        <v>0</v>
      </c>
      <c r="S144" s="290">
        <f t="shared" si="47"/>
        <v>0</v>
      </c>
      <c r="T144" s="335">
        <f t="shared" si="39"/>
        <v>0</v>
      </c>
      <c r="U144" s="845">
        <f t="shared" si="42"/>
        <v>18630531</v>
      </c>
      <c r="V144" s="652">
        <v>18630531</v>
      </c>
      <c r="W144" s="652">
        <v>18630531</v>
      </c>
    </row>
    <row r="145" spans="2:23" ht="12.75">
      <c r="B145" s="1161"/>
      <c r="C145" s="431"/>
      <c r="D145" s="56">
        <v>912</v>
      </c>
      <c r="E145" s="58"/>
      <c r="F145" s="432"/>
      <c r="G145" s="433"/>
      <c r="H145" s="1526" t="s">
        <v>97</v>
      </c>
      <c r="I145" s="1527"/>
      <c r="J145" s="1528"/>
      <c r="K145" s="838">
        <f>SUM(K146:K159)</f>
        <v>13680531</v>
      </c>
      <c r="L145" s="838">
        <f>SUM(L146:L159)</f>
        <v>7971435.45</v>
      </c>
      <c r="M145" s="838">
        <f>SUM(M146:M159)</f>
        <v>18630531</v>
      </c>
      <c r="N145" s="68">
        <f aca="true" t="shared" si="48" ref="N145:S145">SUM(N146:N159)</f>
        <v>0</v>
      </c>
      <c r="O145" s="68">
        <f t="shared" si="48"/>
        <v>0</v>
      </c>
      <c r="P145" s="68">
        <f t="shared" si="48"/>
        <v>0</v>
      </c>
      <c r="Q145" s="68">
        <f t="shared" si="48"/>
        <v>0</v>
      </c>
      <c r="R145" s="68">
        <f t="shared" si="48"/>
        <v>0</v>
      </c>
      <c r="S145" s="68">
        <f t="shared" si="48"/>
        <v>0</v>
      </c>
      <c r="T145" s="338">
        <f t="shared" si="39"/>
        <v>0</v>
      </c>
      <c r="U145" s="1175">
        <f t="shared" si="42"/>
        <v>18630531</v>
      </c>
      <c r="V145" s="837">
        <v>18630531</v>
      </c>
      <c r="W145" s="1175">
        <v>18630531</v>
      </c>
    </row>
    <row r="146" spans="2:23" s="356" customFormat="1" ht="12.75">
      <c r="B146" s="1162"/>
      <c r="C146" s="357"/>
      <c r="D146" s="352"/>
      <c r="E146" s="357"/>
      <c r="F146" s="368">
        <v>89</v>
      </c>
      <c r="G146" s="434">
        <v>463</v>
      </c>
      <c r="H146" s="380" t="s">
        <v>98</v>
      </c>
      <c r="I146" s="435"/>
      <c r="J146" s="453"/>
      <c r="K146" s="935">
        <v>180000</v>
      </c>
      <c r="L146" s="935">
        <v>31636</v>
      </c>
      <c r="M146" s="930">
        <v>60000</v>
      </c>
      <c r="N146" s="354">
        <v>0</v>
      </c>
      <c r="O146" s="411">
        <v>0</v>
      </c>
      <c r="P146" s="411">
        <v>0</v>
      </c>
      <c r="Q146" s="414">
        <v>0</v>
      </c>
      <c r="R146" s="411">
        <v>0</v>
      </c>
      <c r="S146" s="414">
        <v>0</v>
      </c>
      <c r="T146" s="414">
        <f t="shared" si="39"/>
        <v>0</v>
      </c>
      <c r="U146" s="844">
        <f t="shared" si="42"/>
        <v>60000</v>
      </c>
      <c r="V146" s="608">
        <v>60000</v>
      </c>
      <c r="W146" s="844">
        <v>60000</v>
      </c>
    </row>
    <row r="147" spans="2:23" s="356" customFormat="1" ht="12.75">
      <c r="B147" s="1162"/>
      <c r="C147" s="357"/>
      <c r="D147" s="352"/>
      <c r="E147" s="357"/>
      <c r="F147" s="368">
        <v>90</v>
      </c>
      <c r="G147" s="434">
        <v>463</v>
      </c>
      <c r="H147" s="1517" t="s">
        <v>220</v>
      </c>
      <c r="I147" s="1518"/>
      <c r="J147" s="1519"/>
      <c r="K147" s="746">
        <v>135000</v>
      </c>
      <c r="L147" s="746">
        <v>0</v>
      </c>
      <c r="M147" s="746">
        <v>50000</v>
      </c>
      <c r="N147" s="354">
        <v>0</v>
      </c>
      <c r="O147" s="411">
        <v>0</v>
      </c>
      <c r="P147" s="411">
        <v>0</v>
      </c>
      <c r="Q147" s="414">
        <v>0</v>
      </c>
      <c r="R147" s="411">
        <v>0</v>
      </c>
      <c r="S147" s="414">
        <v>0</v>
      </c>
      <c r="T147" s="414">
        <f t="shared" si="39"/>
        <v>0</v>
      </c>
      <c r="U147" s="844">
        <f t="shared" si="42"/>
        <v>50000</v>
      </c>
      <c r="V147" s="608">
        <v>50000</v>
      </c>
      <c r="W147" s="844">
        <v>50000</v>
      </c>
    </row>
    <row r="148" spans="2:23" s="356" customFormat="1" ht="12.75">
      <c r="B148" s="1162"/>
      <c r="C148" s="357"/>
      <c r="D148" s="352"/>
      <c r="E148" s="357"/>
      <c r="F148" s="368">
        <v>91</v>
      </c>
      <c r="G148" s="434">
        <v>463</v>
      </c>
      <c r="H148" s="1492" t="s">
        <v>99</v>
      </c>
      <c r="I148" s="1493"/>
      <c r="J148" s="1494"/>
      <c r="K148" s="914">
        <v>3290531</v>
      </c>
      <c r="L148" s="914">
        <v>3098386</v>
      </c>
      <c r="M148" s="914">
        <v>5800000</v>
      </c>
      <c r="N148" s="354">
        <v>0</v>
      </c>
      <c r="O148" s="411">
        <v>0</v>
      </c>
      <c r="P148" s="411">
        <v>0</v>
      </c>
      <c r="Q148" s="414">
        <v>0</v>
      </c>
      <c r="R148" s="411">
        <v>0</v>
      </c>
      <c r="S148" s="414">
        <v>0</v>
      </c>
      <c r="T148" s="414">
        <f t="shared" si="39"/>
        <v>0</v>
      </c>
      <c r="U148" s="844">
        <f t="shared" si="42"/>
        <v>5800000</v>
      </c>
      <c r="V148" s="608">
        <v>5800000</v>
      </c>
      <c r="W148" s="844">
        <v>5800000</v>
      </c>
    </row>
    <row r="149" spans="2:23" s="356" customFormat="1" ht="12.75">
      <c r="B149" s="1162"/>
      <c r="C149" s="357"/>
      <c r="D149" s="352"/>
      <c r="E149" s="357"/>
      <c r="F149" s="368">
        <v>92</v>
      </c>
      <c r="G149" s="434">
        <v>463</v>
      </c>
      <c r="H149" s="380" t="s">
        <v>201</v>
      </c>
      <c r="I149" s="435"/>
      <c r="J149" s="436"/>
      <c r="K149" s="914">
        <v>450000</v>
      </c>
      <c r="L149" s="914">
        <v>367131</v>
      </c>
      <c r="M149" s="914">
        <v>880000</v>
      </c>
      <c r="N149" s="354">
        <v>0</v>
      </c>
      <c r="O149" s="411">
        <v>0</v>
      </c>
      <c r="P149" s="411">
        <v>0</v>
      </c>
      <c r="Q149" s="414">
        <v>0</v>
      </c>
      <c r="R149" s="411">
        <v>0</v>
      </c>
      <c r="S149" s="414">
        <v>0</v>
      </c>
      <c r="T149" s="414">
        <f t="shared" si="39"/>
        <v>0</v>
      </c>
      <c r="U149" s="844">
        <f t="shared" si="42"/>
        <v>880000</v>
      </c>
      <c r="V149" s="608">
        <v>880000</v>
      </c>
      <c r="W149" s="844">
        <v>880000</v>
      </c>
    </row>
    <row r="150" spans="2:23" s="356" customFormat="1" ht="12.75">
      <c r="B150" s="1162"/>
      <c r="C150" s="357"/>
      <c r="D150" s="352"/>
      <c r="E150" s="357"/>
      <c r="F150" s="368">
        <v>93</v>
      </c>
      <c r="G150" s="434">
        <v>463</v>
      </c>
      <c r="H150" s="380" t="s">
        <v>100</v>
      </c>
      <c r="I150" s="435"/>
      <c r="J150" s="453"/>
      <c r="K150" s="935">
        <v>4050000</v>
      </c>
      <c r="L150" s="935">
        <v>2242971.8500000006</v>
      </c>
      <c r="M150" s="935">
        <v>3288531</v>
      </c>
      <c r="N150" s="354">
        <v>0</v>
      </c>
      <c r="O150" s="411">
        <v>0</v>
      </c>
      <c r="P150" s="411">
        <v>0</v>
      </c>
      <c r="Q150" s="414">
        <v>0</v>
      </c>
      <c r="R150" s="411">
        <v>0</v>
      </c>
      <c r="S150" s="414">
        <v>0</v>
      </c>
      <c r="T150" s="414">
        <f t="shared" si="39"/>
        <v>0</v>
      </c>
      <c r="U150" s="844">
        <f t="shared" si="42"/>
        <v>3288531</v>
      </c>
      <c r="V150" s="608">
        <v>3288531</v>
      </c>
      <c r="W150" s="844">
        <v>3288531</v>
      </c>
    </row>
    <row r="151" spans="2:23" s="356" customFormat="1" ht="12.75">
      <c r="B151" s="1162"/>
      <c r="C151" s="357"/>
      <c r="D151" s="352"/>
      <c r="E151" s="357"/>
      <c r="F151" s="368">
        <v>94</v>
      </c>
      <c r="G151" s="434">
        <v>463</v>
      </c>
      <c r="H151" s="1492" t="s">
        <v>1165</v>
      </c>
      <c r="I151" s="1493"/>
      <c r="J151" s="1494"/>
      <c r="K151" s="914">
        <v>1395000</v>
      </c>
      <c r="L151" s="914">
        <v>445570.36</v>
      </c>
      <c r="M151" s="914">
        <v>900000</v>
      </c>
      <c r="N151" s="354">
        <v>0</v>
      </c>
      <c r="O151" s="411">
        <v>0</v>
      </c>
      <c r="P151" s="411">
        <v>0</v>
      </c>
      <c r="Q151" s="414">
        <v>0</v>
      </c>
      <c r="R151" s="411">
        <v>0</v>
      </c>
      <c r="S151" s="414">
        <v>0</v>
      </c>
      <c r="T151" s="414">
        <f t="shared" si="39"/>
        <v>0</v>
      </c>
      <c r="U151" s="844">
        <f t="shared" si="42"/>
        <v>900000</v>
      </c>
      <c r="V151" s="608">
        <v>900000</v>
      </c>
      <c r="W151" s="844">
        <v>900000</v>
      </c>
    </row>
    <row r="152" spans="2:23" s="356" customFormat="1" ht="12.75">
      <c r="B152" s="1162"/>
      <c r="C152" s="357"/>
      <c r="D152" s="352"/>
      <c r="E152" s="357"/>
      <c r="F152" s="368">
        <v>95</v>
      </c>
      <c r="G152" s="434">
        <v>463</v>
      </c>
      <c r="H152" s="1492" t="s">
        <v>102</v>
      </c>
      <c r="I152" s="1493"/>
      <c r="J152" s="1494"/>
      <c r="K152" s="914">
        <v>738000</v>
      </c>
      <c r="L152" s="914">
        <v>453933</v>
      </c>
      <c r="M152" s="914">
        <v>860000</v>
      </c>
      <c r="N152" s="354">
        <v>0</v>
      </c>
      <c r="O152" s="411">
        <v>0</v>
      </c>
      <c r="P152" s="411">
        <v>0</v>
      </c>
      <c r="Q152" s="414">
        <v>0</v>
      </c>
      <c r="R152" s="411">
        <v>0</v>
      </c>
      <c r="S152" s="414">
        <v>0</v>
      </c>
      <c r="T152" s="414">
        <f t="shared" si="39"/>
        <v>0</v>
      </c>
      <c r="U152" s="844">
        <f t="shared" si="42"/>
        <v>860000</v>
      </c>
      <c r="V152" s="608">
        <v>860000</v>
      </c>
      <c r="W152" s="844">
        <v>860000</v>
      </c>
    </row>
    <row r="153" spans="2:23" s="356" customFormat="1" ht="12.75">
      <c r="B153" s="1162"/>
      <c r="C153" s="357"/>
      <c r="D153" s="352"/>
      <c r="E153" s="357"/>
      <c r="F153" s="368">
        <v>96</v>
      </c>
      <c r="G153" s="434">
        <v>463</v>
      </c>
      <c r="H153" s="1492" t="s">
        <v>103</v>
      </c>
      <c r="I153" s="1493"/>
      <c r="J153" s="1494"/>
      <c r="K153" s="914">
        <v>160000</v>
      </c>
      <c r="L153" s="914">
        <v>26909</v>
      </c>
      <c r="M153" s="914">
        <v>54000</v>
      </c>
      <c r="N153" s="354">
        <v>0</v>
      </c>
      <c r="O153" s="411">
        <v>0</v>
      </c>
      <c r="P153" s="411">
        <v>0</v>
      </c>
      <c r="Q153" s="414">
        <v>0</v>
      </c>
      <c r="R153" s="411">
        <v>0</v>
      </c>
      <c r="S153" s="414">
        <v>0</v>
      </c>
      <c r="T153" s="414">
        <f t="shared" si="39"/>
        <v>0</v>
      </c>
      <c r="U153" s="844">
        <f t="shared" si="42"/>
        <v>54000</v>
      </c>
      <c r="V153" s="608">
        <v>54000</v>
      </c>
      <c r="W153" s="844">
        <v>54000</v>
      </c>
    </row>
    <row r="154" spans="2:23" s="356" customFormat="1" ht="12.75">
      <c r="B154" s="1162"/>
      <c r="C154" s="357"/>
      <c r="D154" s="352"/>
      <c r="E154" s="357"/>
      <c r="F154" s="368">
        <v>97</v>
      </c>
      <c r="G154" s="434">
        <v>463</v>
      </c>
      <c r="H154" s="1492" t="s">
        <v>104</v>
      </c>
      <c r="I154" s="1493"/>
      <c r="J154" s="1494"/>
      <c r="K154" s="914">
        <v>270000</v>
      </c>
      <c r="L154" s="914">
        <v>85205.6</v>
      </c>
      <c r="M154" s="914">
        <v>106000</v>
      </c>
      <c r="N154" s="354">
        <v>0</v>
      </c>
      <c r="O154" s="411">
        <v>0</v>
      </c>
      <c r="P154" s="411">
        <v>0</v>
      </c>
      <c r="Q154" s="414">
        <v>0</v>
      </c>
      <c r="R154" s="411">
        <v>0</v>
      </c>
      <c r="S154" s="414">
        <v>0</v>
      </c>
      <c r="T154" s="414">
        <f t="shared" si="39"/>
        <v>0</v>
      </c>
      <c r="U154" s="844">
        <f t="shared" si="42"/>
        <v>106000</v>
      </c>
      <c r="V154" s="608">
        <v>106000</v>
      </c>
      <c r="W154" s="844">
        <v>106000</v>
      </c>
    </row>
    <row r="155" spans="2:23" s="356" customFormat="1" ht="12.75">
      <c r="B155" s="1162"/>
      <c r="C155" s="357"/>
      <c r="D155" s="352"/>
      <c r="E155" s="357"/>
      <c r="F155" s="368">
        <v>98</v>
      </c>
      <c r="G155" s="434">
        <v>463</v>
      </c>
      <c r="H155" s="380" t="s">
        <v>105</v>
      </c>
      <c r="I155" s="435"/>
      <c r="J155" s="453"/>
      <c r="K155" s="935">
        <v>1305000</v>
      </c>
      <c r="L155" s="935">
        <v>403026.3300000001</v>
      </c>
      <c r="M155" s="935">
        <v>660000</v>
      </c>
      <c r="N155" s="354">
        <v>0</v>
      </c>
      <c r="O155" s="411">
        <v>0</v>
      </c>
      <c r="P155" s="411">
        <v>0</v>
      </c>
      <c r="Q155" s="414">
        <v>0</v>
      </c>
      <c r="R155" s="411">
        <v>0</v>
      </c>
      <c r="S155" s="414">
        <v>0</v>
      </c>
      <c r="T155" s="414">
        <f t="shared" si="39"/>
        <v>0</v>
      </c>
      <c r="U155" s="844">
        <f t="shared" si="42"/>
        <v>660000</v>
      </c>
      <c r="V155" s="608">
        <v>660000</v>
      </c>
      <c r="W155" s="844">
        <v>660000</v>
      </c>
    </row>
    <row r="156" spans="2:23" s="356" customFormat="1" ht="12.75">
      <c r="B156" s="1162"/>
      <c r="C156" s="357"/>
      <c r="D156" s="352"/>
      <c r="E156" s="357"/>
      <c r="F156" s="368">
        <v>99</v>
      </c>
      <c r="G156" s="434">
        <v>463</v>
      </c>
      <c r="H156" s="380" t="s">
        <v>1164</v>
      </c>
      <c r="I156" s="435"/>
      <c r="J156" s="453"/>
      <c r="K156" s="935">
        <v>700000</v>
      </c>
      <c r="L156" s="935">
        <v>520972</v>
      </c>
      <c r="M156" s="935">
        <v>880000</v>
      </c>
      <c r="N156" s="354">
        <v>0</v>
      </c>
      <c r="O156" s="411">
        <v>0</v>
      </c>
      <c r="P156" s="411">
        <v>0</v>
      </c>
      <c r="Q156" s="414">
        <v>0</v>
      </c>
      <c r="R156" s="411">
        <v>0</v>
      </c>
      <c r="S156" s="414">
        <v>0</v>
      </c>
      <c r="T156" s="414">
        <f t="shared" si="39"/>
        <v>0</v>
      </c>
      <c r="U156" s="844">
        <f t="shared" si="42"/>
        <v>880000</v>
      </c>
      <c r="V156" s="608">
        <v>880000</v>
      </c>
      <c r="W156" s="844">
        <v>880000</v>
      </c>
    </row>
    <row r="157" spans="2:23" s="356" customFormat="1" ht="12.75">
      <c r="B157" s="1162"/>
      <c r="C157" s="357"/>
      <c r="D157" s="352"/>
      <c r="E157" s="357"/>
      <c r="F157" s="368">
        <v>100</v>
      </c>
      <c r="G157" s="434">
        <v>463</v>
      </c>
      <c r="H157" s="1492" t="s">
        <v>106</v>
      </c>
      <c r="I157" s="1493"/>
      <c r="J157" s="1494"/>
      <c r="K157" s="914">
        <v>327000</v>
      </c>
      <c r="L157" s="914">
        <v>295694.31</v>
      </c>
      <c r="M157" s="914">
        <v>592000</v>
      </c>
      <c r="N157" s="354">
        <v>0</v>
      </c>
      <c r="O157" s="411">
        <v>0</v>
      </c>
      <c r="P157" s="411">
        <v>0</v>
      </c>
      <c r="Q157" s="414">
        <v>0</v>
      </c>
      <c r="R157" s="411">
        <v>0</v>
      </c>
      <c r="S157" s="414">
        <v>0</v>
      </c>
      <c r="T157" s="414">
        <f t="shared" si="39"/>
        <v>0</v>
      </c>
      <c r="U157" s="844">
        <f t="shared" si="42"/>
        <v>592000</v>
      </c>
      <c r="V157" s="608">
        <v>592000</v>
      </c>
      <c r="W157" s="844">
        <v>592000</v>
      </c>
    </row>
    <row r="158" spans="2:23" s="356" customFormat="1" ht="12.75">
      <c r="B158" s="1162"/>
      <c r="C158" s="357"/>
      <c r="D158" s="352"/>
      <c r="E158" s="357"/>
      <c r="F158" s="368">
        <v>101</v>
      </c>
      <c r="G158" s="434">
        <v>463</v>
      </c>
      <c r="H158" s="1508" t="s">
        <v>221</v>
      </c>
      <c r="I158" s="1509"/>
      <c r="J158" s="1510"/>
      <c r="K158" s="746">
        <v>180000</v>
      </c>
      <c r="L158" s="746">
        <v>0</v>
      </c>
      <c r="M158" s="746">
        <v>0</v>
      </c>
      <c r="N158" s="354">
        <v>0</v>
      </c>
      <c r="O158" s="411">
        <v>0</v>
      </c>
      <c r="P158" s="411">
        <v>0</v>
      </c>
      <c r="Q158" s="414">
        <v>0</v>
      </c>
      <c r="R158" s="411">
        <v>0</v>
      </c>
      <c r="S158" s="414">
        <v>0</v>
      </c>
      <c r="T158" s="414">
        <f t="shared" si="39"/>
        <v>0</v>
      </c>
      <c r="U158" s="844">
        <f t="shared" si="42"/>
        <v>0</v>
      </c>
      <c r="V158" s="608">
        <v>0</v>
      </c>
      <c r="W158" s="844">
        <v>0</v>
      </c>
    </row>
    <row r="159" spans="2:23" s="356" customFormat="1" ht="12.75">
      <c r="B159" s="1162"/>
      <c r="C159" s="357"/>
      <c r="D159" s="352"/>
      <c r="E159" s="357"/>
      <c r="F159" s="368">
        <v>102</v>
      </c>
      <c r="G159" s="434">
        <v>463</v>
      </c>
      <c r="H159" s="380" t="s">
        <v>107</v>
      </c>
      <c r="I159" s="435"/>
      <c r="J159" s="436"/>
      <c r="K159" s="914">
        <v>500000</v>
      </c>
      <c r="L159" s="914">
        <v>0</v>
      </c>
      <c r="M159" s="914">
        <v>4500000</v>
      </c>
      <c r="N159" s="354">
        <v>0</v>
      </c>
      <c r="O159" s="411">
        <v>0</v>
      </c>
      <c r="P159" s="411">
        <v>0</v>
      </c>
      <c r="Q159" s="414">
        <v>0</v>
      </c>
      <c r="R159" s="411">
        <v>0</v>
      </c>
      <c r="S159" s="414">
        <v>0</v>
      </c>
      <c r="T159" s="414">
        <f t="shared" si="39"/>
        <v>0</v>
      </c>
      <c r="U159" s="844">
        <f t="shared" si="42"/>
        <v>4500000</v>
      </c>
      <c r="V159" s="608">
        <v>4500000</v>
      </c>
      <c r="W159" s="844">
        <v>4500000</v>
      </c>
    </row>
    <row r="160" spans="2:23" ht="13.5" customHeight="1">
      <c r="B160" s="1160"/>
      <c r="C160" s="285"/>
      <c r="D160" s="428"/>
      <c r="E160" s="346" t="s">
        <v>289</v>
      </c>
      <c r="F160" s="428"/>
      <c r="G160" s="429"/>
      <c r="H160" s="1489" t="s">
        <v>1211</v>
      </c>
      <c r="I160" s="1490"/>
      <c r="J160" s="1491"/>
      <c r="K160" s="916">
        <f>K161</f>
        <v>14357041</v>
      </c>
      <c r="L160" s="916">
        <f>L161</f>
        <v>4728980.49</v>
      </c>
      <c r="M160" s="916">
        <f>M161</f>
        <v>14357041</v>
      </c>
      <c r="N160" s="290">
        <f aca="true" t="shared" si="49" ref="N160:S160">N161</f>
        <v>0</v>
      </c>
      <c r="O160" s="290">
        <f t="shared" si="49"/>
        <v>0</v>
      </c>
      <c r="P160" s="290">
        <f t="shared" si="49"/>
        <v>0</v>
      </c>
      <c r="Q160" s="290">
        <f t="shared" si="49"/>
        <v>0</v>
      </c>
      <c r="R160" s="290">
        <f t="shared" si="49"/>
        <v>0</v>
      </c>
      <c r="S160" s="290">
        <f t="shared" si="49"/>
        <v>0</v>
      </c>
      <c r="T160" s="335">
        <f t="shared" si="39"/>
        <v>0</v>
      </c>
      <c r="U160" s="845">
        <f t="shared" si="42"/>
        <v>14357041</v>
      </c>
      <c r="V160" s="652">
        <v>14357041</v>
      </c>
      <c r="W160" s="652">
        <v>14357041</v>
      </c>
    </row>
    <row r="161" spans="2:23" ht="12.75">
      <c r="B161" s="1161"/>
      <c r="C161" s="431"/>
      <c r="D161" s="56">
        <v>912</v>
      </c>
      <c r="E161" s="58"/>
      <c r="F161" s="432"/>
      <c r="G161" s="433"/>
      <c r="H161" s="1526" t="s">
        <v>97</v>
      </c>
      <c r="I161" s="1527"/>
      <c r="J161" s="1528"/>
      <c r="K161" s="181">
        <f>SUM(K162:K174)</f>
        <v>14357041</v>
      </c>
      <c r="L161" s="181">
        <f>SUM(L162:L174)</f>
        <v>4728980.49</v>
      </c>
      <c r="M161" s="181">
        <f>SUM(M162:M174)</f>
        <v>14357041</v>
      </c>
      <c r="N161" s="68">
        <f aca="true" t="shared" si="50" ref="N161:S161">SUM(N162:N174)</f>
        <v>0</v>
      </c>
      <c r="O161" s="68">
        <f t="shared" si="50"/>
        <v>0</v>
      </c>
      <c r="P161" s="68">
        <f t="shared" si="50"/>
        <v>0</v>
      </c>
      <c r="Q161" s="68">
        <f t="shared" si="50"/>
        <v>0</v>
      </c>
      <c r="R161" s="68">
        <f t="shared" si="50"/>
        <v>0</v>
      </c>
      <c r="S161" s="68">
        <f t="shared" si="50"/>
        <v>0</v>
      </c>
      <c r="T161" s="178">
        <f t="shared" si="39"/>
        <v>0</v>
      </c>
      <c r="U161" s="1175">
        <f t="shared" si="42"/>
        <v>14357041</v>
      </c>
      <c r="V161" s="837">
        <v>14357041</v>
      </c>
      <c r="W161" s="1175">
        <v>14357041</v>
      </c>
    </row>
    <row r="162" spans="2:23" s="356" customFormat="1" ht="12.75">
      <c r="B162" s="1162"/>
      <c r="C162" s="357"/>
      <c r="D162" s="352"/>
      <c r="E162" s="357"/>
      <c r="F162" s="368">
        <v>103</v>
      </c>
      <c r="G162" s="434">
        <v>463</v>
      </c>
      <c r="H162" s="348" t="s">
        <v>1415</v>
      </c>
      <c r="I162" s="442"/>
      <c r="J162" s="443"/>
      <c r="K162" s="746">
        <v>78000</v>
      </c>
      <c r="L162" s="746">
        <v>0</v>
      </c>
      <c r="M162" s="746">
        <v>78000</v>
      </c>
      <c r="N162" s="354">
        <v>0</v>
      </c>
      <c r="O162" s="411">
        <v>0</v>
      </c>
      <c r="P162" s="411">
        <v>0</v>
      </c>
      <c r="Q162" s="414">
        <v>0</v>
      </c>
      <c r="R162" s="411">
        <v>0</v>
      </c>
      <c r="S162" s="414">
        <v>0</v>
      </c>
      <c r="T162" s="414">
        <f t="shared" si="39"/>
        <v>0</v>
      </c>
      <c r="U162" s="844">
        <f t="shared" si="42"/>
        <v>78000</v>
      </c>
      <c r="V162" s="608">
        <v>78000</v>
      </c>
      <c r="W162" s="844">
        <v>78000</v>
      </c>
    </row>
    <row r="163" spans="2:23" s="510" customFormat="1" ht="12.75">
      <c r="B163" s="1163"/>
      <c r="C163" s="452"/>
      <c r="D163" s="512"/>
      <c r="E163" s="452"/>
      <c r="F163" s="368">
        <v>104</v>
      </c>
      <c r="G163" s="434">
        <v>463</v>
      </c>
      <c r="H163" s="1508" t="s">
        <v>99</v>
      </c>
      <c r="I163" s="1509"/>
      <c r="J163" s="1510"/>
      <c r="K163" s="746">
        <v>5300000</v>
      </c>
      <c r="L163" s="746">
        <v>2101773.44</v>
      </c>
      <c r="M163" s="746">
        <v>5300000</v>
      </c>
      <c r="N163" s="354">
        <v>0</v>
      </c>
      <c r="O163" s="513">
        <v>0</v>
      </c>
      <c r="P163" s="513">
        <v>0</v>
      </c>
      <c r="Q163" s="416">
        <v>0</v>
      </c>
      <c r="R163" s="411">
        <v>0</v>
      </c>
      <c r="S163" s="416">
        <v>0</v>
      </c>
      <c r="T163" s="416">
        <f t="shared" si="39"/>
        <v>0</v>
      </c>
      <c r="U163" s="844">
        <f t="shared" si="42"/>
        <v>5300000</v>
      </c>
      <c r="V163" s="840">
        <v>5300000</v>
      </c>
      <c r="W163" s="844">
        <v>5300000</v>
      </c>
    </row>
    <row r="164" spans="2:23" s="356" customFormat="1" ht="12.75">
      <c r="B164" s="1162"/>
      <c r="C164" s="357"/>
      <c r="D164" s="352"/>
      <c r="E164" s="357"/>
      <c r="F164" s="368">
        <v>105</v>
      </c>
      <c r="G164" s="434">
        <v>463</v>
      </c>
      <c r="H164" s="348" t="s">
        <v>201</v>
      </c>
      <c r="I164" s="442"/>
      <c r="J164" s="443"/>
      <c r="K164" s="746">
        <v>1000000</v>
      </c>
      <c r="L164" s="746">
        <v>397807.13</v>
      </c>
      <c r="M164" s="746">
        <v>1000000</v>
      </c>
      <c r="N164" s="354">
        <v>0</v>
      </c>
      <c r="O164" s="411">
        <v>0</v>
      </c>
      <c r="P164" s="411">
        <v>0</v>
      </c>
      <c r="Q164" s="414">
        <v>0</v>
      </c>
      <c r="R164" s="411">
        <v>0</v>
      </c>
      <c r="S164" s="414">
        <v>0</v>
      </c>
      <c r="T164" s="414">
        <f t="shared" si="39"/>
        <v>0</v>
      </c>
      <c r="U164" s="844">
        <f t="shared" si="42"/>
        <v>1000000</v>
      </c>
      <c r="V164" s="608">
        <v>1000000</v>
      </c>
      <c r="W164" s="844">
        <v>1000000</v>
      </c>
    </row>
    <row r="165" spans="2:23" s="356" customFormat="1" ht="12.75">
      <c r="B165" s="1162"/>
      <c r="C165" s="357"/>
      <c r="D165" s="352"/>
      <c r="E165" s="357"/>
      <c r="F165" s="368">
        <v>106</v>
      </c>
      <c r="G165" s="434">
        <v>463</v>
      </c>
      <c r="H165" s="348" t="s">
        <v>100</v>
      </c>
      <c r="I165" s="442"/>
      <c r="J165" s="445"/>
      <c r="K165" s="927">
        <v>2682841</v>
      </c>
      <c r="L165" s="927">
        <v>360135.69000000006</v>
      </c>
      <c r="M165" s="927">
        <v>2682841</v>
      </c>
      <c r="N165" s="354">
        <v>0</v>
      </c>
      <c r="O165" s="411">
        <v>0</v>
      </c>
      <c r="P165" s="411">
        <v>0</v>
      </c>
      <c r="Q165" s="414">
        <v>0</v>
      </c>
      <c r="R165" s="411">
        <v>0</v>
      </c>
      <c r="S165" s="414">
        <v>0</v>
      </c>
      <c r="T165" s="414">
        <f t="shared" si="39"/>
        <v>0</v>
      </c>
      <c r="U165" s="844">
        <f t="shared" si="42"/>
        <v>2682841</v>
      </c>
      <c r="V165" s="608">
        <v>2682841</v>
      </c>
      <c r="W165" s="844">
        <v>2682841</v>
      </c>
    </row>
    <row r="166" spans="2:23" s="356" customFormat="1" ht="12.75">
      <c r="B166" s="1162"/>
      <c r="C166" s="357"/>
      <c r="D166" s="352"/>
      <c r="E166" s="357"/>
      <c r="F166" s="368">
        <v>107</v>
      </c>
      <c r="G166" s="434">
        <v>463</v>
      </c>
      <c r="H166" s="1508" t="s">
        <v>101</v>
      </c>
      <c r="I166" s="1509"/>
      <c r="J166" s="1510"/>
      <c r="K166" s="746">
        <v>1920000</v>
      </c>
      <c r="L166" s="746">
        <v>499675.91</v>
      </c>
      <c r="M166" s="746">
        <v>1690000</v>
      </c>
      <c r="N166" s="354">
        <v>0</v>
      </c>
      <c r="O166" s="411">
        <v>0</v>
      </c>
      <c r="P166" s="411">
        <v>0</v>
      </c>
      <c r="Q166" s="414">
        <v>0</v>
      </c>
      <c r="R166" s="411">
        <v>0</v>
      </c>
      <c r="S166" s="414">
        <v>0</v>
      </c>
      <c r="T166" s="414">
        <f t="shared" si="39"/>
        <v>0</v>
      </c>
      <c r="U166" s="844">
        <f t="shared" si="42"/>
        <v>1690000</v>
      </c>
      <c r="V166" s="608">
        <v>1690000</v>
      </c>
      <c r="W166" s="844">
        <v>1690000</v>
      </c>
    </row>
    <row r="167" spans="2:23" s="356" customFormat="1" ht="12.75">
      <c r="B167" s="1162"/>
      <c r="C167" s="357"/>
      <c r="D167" s="352"/>
      <c r="E167" s="357"/>
      <c r="F167" s="368">
        <v>108</v>
      </c>
      <c r="G167" s="434">
        <v>463</v>
      </c>
      <c r="H167" s="1508" t="s">
        <v>102</v>
      </c>
      <c r="I167" s="1509"/>
      <c r="J167" s="1510"/>
      <c r="K167" s="746">
        <v>414000</v>
      </c>
      <c r="L167" s="746">
        <v>71674</v>
      </c>
      <c r="M167" s="746">
        <v>414000</v>
      </c>
      <c r="N167" s="354">
        <v>0</v>
      </c>
      <c r="O167" s="411">
        <v>0</v>
      </c>
      <c r="P167" s="411">
        <v>0</v>
      </c>
      <c r="Q167" s="414">
        <v>0</v>
      </c>
      <c r="R167" s="411">
        <v>0</v>
      </c>
      <c r="S167" s="414">
        <v>0</v>
      </c>
      <c r="T167" s="414">
        <f t="shared" si="39"/>
        <v>0</v>
      </c>
      <c r="U167" s="844">
        <f t="shared" si="42"/>
        <v>414000</v>
      </c>
      <c r="V167" s="608">
        <v>414000</v>
      </c>
      <c r="W167" s="844">
        <v>414000</v>
      </c>
    </row>
    <row r="168" spans="2:23" s="356" customFormat="1" ht="12.75">
      <c r="B168" s="1162"/>
      <c r="C168" s="357"/>
      <c r="D168" s="352"/>
      <c r="E168" s="357"/>
      <c r="F168" s="368">
        <v>109</v>
      </c>
      <c r="G168" s="434">
        <v>463</v>
      </c>
      <c r="H168" s="1508" t="s">
        <v>103</v>
      </c>
      <c r="I168" s="1509"/>
      <c r="J168" s="1510"/>
      <c r="K168" s="746">
        <v>370000</v>
      </c>
      <c r="L168" s="746">
        <v>297980</v>
      </c>
      <c r="M168" s="746">
        <v>370000</v>
      </c>
      <c r="N168" s="354">
        <v>0</v>
      </c>
      <c r="O168" s="411">
        <v>0</v>
      </c>
      <c r="P168" s="411">
        <v>0</v>
      </c>
      <c r="Q168" s="414">
        <v>0</v>
      </c>
      <c r="R168" s="411">
        <v>0</v>
      </c>
      <c r="S168" s="414">
        <v>0</v>
      </c>
      <c r="T168" s="414">
        <f t="shared" si="39"/>
        <v>0</v>
      </c>
      <c r="U168" s="844">
        <f t="shared" si="42"/>
        <v>370000</v>
      </c>
      <c r="V168" s="608">
        <v>370000</v>
      </c>
      <c r="W168" s="844">
        <v>370000</v>
      </c>
    </row>
    <row r="169" spans="2:23" s="356" customFormat="1" ht="12.75">
      <c r="B169" s="1162"/>
      <c r="C169" s="357"/>
      <c r="D169" s="352"/>
      <c r="E169" s="357"/>
      <c r="F169" s="368">
        <v>110</v>
      </c>
      <c r="G169" s="434">
        <v>463</v>
      </c>
      <c r="H169" s="1508" t="s">
        <v>104</v>
      </c>
      <c r="I169" s="1509"/>
      <c r="J169" s="1510"/>
      <c r="K169" s="746">
        <v>609200</v>
      </c>
      <c r="L169" s="746">
        <v>245302.8</v>
      </c>
      <c r="M169" s="746">
        <v>809200</v>
      </c>
      <c r="N169" s="354">
        <v>0</v>
      </c>
      <c r="O169" s="411">
        <v>0</v>
      </c>
      <c r="P169" s="411">
        <v>0</v>
      </c>
      <c r="Q169" s="414">
        <v>0</v>
      </c>
      <c r="R169" s="411">
        <v>0</v>
      </c>
      <c r="S169" s="414">
        <v>0</v>
      </c>
      <c r="T169" s="414">
        <f t="shared" si="39"/>
        <v>0</v>
      </c>
      <c r="U169" s="844">
        <f t="shared" si="42"/>
        <v>809200</v>
      </c>
      <c r="V169" s="608">
        <v>809200</v>
      </c>
      <c r="W169" s="844">
        <v>809200</v>
      </c>
    </row>
    <row r="170" spans="2:23" s="356" customFormat="1" ht="12.75">
      <c r="B170" s="1162"/>
      <c r="C170" s="357"/>
      <c r="D170" s="352"/>
      <c r="E170" s="357"/>
      <c r="F170" s="368">
        <v>111</v>
      </c>
      <c r="G170" s="434">
        <v>463</v>
      </c>
      <c r="H170" s="1517" t="s">
        <v>105</v>
      </c>
      <c r="I170" s="1518"/>
      <c r="J170" s="1519"/>
      <c r="K170" s="746">
        <v>936000</v>
      </c>
      <c r="L170" s="746">
        <v>185974.52000000002</v>
      </c>
      <c r="M170" s="746">
        <v>906000</v>
      </c>
      <c r="N170" s="354">
        <v>0</v>
      </c>
      <c r="O170" s="411">
        <v>0</v>
      </c>
      <c r="P170" s="411">
        <v>0</v>
      </c>
      <c r="Q170" s="414">
        <v>0</v>
      </c>
      <c r="R170" s="411">
        <v>0</v>
      </c>
      <c r="S170" s="414">
        <v>0</v>
      </c>
      <c r="T170" s="414">
        <f t="shared" si="39"/>
        <v>0</v>
      </c>
      <c r="U170" s="844">
        <f t="shared" si="42"/>
        <v>906000</v>
      </c>
      <c r="V170" s="608">
        <v>906000</v>
      </c>
      <c r="W170" s="844">
        <v>906000</v>
      </c>
    </row>
    <row r="171" spans="2:23" s="356" customFormat="1" ht="12.75">
      <c r="B171" s="1162"/>
      <c r="C171" s="357"/>
      <c r="D171" s="352"/>
      <c r="E171" s="357"/>
      <c r="F171" s="368">
        <v>112</v>
      </c>
      <c r="G171" s="434">
        <v>463</v>
      </c>
      <c r="H171" s="1508" t="s">
        <v>106</v>
      </c>
      <c r="I171" s="1509"/>
      <c r="J171" s="1510"/>
      <c r="K171" s="746">
        <v>57000</v>
      </c>
      <c r="L171" s="746">
        <v>9497</v>
      </c>
      <c r="M171" s="746">
        <v>57000</v>
      </c>
      <c r="N171" s="354">
        <v>0</v>
      </c>
      <c r="O171" s="411">
        <v>0</v>
      </c>
      <c r="P171" s="411">
        <v>0</v>
      </c>
      <c r="Q171" s="414">
        <v>0</v>
      </c>
      <c r="R171" s="411">
        <v>0</v>
      </c>
      <c r="S171" s="414">
        <v>0</v>
      </c>
      <c r="T171" s="414">
        <f t="shared" si="39"/>
        <v>0</v>
      </c>
      <c r="U171" s="844">
        <f t="shared" si="42"/>
        <v>57000</v>
      </c>
      <c r="V171" s="608">
        <v>57000</v>
      </c>
      <c r="W171" s="844">
        <v>57000</v>
      </c>
    </row>
    <row r="172" spans="2:23" s="356" customFormat="1" ht="12.75">
      <c r="B172" s="1162"/>
      <c r="C172" s="357"/>
      <c r="D172" s="352"/>
      <c r="E172" s="357"/>
      <c r="F172" s="368">
        <v>113</v>
      </c>
      <c r="G172" s="434">
        <v>463</v>
      </c>
      <c r="H172" s="1517" t="s">
        <v>1414</v>
      </c>
      <c r="I172" s="1518"/>
      <c r="J172" s="1519"/>
      <c r="K172" s="746">
        <v>500000</v>
      </c>
      <c r="L172" s="746">
        <v>468000</v>
      </c>
      <c r="M172" s="746">
        <v>500000</v>
      </c>
      <c r="N172" s="354">
        <v>0</v>
      </c>
      <c r="O172" s="531">
        <v>0</v>
      </c>
      <c r="P172" s="414">
        <v>0</v>
      </c>
      <c r="Q172" s="414">
        <v>0</v>
      </c>
      <c r="R172" s="411">
        <v>0</v>
      </c>
      <c r="S172" s="414">
        <v>0</v>
      </c>
      <c r="T172" s="414">
        <f t="shared" si="39"/>
        <v>0</v>
      </c>
      <c r="U172" s="844">
        <f t="shared" si="42"/>
        <v>500000</v>
      </c>
      <c r="V172" s="608">
        <v>500000</v>
      </c>
      <c r="W172" s="844">
        <v>500000</v>
      </c>
    </row>
    <row r="173" spans="2:23" s="356" customFormat="1" ht="12.75">
      <c r="B173" s="1162"/>
      <c r="C173" s="357"/>
      <c r="D173" s="352"/>
      <c r="E173" s="357"/>
      <c r="F173" s="368">
        <v>114</v>
      </c>
      <c r="G173" s="434">
        <v>463</v>
      </c>
      <c r="H173" s="1517" t="s">
        <v>107</v>
      </c>
      <c r="I173" s="1518"/>
      <c r="J173" s="1519"/>
      <c r="K173" s="746">
        <v>450000</v>
      </c>
      <c r="L173" s="746">
        <v>91160</v>
      </c>
      <c r="M173" s="746">
        <v>510000</v>
      </c>
      <c r="N173" s="354">
        <v>0</v>
      </c>
      <c r="O173" s="411">
        <v>0</v>
      </c>
      <c r="P173" s="411">
        <v>0</v>
      </c>
      <c r="Q173" s="414">
        <v>0</v>
      </c>
      <c r="R173" s="411">
        <v>0</v>
      </c>
      <c r="S173" s="414">
        <v>0</v>
      </c>
      <c r="T173" s="414">
        <f t="shared" si="39"/>
        <v>0</v>
      </c>
      <c r="U173" s="844">
        <f t="shared" si="42"/>
        <v>510000</v>
      </c>
      <c r="V173" s="608">
        <v>510000</v>
      </c>
      <c r="W173" s="844">
        <v>510000</v>
      </c>
    </row>
    <row r="174" spans="2:23" s="356" customFormat="1" ht="12.75">
      <c r="B174" s="1164"/>
      <c r="C174" s="362"/>
      <c r="D174" s="363"/>
      <c r="E174" s="362"/>
      <c r="F174" s="368">
        <v>115</v>
      </c>
      <c r="G174" s="743">
        <v>463</v>
      </c>
      <c r="H174" s="723" t="s">
        <v>1360</v>
      </c>
      <c r="I174" s="724"/>
      <c r="J174" s="738"/>
      <c r="K174" s="372">
        <v>40000</v>
      </c>
      <c r="L174" s="372">
        <v>0</v>
      </c>
      <c r="M174" s="372">
        <v>40000</v>
      </c>
      <c r="N174" s="354">
        <v>0</v>
      </c>
      <c r="O174" s="354">
        <v>0</v>
      </c>
      <c r="P174" s="354">
        <v>0</v>
      </c>
      <c r="Q174" s="354">
        <v>0</v>
      </c>
      <c r="R174" s="354">
        <v>0</v>
      </c>
      <c r="S174" s="354">
        <v>0</v>
      </c>
      <c r="T174" s="422">
        <f t="shared" si="39"/>
        <v>0</v>
      </c>
      <c r="U174" s="844">
        <f t="shared" si="42"/>
        <v>40000</v>
      </c>
      <c r="V174" s="608">
        <v>40000</v>
      </c>
      <c r="W174" s="844">
        <v>40000</v>
      </c>
    </row>
    <row r="175" spans="2:23" ht="13.5" customHeight="1">
      <c r="B175" s="1160"/>
      <c r="C175" s="285"/>
      <c r="D175" s="428"/>
      <c r="E175" s="346" t="s">
        <v>289</v>
      </c>
      <c r="F175" s="428"/>
      <c r="G175" s="429"/>
      <c r="H175" s="1489" t="s">
        <v>1212</v>
      </c>
      <c r="I175" s="1490"/>
      <c r="J175" s="1491"/>
      <c r="K175" s="916">
        <f>K176</f>
        <v>8693190</v>
      </c>
      <c r="L175" s="916">
        <f>L176</f>
        <v>3373619.99</v>
      </c>
      <c r="M175" s="916">
        <f>M176</f>
        <v>8693190</v>
      </c>
      <c r="N175" s="290">
        <f aca="true" t="shared" si="51" ref="N175:S175">N176</f>
        <v>0</v>
      </c>
      <c r="O175" s="290">
        <f t="shared" si="51"/>
        <v>0</v>
      </c>
      <c r="P175" s="290">
        <f t="shared" si="51"/>
        <v>0</v>
      </c>
      <c r="Q175" s="290">
        <f t="shared" si="51"/>
        <v>0</v>
      </c>
      <c r="R175" s="290">
        <f t="shared" si="51"/>
        <v>0</v>
      </c>
      <c r="S175" s="290">
        <f t="shared" si="51"/>
        <v>0</v>
      </c>
      <c r="T175" s="335">
        <f t="shared" si="39"/>
        <v>0</v>
      </c>
      <c r="U175" s="845">
        <f t="shared" si="42"/>
        <v>8693190</v>
      </c>
      <c r="V175" s="652">
        <v>8693190</v>
      </c>
      <c r="W175" s="652">
        <v>8693190</v>
      </c>
    </row>
    <row r="176" spans="2:23" ht="12.75">
      <c r="B176" s="1161"/>
      <c r="C176" s="431"/>
      <c r="D176" s="56">
        <v>912</v>
      </c>
      <c r="E176" s="58"/>
      <c r="F176" s="432"/>
      <c r="G176" s="433"/>
      <c r="H176" s="73" t="s">
        <v>97</v>
      </c>
      <c r="I176" s="74"/>
      <c r="J176" s="707"/>
      <c r="K176" s="181">
        <f>SUM(K177:K189)</f>
        <v>8693190</v>
      </c>
      <c r="L176" s="181">
        <f>SUM(L177:L189)</f>
        <v>3373619.99</v>
      </c>
      <c r="M176" s="181">
        <f>SUM(M177:M189)</f>
        <v>8693190</v>
      </c>
      <c r="N176" s="181">
        <f aca="true" t="shared" si="52" ref="N176:S176">SUM(N177:N189)</f>
        <v>0</v>
      </c>
      <c r="O176" s="181">
        <f t="shared" si="52"/>
        <v>0</v>
      </c>
      <c r="P176" s="181">
        <f t="shared" si="52"/>
        <v>0</v>
      </c>
      <c r="Q176" s="181">
        <f t="shared" si="52"/>
        <v>0</v>
      </c>
      <c r="R176" s="181">
        <f t="shared" si="52"/>
        <v>0</v>
      </c>
      <c r="S176" s="181">
        <f t="shared" si="52"/>
        <v>0</v>
      </c>
      <c r="T176" s="340">
        <f t="shared" si="39"/>
        <v>0</v>
      </c>
      <c r="U176" s="1175">
        <f t="shared" si="42"/>
        <v>8693190</v>
      </c>
      <c r="V176" s="837">
        <v>8693190</v>
      </c>
      <c r="W176" s="1175">
        <v>8693190</v>
      </c>
    </row>
    <row r="177" spans="2:23" s="356" customFormat="1" ht="12.75">
      <c r="B177" s="1162"/>
      <c r="C177" s="357"/>
      <c r="D177" s="352"/>
      <c r="E177" s="357"/>
      <c r="F177" s="368">
        <v>116</v>
      </c>
      <c r="G177" s="434">
        <v>463</v>
      </c>
      <c r="H177" s="380" t="s">
        <v>98</v>
      </c>
      <c r="I177" s="435"/>
      <c r="J177" s="453"/>
      <c r="K177" s="935">
        <v>170000</v>
      </c>
      <c r="L177" s="935">
        <v>15093</v>
      </c>
      <c r="M177" s="935">
        <v>70000</v>
      </c>
      <c r="N177" s="354">
        <v>0</v>
      </c>
      <c r="O177" s="411">
        <v>0</v>
      </c>
      <c r="P177" s="411">
        <v>0</v>
      </c>
      <c r="Q177" s="414">
        <v>0</v>
      </c>
      <c r="R177" s="411">
        <v>0</v>
      </c>
      <c r="S177" s="414">
        <v>0</v>
      </c>
      <c r="T177" s="414">
        <f t="shared" si="39"/>
        <v>0</v>
      </c>
      <c r="U177" s="844">
        <f t="shared" si="42"/>
        <v>70000</v>
      </c>
      <c r="V177" s="608">
        <v>70000</v>
      </c>
      <c r="W177" s="844">
        <v>70000</v>
      </c>
    </row>
    <row r="178" spans="2:23" s="356" customFormat="1" ht="12.75">
      <c r="B178" s="1162"/>
      <c r="C178" s="357"/>
      <c r="D178" s="352"/>
      <c r="E178" s="357"/>
      <c r="F178" s="368">
        <v>117</v>
      </c>
      <c r="G178" s="434">
        <v>463</v>
      </c>
      <c r="H178" s="1492" t="s">
        <v>99</v>
      </c>
      <c r="I178" s="1493"/>
      <c r="J178" s="1494"/>
      <c r="K178" s="914">
        <v>3906190</v>
      </c>
      <c r="L178" s="914">
        <v>1517486.51</v>
      </c>
      <c r="M178" s="914">
        <v>3906190</v>
      </c>
      <c r="N178" s="354">
        <v>0</v>
      </c>
      <c r="O178" s="411">
        <v>0</v>
      </c>
      <c r="P178" s="411">
        <v>0</v>
      </c>
      <c r="Q178" s="414">
        <v>0</v>
      </c>
      <c r="R178" s="411">
        <v>0</v>
      </c>
      <c r="S178" s="414">
        <v>0</v>
      </c>
      <c r="T178" s="414">
        <f t="shared" si="39"/>
        <v>0</v>
      </c>
      <c r="U178" s="844">
        <f t="shared" si="42"/>
        <v>3906190</v>
      </c>
      <c r="V178" s="608">
        <v>3906190</v>
      </c>
      <c r="W178" s="844">
        <v>3906190</v>
      </c>
    </row>
    <row r="179" spans="2:23" s="356" customFormat="1" ht="12.75">
      <c r="B179" s="1162"/>
      <c r="C179" s="357"/>
      <c r="D179" s="352"/>
      <c r="E179" s="357"/>
      <c r="F179" s="368">
        <v>118</v>
      </c>
      <c r="G179" s="434">
        <v>463</v>
      </c>
      <c r="H179" s="380" t="s">
        <v>201</v>
      </c>
      <c r="I179" s="435"/>
      <c r="J179" s="436"/>
      <c r="K179" s="914">
        <v>315000</v>
      </c>
      <c r="L179" s="914">
        <v>114810.8</v>
      </c>
      <c r="M179" s="914">
        <v>315000</v>
      </c>
      <c r="N179" s="354">
        <v>0</v>
      </c>
      <c r="O179" s="411">
        <v>0</v>
      </c>
      <c r="P179" s="411">
        <v>0</v>
      </c>
      <c r="Q179" s="414">
        <v>0</v>
      </c>
      <c r="R179" s="411">
        <v>0</v>
      </c>
      <c r="S179" s="414">
        <v>0</v>
      </c>
      <c r="T179" s="414">
        <f t="shared" si="39"/>
        <v>0</v>
      </c>
      <c r="U179" s="844">
        <f t="shared" si="42"/>
        <v>315000</v>
      </c>
      <c r="V179" s="608">
        <v>315000</v>
      </c>
      <c r="W179" s="844">
        <v>315000</v>
      </c>
    </row>
    <row r="180" spans="2:23" s="356" customFormat="1" ht="12.75">
      <c r="B180" s="1162"/>
      <c r="C180" s="357"/>
      <c r="D180" s="352"/>
      <c r="E180" s="357"/>
      <c r="F180" s="368">
        <v>119</v>
      </c>
      <c r="G180" s="434">
        <v>463</v>
      </c>
      <c r="H180" s="1495" t="s">
        <v>100</v>
      </c>
      <c r="I180" s="1496"/>
      <c r="J180" s="1497"/>
      <c r="K180" s="914">
        <v>2362000</v>
      </c>
      <c r="L180" s="914">
        <v>1098629.08</v>
      </c>
      <c r="M180" s="914">
        <v>2647000</v>
      </c>
      <c r="N180" s="354">
        <v>0</v>
      </c>
      <c r="O180" s="411">
        <v>0</v>
      </c>
      <c r="P180" s="411">
        <v>0</v>
      </c>
      <c r="Q180" s="414">
        <v>0</v>
      </c>
      <c r="R180" s="411">
        <v>0</v>
      </c>
      <c r="S180" s="414">
        <v>0</v>
      </c>
      <c r="T180" s="414">
        <f t="shared" si="39"/>
        <v>0</v>
      </c>
      <c r="U180" s="844">
        <f t="shared" si="42"/>
        <v>2647000</v>
      </c>
      <c r="V180" s="608">
        <v>2647000</v>
      </c>
      <c r="W180" s="844">
        <v>2647000</v>
      </c>
    </row>
    <row r="181" spans="2:23" s="356" customFormat="1" ht="12.75">
      <c r="B181" s="1162"/>
      <c r="C181" s="357"/>
      <c r="D181" s="352"/>
      <c r="E181" s="357"/>
      <c r="F181" s="368">
        <v>120</v>
      </c>
      <c r="G181" s="434">
        <v>463</v>
      </c>
      <c r="H181" s="367" t="s">
        <v>101</v>
      </c>
      <c r="I181" s="437"/>
      <c r="J181" s="438"/>
      <c r="K181" s="914">
        <v>65000</v>
      </c>
      <c r="L181" s="914">
        <v>0</v>
      </c>
      <c r="M181" s="914">
        <v>30000</v>
      </c>
      <c r="N181" s="354">
        <v>0</v>
      </c>
      <c r="O181" s="411">
        <v>0</v>
      </c>
      <c r="P181" s="411">
        <v>0</v>
      </c>
      <c r="Q181" s="414">
        <v>0</v>
      </c>
      <c r="R181" s="411">
        <v>0</v>
      </c>
      <c r="S181" s="414">
        <v>0</v>
      </c>
      <c r="T181" s="414">
        <f t="shared" si="39"/>
        <v>0</v>
      </c>
      <c r="U181" s="844">
        <f t="shared" si="42"/>
        <v>30000</v>
      </c>
      <c r="V181" s="608">
        <v>30000</v>
      </c>
      <c r="W181" s="844">
        <v>30000</v>
      </c>
    </row>
    <row r="182" spans="2:23" s="356" customFormat="1" ht="12.75">
      <c r="B182" s="1162"/>
      <c r="C182" s="357"/>
      <c r="D182" s="352"/>
      <c r="E182" s="357"/>
      <c r="F182" s="368">
        <v>121</v>
      </c>
      <c r="G182" s="434">
        <v>463</v>
      </c>
      <c r="H182" s="380" t="s">
        <v>102</v>
      </c>
      <c r="I182" s="435"/>
      <c r="J182" s="436"/>
      <c r="K182" s="914">
        <v>150000</v>
      </c>
      <c r="L182" s="914">
        <v>38900</v>
      </c>
      <c r="M182" s="914">
        <v>150000</v>
      </c>
      <c r="N182" s="354">
        <v>0</v>
      </c>
      <c r="O182" s="411">
        <v>0</v>
      </c>
      <c r="P182" s="411">
        <v>0</v>
      </c>
      <c r="Q182" s="411">
        <v>0</v>
      </c>
      <c r="R182" s="411">
        <v>0</v>
      </c>
      <c r="S182" s="411">
        <v>0</v>
      </c>
      <c r="T182" s="414">
        <f t="shared" si="39"/>
        <v>0</v>
      </c>
      <c r="U182" s="844">
        <f t="shared" si="42"/>
        <v>150000</v>
      </c>
      <c r="V182" s="608">
        <v>150000</v>
      </c>
      <c r="W182" s="844">
        <v>150000</v>
      </c>
    </row>
    <row r="183" spans="2:23" s="356" customFormat="1" ht="12.75">
      <c r="B183" s="1162"/>
      <c r="C183" s="357"/>
      <c r="D183" s="352"/>
      <c r="E183" s="357"/>
      <c r="F183" s="368">
        <v>122</v>
      </c>
      <c r="G183" s="434">
        <v>463</v>
      </c>
      <c r="H183" s="1492" t="s">
        <v>103</v>
      </c>
      <c r="I183" s="1493"/>
      <c r="J183" s="1494"/>
      <c r="K183" s="914">
        <v>150000</v>
      </c>
      <c r="L183" s="914">
        <v>63600</v>
      </c>
      <c r="M183" s="914">
        <v>150000</v>
      </c>
      <c r="N183" s="354">
        <v>0</v>
      </c>
      <c r="O183" s="411">
        <v>0</v>
      </c>
      <c r="P183" s="411">
        <v>0</v>
      </c>
      <c r="Q183" s="414">
        <v>0</v>
      </c>
      <c r="R183" s="411">
        <v>0</v>
      </c>
      <c r="S183" s="414">
        <v>0</v>
      </c>
      <c r="T183" s="414">
        <f t="shared" si="39"/>
        <v>0</v>
      </c>
      <c r="U183" s="844">
        <f t="shared" si="42"/>
        <v>150000</v>
      </c>
      <c r="V183" s="608">
        <v>150000</v>
      </c>
      <c r="W183" s="844">
        <v>150000</v>
      </c>
    </row>
    <row r="184" spans="2:23" s="356" customFormat="1" ht="12.75">
      <c r="B184" s="1162"/>
      <c r="C184" s="357"/>
      <c r="D184" s="352"/>
      <c r="E184" s="357"/>
      <c r="F184" s="368">
        <v>123</v>
      </c>
      <c r="G184" s="434">
        <v>463</v>
      </c>
      <c r="H184" s="1492" t="s">
        <v>104</v>
      </c>
      <c r="I184" s="1493"/>
      <c r="J184" s="1494"/>
      <c r="K184" s="915">
        <v>200000</v>
      </c>
      <c r="L184" s="915">
        <v>15519.71</v>
      </c>
      <c r="M184" s="915">
        <v>150000</v>
      </c>
      <c r="N184" s="354">
        <v>0</v>
      </c>
      <c r="O184" s="411">
        <v>0</v>
      </c>
      <c r="P184" s="411">
        <v>0</v>
      </c>
      <c r="Q184" s="414">
        <v>0</v>
      </c>
      <c r="R184" s="411">
        <v>0</v>
      </c>
      <c r="S184" s="414">
        <v>0</v>
      </c>
      <c r="T184" s="414">
        <f t="shared" si="39"/>
        <v>0</v>
      </c>
      <c r="U184" s="844">
        <f t="shared" si="42"/>
        <v>150000</v>
      </c>
      <c r="V184" s="608">
        <v>150000</v>
      </c>
      <c r="W184" s="844">
        <v>150000</v>
      </c>
    </row>
    <row r="185" spans="2:23" s="356" customFormat="1" ht="12.75">
      <c r="B185" s="1162"/>
      <c r="C185" s="357"/>
      <c r="D185" s="352"/>
      <c r="E185" s="357"/>
      <c r="F185" s="368">
        <v>124</v>
      </c>
      <c r="G185" s="434">
        <v>463</v>
      </c>
      <c r="H185" s="1492" t="s">
        <v>105</v>
      </c>
      <c r="I185" s="1493"/>
      <c r="J185" s="476"/>
      <c r="K185" s="1071">
        <v>765000</v>
      </c>
      <c r="L185" s="1071">
        <v>387473.89</v>
      </c>
      <c r="M185" s="1071">
        <v>765000</v>
      </c>
      <c r="N185" s="354">
        <v>0</v>
      </c>
      <c r="O185" s="411">
        <v>0</v>
      </c>
      <c r="P185" s="411">
        <v>0</v>
      </c>
      <c r="Q185" s="414">
        <v>0</v>
      </c>
      <c r="R185" s="411">
        <v>0</v>
      </c>
      <c r="S185" s="414">
        <v>0</v>
      </c>
      <c r="T185" s="414">
        <f t="shared" si="39"/>
        <v>0</v>
      </c>
      <c r="U185" s="844">
        <f t="shared" si="42"/>
        <v>765000</v>
      </c>
      <c r="V185" s="608">
        <v>765000</v>
      </c>
      <c r="W185" s="844">
        <v>765000</v>
      </c>
    </row>
    <row r="186" spans="2:23" s="356" customFormat="1" ht="12.75">
      <c r="B186" s="1162"/>
      <c r="C186" s="357"/>
      <c r="D186" s="352"/>
      <c r="E186" s="357"/>
      <c r="F186" s="368">
        <v>125</v>
      </c>
      <c r="G186" s="530">
        <v>463</v>
      </c>
      <c r="H186" s="1673" t="s">
        <v>106</v>
      </c>
      <c r="I186" s="1648"/>
      <c r="J186" s="1648"/>
      <c r="K186" s="955">
        <v>70000</v>
      </c>
      <c r="L186" s="955">
        <v>107</v>
      </c>
      <c r="M186" s="955">
        <v>120000</v>
      </c>
      <c r="N186" s="722">
        <v>0</v>
      </c>
      <c r="O186" s="531">
        <v>0</v>
      </c>
      <c r="P186" s="531">
        <v>0</v>
      </c>
      <c r="Q186" s="451">
        <v>0</v>
      </c>
      <c r="R186" s="531">
        <v>0</v>
      </c>
      <c r="S186" s="451">
        <v>0</v>
      </c>
      <c r="T186" s="451">
        <f t="shared" si="39"/>
        <v>0</v>
      </c>
      <c r="U186" s="844">
        <f t="shared" si="42"/>
        <v>120000</v>
      </c>
      <c r="V186" s="608">
        <v>120000</v>
      </c>
      <c r="W186" s="844">
        <v>120000</v>
      </c>
    </row>
    <row r="187" spans="2:23" s="356" customFormat="1" ht="12.75">
      <c r="B187" s="1164"/>
      <c r="C187" s="362"/>
      <c r="D187" s="363"/>
      <c r="E187" s="362"/>
      <c r="F187" s="368">
        <v>126</v>
      </c>
      <c r="G187" s="745">
        <v>463</v>
      </c>
      <c r="H187" s="1540" t="s">
        <v>1340</v>
      </c>
      <c r="I187" s="1541"/>
      <c r="J187" s="1541"/>
      <c r="K187" s="955">
        <v>100000</v>
      </c>
      <c r="L187" s="955">
        <v>0</v>
      </c>
      <c r="M187" s="955">
        <v>50000</v>
      </c>
      <c r="N187" s="1070">
        <v>0</v>
      </c>
      <c r="O187" s="457">
        <v>0</v>
      </c>
      <c r="P187" s="457">
        <v>0</v>
      </c>
      <c r="Q187" s="800">
        <v>0</v>
      </c>
      <c r="R187" s="797">
        <v>0</v>
      </c>
      <c r="S187" s="798">
        <v>0</v>
      </c>
      <c r="T187" s="799">
        <f t="shared" si="39"/>
        <v>0</v>
      </c>
      <c r="U187" s="844">
        <f t="shared" si="42"/>
        <v>50000</v>
      </c>
      <c r="V187" s="608">
        <v>50000</v>
      </c>
      <c r="W187" s="844">
        <v>50000</v>
      </c>
    </row>
    <row r="188" spans="2:23" s="356" customFormat="1" ht="12.75">
      <c r="B188" s="1164"/>
      <c r="C188" s="362"/>
      <c r="D188" s="363"/>
      <c r="E188" s="362"/>
      <c r="F188" s="368">
        <v>127</v>
      </c>
      <c r="G188" s="744">
        <v>463</v>
      </c>
      <c r="H188" s="792" t="s">
        <v>1436</v>
      </c>
      <c r="I188" s="793"/>
      <c r="J188" s="793"/>
      <c r="K188" s="955">
        <v>390000</v>
      </c>
      <c r="L188" s="955">
        <v>122000</v>
      </c>
      <c r="M188" s="955">
        <v>290000</v>
      </c>
      <c r="N188" s="1070">
        <v>0</v>
      </c>
      <c r="O188" s="457">
        <v>0</v>
      </c>
      <c r="P188" s="457">
        <v>0</v>
      </c>
      <c r="Q188" s="457">
        <v>0</v>
      </c>
      <c r="R188" s="457">
        <v>0</v>
      </c>
      <c r="S188" s="457">
        <v>0</v>
      </c>
      <c r="T188" s="796">
        <f t="shared" si="39"/>
        <v>0</v>
      </c>
      <c r="U188" s="844">
        <f t="shared" si="42"/>
        <v>290000</v>
      </c>
      <c r="V188" s="608">
        <v>290000</v>
      </c>
      <c r="W188" s="844">
        <v>290000</v>
      </c>
    </row>
    <row r="189" spans="2:23" s="356" customFormat="1" ht="13.5" thickBot="1">
      <c r="B189" s="1165"/>
      <c r="C189" s="1166"/>
      <c r="D189" s="1167"/>
      <c r="E189" s="1166"/>
      <c r="F189" s="368">
        <v>128</v>
      </c>
      <c r="G189" s="1168">
        <v>463</v>
      </c>
      <c r="H189" s="1671" t="s">
        <v>1432</v>
      </c>
      <c r="I189" s="1672"/>
      <c r="J189" s="1672"/>
      <c r="K189" s="1169">
        <v>50000</v>
      </c>
      <c r="L189" s="1169">
        <v>0</v>
      </c>
      <c r="M189" s="1169">
        <v>50000</v>
      </c>
      <c r="N189" s="1170">
        <v>0</v>
      </c>
      <c r="O189" s="1171">
        <v>0</v>
      </c>
      <c r="P189" s="1171">
        <v>0</v>
      </c>
      <c r="Q189" s="1172">
        <v>0</v>
      </c>
      <c r="R189" s="1172">
        <v>0</v>
      </c>
      <c r="S189" s="1172">
        <v>0</v>
      </c>
      <c r="T189" s="1173">
        <f t="shared" si="39"/>
        <v>0</v>
      </c>
      <c r="U189" s="844">
        <f t="shared" si="42"/>
        <v>50000</v>
      </c>
      <c r="V189" s="1174">
        <v>50000</v>
      </c>
      <c r="W189" s="844">
        <v>50000</v>
      </c>
    </row>
    <row r="190" spans="2:23" ht="12.75">
      <c r="B190" s="284"/>
      <c r="C190" s="285"/>
      <c r="D190" s="428"/>
      <c r="E190" s="610" t="s">
        <v>290</v>
      </c>
      <c r="F190" s="428"/>
      <c r="G190" s="429"/>
      <c r="H190" s="1520" t="s">
        <v>1266</v>
      </c>
      <c r="I190" s="1521"/>
      <c r="J190" s="1521"/>
      <c r="K190" s="1091">
        <f aca="true" t="shared" si="53" ref="K190:S191">K191</f>
        <v>6875439</v>
      </c>
      <c r="L190" s="1091">
        <f t="shared" si="53"/>
        <v>2985238.8000000003</v>
      </c>
      <c r="M190" s="1091">
        <f t="shared" si="53"/>
        <v>6875439</v>
      </c>
      <c r="N190" s="286">
        <f t="shared" si="53"/>
        <v>0</v>
      </c>
      <c r="O190" s="286">
        <f t="shared" si="53"/>
        <v>0</v>
      </c>
      <c r="P190" s="286">
        <f t="shared" si="53"/>
        <v>0</v>
      </c>
      <c r="Q190" s="286">
        <f t="shared" si="53"/>
        <v>0</v>
      </c>
      <c r="R190" s="286">
        <f t="shared" si="53"/>
        <v>0</v>
      </c>
      <c r="S190" s="286">
        <f t="shared" si="53"/>
        <v>0</v>
      </c>
      <c r="T190" s="334">
        <f t="shared" si="39"/>
        <v>0</v>
      </c>
      <c r="U190" s="845">
        <f t="shared" si="42"/>
        <v>6875439</v>
      </c>
      <c r="V190" s="1052">
        <v>6875439</v>
      </c>
      <c r="W190" s="652">
        <v>6875439</v>
      </c>
    </row>
    <row r="191" spans="2:23" ht="13.5" customHeight="1">
      <c r="B191" s="284"/>
      <c r="C191" s="285"/>
      <c r="D191" s="428"/>
      <c r="E191" s="346" t="s">
        <v>293</v>
      </c>
      <c r="F191" s="428"/>
      <c r="G191" s="429"/>
      <c r="H191" s="1489" t="s">
        <v>1213</v>
      </c>
      <c r="I191" s="1490"/>
      <c r="J191" s="1490"/>
      <c r="K191" s="1062">
        <f t="shared" si="53"/>
        <v>6875439</v>
      </c>
      <c r="L191" s="1062">
        <f t="shared" si="53"/>
        <v>2985238.8000000003</v>
      </c>
      <c r="M191" s="1062">
        <f t="shared" si="53"/>
        <v>6875439</v>
      </c>
      <c r="N191" s="290">
        <f t="shared" si="53"/>
        <v>0</v>
      </c>
      <c r="O191" s="290">
        <f t="shared" si="53"/>
        <v>0</v>
      </c>
      <c r="P191" s="290">
        <f t="shared" si="53"/>
        <v>0</v>
      </c>
      <c r="Q191" s="290">
        <f t="shared" si="53"/>
        <v>0</v>
      </c>
      <c r="R191" s="290">
        <f t="shared" si="53"/>
        <v>0</v>
      </c>
      <c r="S191" s="290">
        <f t="shared" si="53"/>
        <v>0</v>
      </c>
      <c r="T191" s="335">
        <f t="shared" si="39"/>
        <v>0</v>
      </c>
      <c r="U191" s="845">
        <f t="shared" si="42"/>
        <v>6875439</v>
      </c>
      <c r="V191" s="652">
        <v>6875439</v>
      </c>
      <c r="W191" s="652">
        <v>6875439</v>
      </c>
    </row>
    <row r="192" spans="2:23" ht="12.75">
      <c r="B192" s="430"/>
      <c r="C192" s="431"/>
      <c r="D192" s="56">
        <v>920</v>
      </c>
      <c r="E192" s="58"/>
      <c r="F192" s="432"/>
      <c r="G192" s="433"/>
      <c r="H192" s="1526" t="s">
        <v>108</v>
      </c>
      <c r="I192" s="1527"/>
      <c r="J192" s="1528"/>
      <c r="K192" s="751">
        <f>SUM(K193:K203)</f>
        <v>6875439</v>
      </c>
      <c r="L192" s="751">
        <f>SUM(L193:L203)</f>
        <v>2985238.8000000003</v>
      </c>
      <c r="M192" s="751">
        <f>SUM(M193:M203)</f>
        <v>6875439</v>
      </c>
      <c r="N192" s="68">
        <f aca="true" t="shared" si="54" ref="N192:S192">SUM(N193:N203)</f>
        <v>0</v>
      </c>
      <c r="O192" s="68">
        <f t="shared" si="54"/>
        <v>0</v>
      </c>
      <c r="P192" s="68">
        <f t="shared" si="54"/>
        <v>0</v>
      </c>
      <c r="Q192" s="68">
        <f t="shared" si="54"/>
        <v>0</v>
      </c>
      <c r="R192" s="68">
        <f t="shared" si="54"/>
        <v>0</v>
      </c>
      <c r="S192" s="68">
        <f t="shared" si="54"/>
        <v>0</v>
      </c>
      <c r="T192" s="338">
        <f t="shared" si="39"/>
        <v>0</v>
      </c>
      <c r="U192" s="1175">
        <f t="shared" si="42"/>
        <v>6875439</v>
      </c>
      <c r="V192" s="837">
        <v>6875439</v>
      </c>
      <c r="W192" s="1175">
        <v>6875439</v>
      </c>
    </row>
    <row r="193" spans="2:23" ht="12.75">
      <c r="B193" s="430"/>
      <c r="C193" s="431"/>
      <c r="D193" s="54"/>
      <c r="E193" s="58"/>
      <c r="F193" s="432">
        <v>129</v>
      </c>
      <c r="G193" s="448">
        <v>463</v>
      </c>
      <c r="H193" s="1492" t="s">
        <v>220</v>
      </c>
      <c r="I193" s="1493"/>
      <c r="J193" s="1494"/>
      <c r="K193" s="914">
        <v>70000</v>
      </c>
      <c r="L193" s="914">
        <v>69789</v>
      </c>
      <c r="M193" s="914">
        <v>70000</v>
      </c>
      <c r="N193" s="354">
        <v>0</v>
      </c>
      <c r="O193" s="404">
        <v>0</v>
      </c>
      <c r="P193" s="404">
        <v>0</v>
      </c>
      <c r="Q193" s="417">
        <v>0</v>
      </c>
      <c r="R193" s="411">
        <v>0</v>
      </c>
      <c r="S193" s="417">
        <v>0</v>
      </c>
      <c r="T193" s="417">
        <f t="shared" si="39"/>
        <v>0</v>
      </c>
      <c r="U193" s="844">
        <f t="shared" si="42"/>
        <v>70000</v>
      </c>
      <c r="V193" s="608">
        <v>70000</v>
      </c>
      <c r="W193" s="844">
        <v>70000</v>
      </c>
    </row>
    <row r="194" spans="2:23" s="356" customFormat="1" ht="12.75">
      <c r="B194" s="350"/>
      <c r="C194" s="357"/>
      <c r="D194" s="352"/>
      <c r="E194" s="357"/>
      <c r="F194" s="432">
        <v>130</v>
      </c>
      <c r="G194" s="434">
        <v>463</v>
      </c>
      <c r="H194" s="1492" t="s">
        <v>109</v>
      </c>
      <c r="I194" s="1493"/>
      <c r="J194" s="1494"/>
      <c r="K194" s="914">
        <v>2652889</v>
      </c>
      <c r="L194" s="914">
        <v>1436906.4000000001</v>
      </c>
      <c r="M194" s="914">
        <v>2652889</v>
      </c>
      <c r="N194" s="354">
        <v>0</v>
      </c>
      <c r="O194" s="411">
        <v>0</v>
      </c>
      <c r="P194" s="411">
        <v>0</v>
      </c>
      <c r="Q194" s="414">
        <v>0</v>
      </c>
      <c r="R194" s="411">
        <v>0</v>
      </c>
      <c r="S194" s="414">
        <v>0</v>
      </c>
      <c r="T194" s="414">
        <f t="shared" si="39"/>
        <v>0</v>
      </c>
      <c r="U194" s="844">
        <f t="shared" si="42"/>
        <v>2652889</v>
      </c>
      <c r="V194" s="608">
        <v>2652889</v>
      </c>
      <c r="W194" s="844">
        <v>2652889</v>
      </c>
    </row>
    <row r="195" spans="2:23" s="356" customFormat="1" ht="12.75">
      <c r="B195" s="350"/>
      <c r="C195" s="357"/>
      <c r="D195" s="352"/>
      <c r="E195" s="357"/>
      <c r="F195" s="432">
        <v>131</v>
      </c>
      <c r="G195" s="434">
        <v>463</v>
      </c>
      <c r="H195" s="380" t="s">
        <v>201</v>
      </c>
      <c r="I195" s="435"/>
      <c r="J195" s="436"/>
      <c r="K195" s="914">
        <v>255000</v>
      </c>
      <c r="L195" s="914">
        <v>0</v>
      </c>
      <c r="M195" s="914">
        <v>255000</v>
      </c>
      <c r="N195" s="354">
        <v>0</v>
      </c>
      <c r="O195" s="411">
        <v>0</v>
      </c>
      <c r="P195" s="411">
        <v>0</v>
      </c>
      <c r="Q195" s="414">
        <v>0</v>
      </c>
      <c r="R195" s="411">
        <v>0</v>
      </c>
      <c r="S195" s="414">
        <v>0</v>
      </c>
      <c r="T195" s="414">
        <f t="shared" si="39"/>
        <v>0</v>
      </c>
      <c r="U195" s="844">
        <f t="shared" si="42"/>
        <v>255000</v>
      </c>
      <c r="V195" s="608">
        <v>255000</v>
      </c>
      <c r="W195" s="844">
        <v>255000</v>
      </c>
    </row>
    <row r="196" spans="2:23" s="356" customFormat="1" ht="12.75">
      <c r="B196" s="350"/>
      <c r="C196" s="357"/>
      <c r="D196" s="352"/>
      <c r="E196" s="357"/>
      <c r="F196" s="432">
        <v>132</v>
      </c>
      <c r="G196" s="434">
        <v>463</v>
      </c>
      <c r="H196" s="1492" t="s">
        <v>100</v>
      </c>
      <c r="I196" s="1493"/>
      <c r="J196" s="1494"/>
      <c r="K196" s="914">
        <v>2091000</v>
      </c>
      <c r="L196" s="914">
        <v>665575.9899999999</v>
      </c>
      <c r="M196" s="914">
        <v>2091000</v>
      </c>
      <c r="N196" s="354">
        <v>0</v>
      </c>
      <c r="O196" s="411">
        <v>0</v>
      </c>
      <c r="P196" s="411">
        <v>0</v>
      </c>
      <c r="Q196" s="414">
        <v>0</v>
      </c>
      <c r="R196" s="411">
        <v>0</v>
      </c>
      <c r="S196" s="414">
        <v>0</v>
      </c>
      <c r="T196" s="414">
        <f t="shared" si="39"/>
        <v>0</v>
      </c>
      <c r="U196" s="844">
        <f t="shared" si="42"/>
        <v>2091000</v>
      </c>
      <c r="V196" s="608">
        <v>2091000</v>
      </c>
      <c r="W196" s="844">
        <v>2091000</v>
      </c>
    </row>
    <row r="197" spans="2:23" s="356" customFormat="1" ht="12.75">
      <c r="B197" s="350"/>
      <c r="C197" s="357"/>
      <c r="D197" s="352"/>
      <c r="E197" s="357"/>
      <c r="F197" s="432">
        <v>133</v>
      </c>
      <c r="G197" s="434">
        <v>463</v>
      </c>
      <c r="H197" s="1492" t="s">
        <v>101</v>
      </c>
      <c r="I197" s="1493"/>
      <c r="J197" s="1494"/>
      <c r="K197" s="914">
        <v>70000</v>
      </c>
      <c r="L197" s="914">
        <v>0</v>
      </c>
      <c r="M197" s="914">
        <v>70000</v>
      </c>
      <c r="N197" s="354">
        <v>0</v>
      </c>
      <c r="O197" s="411">
        <v>0</v>
      </c>
      <c r="P197" s="411">
        <v>0</v>
      </c>
      <c r="Q197" s="414">
        <v>0</v>
      </c>
      <c r="R197" s="411">
        <v>0</v>
      </c>
      <c r="S197" s="414">
        <v>0</v>
      </c>
      <c r="T197" s="414">
        <f aca="true" t="shared" si="55" ref="T197:T264">SUM(N197:S197)</f>
        <v>0</v>
      </c>
      <c r="U197" s="844">
        <f t="shared" si="42"/>
        <v>70000</v>
      </c>
      <c r="V197" s="608">
        <v>70000</v>
      </c>
      <c r="W197" s="844">
        <v>70000</v>
      </c>
    </row>
    <row r="198" spans="2:23" s="356" customFormat="1" ht="12.75">
      <c r="B198" s="350"/>
      <c r="C198" s="357"/>
      <c r="D198" s="352"/>
      <c r="E198" s="357"/>
      <c r="F198" s="432">
        <v>134</v>
      </c>
      <c r="G198" s="434">
        <v>463</v>
      </c>
      <c r="H198" s="1492" t="s">
        <v>102</v>
      </c>
      <c r="I198" s="1493"/>
      <c r="J198" s="1494"/>
      <c r="K198" s="914">
        <v>206550</v>
      </c>
      <c r="L198" s="914">
        <v>55000</v>
      </c>
      <c r="M198" s="914">
        <v>206550</v>
      </c>
      <c r="N198" s="354">
        <v>0</v>
      </c>
      <c r="O198" s="411">
        <v>0</v>
      </c>
      <c r="P198" s="411">
        <v>0</v>
      </c>
      <c r="Q198" s="414">
        <v>0</v>
      </c>
      <c r="R198" s="411">
        <v>0</v>
      </c>
      <c r="S198" s="414">
        <v>0</v>
      </c>
      <c r="T198" s="414">
        <f t="shared" si="55"/>
        <v>0</v>
      </c>
      <c r="U198" s="844">
        <f t="shared" si="42"/>
        <v>206550</v>
      </c>
      <c r="V198" s="608">
        <v>206550</v>
      </c>
      <c r="W198" s="844">
        <v>206550</v>
      </c>
    </row>
    <row r="199" spans="2:23" s="356" customFormat="1" ht="12.75">
      <c r="B199" s="350"/>
      <c r="C199" s="357"/>
      <c r="D199" s="352"/>
      <c r="E199" s="357"/>
      <c r="F199" s="432">
        <v>135</v>
      </c>
      <c r="G199" s="434">
        <v>463</v>
      </c>
      <c r="H199" s="380" t="s">
        <v>103</v>
      </c>
      <c r="I199" s="435"/>
      <c r="J199" s="436"/>
      <c r="K199" s="914">
        <v>50000</v>
      </c>
      <c r="L199" s="914">
        <v>25800</v>
      </c>
      <c r="M199" s="914">
        <v>50000</v>
      </c>
      <c r="N199" s="354">
        <v>0</v>
      </c>
      <c r="O199" s="411">
        <v>0</v>
      </c>
      <c r="P199" s="411">
        <v>0</v>
      </c>
      <c r="Q199" s="414">
        <v>0</v>
      </c>
      <c r="R199" s="411">
        <v>0</v>
      </c>
      <c r="S199" s="414">
        <v>0</v>
      </c>
      <c r="T199" s="414">
        <f t="shared" si="55"/>
        <v>0</v>
      </c>
      <c r="U199" s="844">
        <f t="shared" si="42"/>
        <v>50000</v>
      </c>
      <c r="V199" s="608">
        <v>50000</v>
      </c>
      <c r="W199" s="844">
        <v>50000</v>
      </c>
    </row>
    <row r="200" spans="2:23" s="356" customFormat="1" ht="12.75">
      <c r="B200" s="350"/>
      <c r="C200" s="357"/>
      <c r="D200" s="352"/>
      <c r="E200" s="357"/>
      <c r="F200" s="432">
        <v>136</v>
      </c>
      <c r="G200" s="434">
        <v>463</v>
      </c>
      <c r="H200" s="1492" t="s">
        <v>104</v>
      </c>
      <c r="I200" s="1493"/>
      <c r="J200" s="1494"/>
      <c r="K200" s="914">
        <v>460000</v>
      </c>
      <c r="L200" s="914">
        <v>212382.47</v>
      </c>
      <c r="M200" s="914">
        <v>460000</v>
      </c>
      <c r="N200" s="354">
        <v>0</v>
      </c>
      <c r="O200" s="411">
        <v>0</v>
      </c>
      <c r="P200" s="411">
        <v>0</v>
      </c>
      <c r="Q200" s="414">
        <v>0</v>
      </c>
      <c r="R200" s="411">
        <v>0</v>
      </c>
      <c r="S200" s="414">
        <v>0</v>
      </c>
      <c r="T200" s="414">
        <f t="shared" si="55"/>
        <v>0</v>
      </c>
      <c r="U200" s="844">
        <f aca="true" t="shared" si="56" ref="U200:U265">M200+N200+O200+P200+Q200+R200+S200</f>
        <v>460000</v>
      </c>
      <c r="V200" s="608">
        <v>460000</v>
      </c>
      <c r="W200" s="844">
        <v>460000</v>
      </c>
    </row>
    <row r="201" spans="2:23" s="356" customFormat="1" ht="12.75">
      <c r="B201" s="350"/>
      <c r="C201" s="357"/>
      <c r="D201" s="352"/>
      <c r="E201" s="357"/>
      <c r="F201" s="368">
        <v>137</v>
      </c>
      <c r="G201" s="434">
        <v>463</v>
      </c>
      <c r="H201" s="1492" t="s">
        <v>105</v>
      </c>
      <c r="I201" s="1493"/>
      <c r="J201" s="1494"/>
      <c r="K201" s="914">
        <v>940000</v>
      </c>
      <c r="L201" s="914">
        <v>496016.94000000006</v>
      </c>
      <c r="M201" s="914">
        <v>940000</v>
      </c>
      <c r="N201" s="354">
        <v>0</v>
      </c>
      <c r="O201" s="411">
        <v>0</v>
      </c>
      <c r="P201" s="411">
        <v>0</v>
      </c>
      <c r="Q201" s="414">
        <v>0</v>
      </c>
      <c r="R201" s="411">
        <v>0</v>
      </c>
      <c r="S201" s="414">
        <v>0</v>
      </c>
      <c r="T201" s="414">
        <f t="shared" si="55"/>
        <v>0</v>
      </c>
      <c r="U201" s="844">
        <f t="shared" si="56"/>
        <v>940000</v>
      </c>
      <c r="V201" s="608">
        <v>940000</v>
      </c>
      <c r="W201" s="844">
        <v>940000</v>
      </c>
    </row>
    <row r="202" spans="2:23" s="356" customFormat="1" ht="12.75">
      <c r="B202" s="350"/>
      <c r="C202" s="357"/>
      <c r="D202" s="352"/>
      <c r="E202" s="357"/>
      <c r="F202" s="368">
        <v>138</v>
      </c>
      <c r="G202" s="434">
        <v>463</v>
      </c>
      <c r="H202" s="1492" t="s">
        <v>106</v>
      </c>
      <c r="I202" s="1493"/>
      <c r="J202" s="1494"/>
      <c r="K202" s="914">
        <v>15000</v>
      </c>
      <c r="L202" s="914">
        <v>0</v>
      </c>
      <c r="M202" s="914">
        <v>15000</v>
      </c>
      <c r="N202" s="354">
        <v>0</v>
      </c>
      <c r="O202" s="411">
        <v>0</v>
      </c>
      <c r="P202" s="411">
        <v>0</v>
      </c>
      <c r="Q202" s="414">
        <v>0</v>
      </c>
      <c r="R202" s="411">
        <v>0</v>
      </c>
      <c r="S202" s="414">
        <v>0</v>
      </c>
      <c r="T202" s="414">
        <f t="shared" si="55"/>
        <v>0</v>
      </c>
      <c r="U202" s="844">
        <f t="shared" si="56"/>
        <v>15000</v>
      </c>
      <c r="V202" s="608">
        <v>15000</v>
      </c>
      <c r="W202" s="844">
        <v>15000</v>
      </c>
    </row>
    <row r="203" spans="2:23" s="356" customFormat="1" ht="12.75">
      <c r="B203" s="350"/>
      <c r="C203" s="357"/>
      <c r="D203" s="352"/>
      <c r="E203" s="357"/>
      <c r="F203" s="368">
        <v>139</v>
      </c>
      <c r="G203" s="434">
        <v>463</v>
      </c>
      <c r="H203" s="380" t="s">
        <v>107</v>
      </c>
      <c r="I203" s="435"/>
      <c r="J203" s="436"/>
      <c r="K203" s="915">
        <v>65000</v>
      </c>
      <c r="L203" s="915">
        <v>23768</v>
      </c>
      <c r="M203" s="915">
        <v>65000</v>
      </c>
      <c r="N203" s="354">
        <v>0</v>
      </c>
      <c r="O203" s="411">
        <v>0</v>
      </c>
      <c r="P203" s="411">
        <v>0</v>
      </c>
      <c r="Q203" s="414">
        <v>0</v>
      </c>
      <c r="R203" s="411">
        <v>0</v>
      </c>
      <c r="S203" s="414">
        <v>0</v>
      </c>
      <c r="T203" s="414">
        <f t="shared" si="55"/>
        <v>0</v>
      </c>
      <c r="U203" s="844">
        <f t="shared" si="56"/>
        <v>65000</v>
      </c>
      <c r="V203" s="608">
        <v>65000</v>
      </c>
      <c r="W203" s="844">
        <v>65000</v>
      </c>
    </row>
    <row r="204" spans="2:23" ht="12.75">
      <c r="B204" s="284"/>
      <c r="C204" s="285"/>
      <c r="D204" s="428"/>
      <c r="E204" s="610" t="s">
        <v>296</v>
      </c>
      <c r="F204" s="428"/>
      <c r="G204" s="429"/>
      <c r="H204" s="1520" t="s">
        <v>298</v>
      </c>
      <c r="I204" s="1521"/>
      <c r="J204" s="1521"/>
      <c r="K204" s="1072">
        <f>K205+K223+K231+K239</f>
        <v>51129000</v>
      </c>
      <c r="L204" s="1072">
        <f>L205+L223+L231+L239</f>
        <v>21733055.759999998</v>
      </c>
      <c r="M204" s="1072">
        <f aca="true" t="shared" si="57" ref="M204:S204">M205+M223+M231+M239</f>
        <v>49129000</v>
      </c>
      <c r="N204" s="286">
        <f t="shared" si="57"/>
        <v>0</v>
      </c>
      <c r="O204" s="286">
        <f t="shared" si="57"/>
        <v>0</v>
      </c>
      <c r="P204" s="286">
        <f t="shared" si="57"/>
        <v>2758999</v>
      </c>
      <c r="Q204" s="286">
        <f t="shared" si="57"/>
        <v>0</v>
      </c>
      <c r="R204" s="286">
        <f t="shared" si="57"/>
        <v>0</v>
      </c>
      <c r="S204" s="286">
        <f t="shared" si="57"/>
        <v>0</v>
      </c>
      <c r="T204" s="334">
        <f t="shared" si="55"/>
        <v>2758999</v>
      </c>
      <c r="U204" s="845">
        <f t="shared" si="56"/>
        <v>51887999</v>
      </c>
      <c r="V204" s="652">
        <v>51887999</v>
      </c>
      <c r="W204" s="652">
        <v>51887999</v>
      </c>
    </row>
    <row r="205" spans="2:23" ht="28.5" customHeight="1">
      <c r="B205" s="284"/>
      <c r="C205" s="285"/>
      <c r="D205" s="428"/>
      <c r="E205" s="346" t="s">
        <v>297</v>
      </c>
      <c r="F205" s="428"/>
      <c r="G205" s="429"/>
      <c r="H205" s="1489" t="s">
        <v>1322</v>
      </c>
      <c r="I205" s="1490"/>
      <c r="J205" s="1490"/>
      <c r="K205" s="1062">
        <f aca="true" t="shared" si="58" ref="K205:S205">K206</f>
        <v>6682000</v>
      </c>
      <c r="L205" s="1062">
        <f t="shared" si="58"/>
        <v>3005768.35</v>
      </c>
      <c r="M205" s="1062">
        <f t="shared" si="58"/>
        <v>7162000</v>
      </c>
      <c r="N205" s="290">
        <f t="shared" si="58"/>
        <v>0</v>
      </c>
      <c r="O205" s="290">
        <f t="shared" si="58"/>
        <v>0</v>
      </c>
      <c r="P205" s="290">
        <f t="shared" si="58"/>
        <v>0</v>
      </c>
      <c r="Q205" s="290">
        <f t="shared" si="58"/>
        <v>0</v>
      </c>
      <c r="R205" s="290">
        <f t="shared" si="58"/>
        <v>0</v>
      </c>
      <c r="S205" s="290">
        <f t="shared" si="58"/>
        <v>0</v>
      </c>
      <c r="T205" s="335">
        <f t="shared" si="55"/>
        <v>0</v>
      </c>
      <c r="U205" s="845">
        <f t="shared" si="56"/>
        <v>7162000</v>
      </c>
      <c r="V205" s="652">
        <v>7162000</v>
      </c>
      <c r="W205" s="652">
        <v>7162000</v>
      </c>
    </row>
    <row r="206" spans="2:23" ht="12.75">
      <c r="B206" s="430"/>
      <c r="C206" s="431"/>
      <c r="D206" s="180" t="s">
        <v>21</v>
      </c>
      <c r="E206" s="58"/>
      <c r="F206" s="432"/>
      <c r="G206" s="433"/>
      <c r="H206" s="1526" t="s">
        <v>111</v>
      </c>
      <c r="I206" s="1527"/>
      <c r="J206" s="1528"/>
      <c r="K206" s="751">
        <f>SUM(K207:K222)</f>
        <v>6682000</v>
      </c>
      <c r="L206" s="751">
        <f>SUM(L207:L222)</f>
        <v>3005768.35</v>
      </c>
      <c r="M206" s="751">
        <f>SUM(M207:M222)</f>
        <v>7162000</v>
      </c>
      <c r="N206" s="65">
        <f aca="true" t="shared" si="59" ref="N206:S206">SUM(N207:N222)</f>
        <v>0</v>
      </c>
      <c r="O206" s="65">
        <f t="shared" si="59"/>
        <v>0</v>
      </c>
      <c r="P206" s="65">
        <f t="shared" si="59"/>
        <v>0</v>
      </c>
      <c r="Q206" s="65">
        <f t="shared" si="59"/>
        <v>0</v>
      </c>
      <c r="R206" s="65">
        <f t="shared" si="59"/>
        <v>0</v>
      </c>
      <c r="S206" s="65">
        <f t="shared" si="59"/>
        <v>0</v>
      </c>
      <c r="T206" s="339">
        <f t="shared" si="55"/>
        <v>0</v>
      </c>
      <c r="U206" s="1175">
        <f t="shared" si="56"/>
        <v>7162000</v>
      </c>
      <c r="V206" s="837">
        <v>7162000</v>
      </c>
      <c r="W206" s="1175">
        <v>7162000</v>
      </c>
    </row>
    <row r="207" spans="2:23" s="356" customFormat="1" ht="12.75">
      <c r="B207" s="350"/>
      <c r="C207" s="357"/>
      <c r="D207" s="352"/>
      <c r="E207" s="357"/>
      <c r="F207" s="368">
        <v>140</v>
      </c>
      <c r="G207" s="444">
        <v>463</v>
      </c>
      <c r="H207" s="1508" t="s">
        <v>112</v>
      </c>
      <c r="I207" s="1509"/>
      <c r="J207" s="1510"/>
      <c r="K207" s="746">
        <v>1095000</v>
      </c>
      <c r="L207" s="746">
        <v>451425.86</v>
      </c>
      <c r="M207" s="746">
        <v>1095000</v>
      </c>
      <c r="N207" s="354">
        <v>0</v>
      </c>
      <c r="O207" s="411">
        <v>0</v>
      </c>
      <c r="P207" s="411">
        <v>0</v>
      </c>
      <c r="Q207" s="414">
        <v>0</v>
      </c>
      <c r="R207" s="411">
        <v>0</v>
      </c>
      <c r="S207" s="414">
        <v>0</v>
      </c>
      <c r="T207" s="414">
        <f t="shared" si="55"/>
        <v>0</v>
      </c>
      <c r="U207" s="844">
        <f t="shared" si="56"/>
        <v>1095000</v>
      </c>
      <c r="V207" s="608">
        <v>1095000</v>
      </c>
      <c r="W207" s="844">
        <v>1095000</v>
      </c>
    </row>
    <row r="208" spans="2:23" s="356" customFormat="1" ht="12.75">
      <c r="B208" s="350"/>
      <c r="C208" s="357"/>
      <c r="D208" s="352"/>
      <c r="E208" s="357"/>
      <c r="F208" s="368">
        <v>141</v>
      </c>
      <c r="G208" s="444">
        <v>463</v>
      </c>
      <c r="H208" s="1508" t="s">
        <v>113</v>
      </c>
      <c r="I208" s="1509"/>
      <c r="J208" s="1510"/>
      <c r="K208" s="746">
        <v>188000</v>
      </c>
      <c r="L208" s="746">
        <v>75162.40000000001</v>
      </c>
      <c r="M208" s="746">
        <v>188000</v>
      </c>
      <c r="N208" s="354">
        <v>0</v>
      </c>
      <c r="O208" s="411">
        <v>0</v>
      </c>
      <c r="P208" s="411">
        <v>0</v>
      </c>
      <c r="Q208" s="414">
        <v>0</v>
      </c>
      <c r="R208" s="411">
        <v>0</v>
      </c>
      <c r="S208" s="414">
        <v>0</v>
      </c>
      <c r="T208" s="414">
        <f t="shared" si="55"/>
        <v>0</v>
      </c>
      <c r="U208" s="844">
        <f t="shared" si="56"/>
        <v>188000</v>
      </c>
      <c r="V208" s="608">
        <v>188000</v>
      </c>
      <c r="W208" s="844">
        <v>188000</v>
      </c>
    </row>
    <row r="209" spans="2:23" s="356" customFormat="1" ht="12.75">
      <c r="B209" s="350"/>
      <c r="C209" s="357"/>
      <c r="D209" s="352"/>
      <c r="E209" s="357"/>
      <c r="F209" s="368">
        <v>142</v>
      </c>
      <c r="G209" s="444">
        <v>463</v>
      </c>
      <c r="H209" s="348" t="s">
        <v>220</v>
      </c>
      <c r="I209" s="442"/>
      <c r="J209" s="443"/>
      <c r="K209" s="746">
        <v>1000</v>
      </c>
      <c r="L209" s="746">
        <v>0</v>
      </c>
      <c r="M209" s="746">
        <v>1000</v>
      </c>
      <c r="N209" s="354">
        <v>0</v>
      </c>
      <c r="O209" s="411">
        <v>0</v>
      </c>
      <c r="P209" s="411">
        <v>0</v>
      </c>
      <c r="Q209" s="414">
        <v>0</v>
      </c>
      <c r="R209" s="411">
        <v>0</v>
      </c>
      <c r="S209" s="414">
        <v>0</v>
      </c>
      <c r="T209" s="414"/>
      <c r="U209" s="844">
        <f t="shared" si="56"/>
        <v>1000</v>
      </c>
      <c r="V209" s="608">
        <v>1000</v>
      </c>
      <c r="W209" s="844">
        <v>1000</v>
      </c>
    </row>
    <row r="210" spans="2:23" s="356" customFormat="1" ht="12" customHeight="1">
      <c r="B210" s="350"/>
      <c r="C210" s="357"/>
      <c r="D210" s="352"/>
      <c r="E210" s="357"/>
      <c r="F210" s="368">
        <v>143</v>
      </c>
      <c r="G210" s="444">
        <v>463</v>
      </c>
      <c r="H210" s="1508" t="s">
        <v>99</v>
      </c>
      <c r="I210" s="1509"/>
      <c r="J210" s="1510"/>
      <c r="K210" s="746">
        <v>320000</v>
      </c>
      <c r="L210" s="746">
        <v>89066.59000000001</v>
      </c>
      <c r="M210" s="746">
        <v>320000</v>
      </c>
      <c r="N210" s="354">
        <v>0</v>
      </c>
      <c r="O210" s="411">
        <v>0</v>
      </c>
      <c r="P210" s="411">
        <v>0</v>
      </c>
      <c r="Q210" s="414">
        <v>0</v>
      </c>
      <c r="R210" s="411">
        <v>0</v>
      </c>
      <c r="S210" s="414">
        <v>0</v>
      </c>
      <c r="T210" s="414">
        <f t="shared" si="55"/>
        <v>0</v>
      </c>
      <c r="U210" s="844">
        <f t="shared" si="56"/>
        <v>320000</v>
      </c>
      <c r="V210" s="608">
        <v>320000</v>
      </c>
      <c r="W210" s="844">
        <v>320000</v>
      </c>
    </row>
    <row r="211" spans="2:23" s="356" customFormat="1" ht="12.75" customHeight="1">
      <c r="B211" s="350"/>
      <c r="C211" s="357"/>
      <c r="D211" s="352"/>
      <c r="E211" s="357"/>
      <c r="F211" s="368">
        <v>144</v>
      </c>
      <c r="G211" s="444">
        <v>463</v>
      </c>
      <c r="H211" s="1517" t="s">
        <v>100</v>
      </c>
      <c r="I211" s="1518"/>
      <c r="J211" s="1519"/>
      <c r="K211" s="746">
        <v>280000</v>
      </c>
      <c r="L211" s="746">
        <v>98148.14</v>
      </c>
      <c r="M211" s="746">
        <v>280000</v>
      </c>
      <c r="N211" s="354">
        <v>0</v>
      </c>
      <c r="O211" s="411">
        <v>0</v>
      </c>
      <c r="P211" s="411">
        <v>0</v>
      </c>
      <c r="Q211" s="414">
        <v>0</v>
      </c>
      <c r="R211" s="411">
        <v>0</v>
      </c>
      <c r="S211" s="414">
        <v>0</v>
      </c>
      <c r="T211" s="414">
        <f t="shared" si="55"/>
        <v>0</v>
      </c>
      <c r="U211" s="844">
        <f t="shared" si="56"/>
        <v>280000</v>
      </c>
      <c r="V211" s="608">
        <v>280000</v>
      </c>
      <c r="W211" s="844">
        <v>280000</v>
      </c>
    </row>
    <row r="212" spans="2:23" s="356" customFormat="1" ht="12.75" customHeight="1">
      <c r="B212" s="350"/>
      <c r="C212" s="357"/>
      <c r="D212" s="352"/>
      <c r="E212" s="357"/>
      <c r="F212" s="368">
        <v>145</v>
      </c>
      <c r="G212" s="444">
        <v>463</v>
      </c>
      <c r="H212" s="1517" t="s">
        <v>210</v>
      </c>
      <c r="I212" s="1518"/>
      <c r="J212" s="1519"/>
      <c r="K212" s="746">
        <v>80000</v>
      </c>
      <c r="L212" s="746">
        <v>0</v>
      </c>
      <c r="M212" s="746">
        <v>60000</v>
      </c>
      <c r="N212" s="354">
        <v>0</v>
      </c>
      <c r="O212" s="411">
        <v>0</v>
      </c>
      <c r="P212" s="411">
        <v>0</v>
      </c>
      <c r="Q212" s="414">
        <v>0</v>
      </c>
      <c r="R212" s="411">
        <v>0</v>
      </c>
      <c r="S212" s="414">
        <v>0</v>
      </c>
      <c r="T212" s="414">
        <f t="shared" si="55"/>
        <v>0</v>
      </c>
      <c r="U212" s="844">
        <f t="shared" si="56"/>
        <v>60000</v>
      </c>
      <c r="V212" s="608">
        <v>60000</v>
      </c>
      <c r="W212" s="844">
        <v>60000</v>
      </c>
    </row>
    <row r="213" spans="2:23" s="356" customFormat="1" ht="12.75">
      <c r="B213" s="350"/>
      <c r="C213" s="357"/>
      <c r="D213" s="352"/>
      <c r="E213" s="357"/>
      <c r="F213" s="368">
        <v>146</v>
      </c>
      <c r="G213" s="444">
        <v>463</v>
      </c>
      <c r="H213" s="1508" t="s">
        <v>102</v>
      </c>
      <c r="I213" s="1509"/>
      <c r="J213" s="1510"/>
      <c r="K213" s="746">
        <v>2546000</v>
      </c>
      <c r="L213" s="746">
        <v>1245910.86</v>
      </c>
      <c r="M213" s="746">
        <v>2546000</v>
      </c>
      <c r="N213" s="354">
        <v>0</v>
      </c>
      <c r="O213" s="411">
        <v>0</v>
      </c>
      <c r="P213" s="411">
        <v>0</v>
      </c>
      <c r="Q213" s="414">
        <v>0</v>
      </c>
      <c r="R213" s="411">
        <v>0</v>
      </c>
      <c r="S213" s="414">
        <v>0</v>
      </c>
      <c r="T213" s="414">
        <f t="shared" si="55"/>
        <v>0</v>
      </c>
      <c r="U213" s="844">
        <f t="shared" si="56"/>
        <v>2546000</v>
      </c>
      <c r="V213" s="608">
        <v>2546000</v>
      </c>
      <c r="W213" s="844">
        <v>2546000</v>
      </c>
    </row>
    <row r="214" spans="2:23" s="356" customFormat="1" ht="12.75">
      <c r="B214" s="350"/>
      <c r="C214" s="357"/>
      <c r="D214" s="352"/>
      <c r="E214" s="357"/>
      <c r="F214" s="368">
        <v>147</v>
      </c>
      <c r="G214" s="444">
        <v>463</v>
      </c>
      <c r="H214" s="1508" t="s">
        <v>104</v>
      </c>
      <c r="I214" s="1509"/>
      <c r="J214" s="1510"/>
      <c r="K214" s="746">
        <v>70000</v>
      </c>
      <c r="L214" s="746">
        <v>39040</v>
      </c>
      <c r="M214" s="746">
        <v>70000</v>
      </c>
      <c r="N214" s="354">
        <v>0</v>
      </c>
      <c r="O214" s="411">
        <v>0</v>
      </c>
      <c r="P214" s="411">
        <v>0</v>
      </c>
      <c r="Q214" s="414">
        <v>0</v>
      </c>
      <c r="R214" s="411">
        <v>0</v>
      </c>
      <c r="S214" s="414">
        <v>0</v>
      </c>
      <c r="T214" s="414">
        <f t="shared" si="55"/>
        <v>0</v>
      </c>
      <c r="U214" s="844">
        <f t="shared" si="56"/>
        <v>70000</v>
      </c>
      <c r="V214" s="608">
        <v>70000</v>
      </c>
      <c r="W214" s="844">
        <v>70000</v>
      </c>
    </row>
    <row r="215" spans="2:23" s="356" customFormat="1" ht="12.75">
      <c r="B215" s="350"/>
      <c r="C215" s="357"/>
      <c r="D215" s="352"/>
      <c r="E215" s="357"/>
      <c r="F215" s="368">
        <v>148</v>
      </c>
      <c r="G215" s="444">
        <v>463</v>
      </c>
      <c r="H215" s="1517" t="s">
        <v>105</v>
      </c>
      <c r="I215" s="1518"/>
      <c r="J215" s="1519"/>
      <c r="K215" s="746">
        <v>300000</v>
      </c>
      <c r="L215" s="746">
        <v>99749.5</v>
      </c>
      <c r="M215" s="746">
        <v>300000</v>
      </c>
      <c r="N215" s="354">
        <v>0</v>
      </c>
      <c r="O215" s="411">
        <v>0</v>
      </c>
      <c r="P215" s="411">
        <v>0</v>
      </c>
      <c r="Q215" s="414">
        <v>0</v>
      </c>
      <c r="R215" s="411">
        <v>0</v>
      </c>
      <c r="S215" s="414">
        <v>0</v>
      </c>
      <c r="T215" s="414">
        <f t="shared" si="55"/>
        <v>0</v>
      </c>
      <c r="U215" s="844">
        <f t="shared" si="56"/>
        <v>300000</v>
      </c>
      <c r="V215" s="608">
        <v>300000</v>
      </c>
      <c r="W215" s="844">
        <v>300000</v>
      </c>
    </row>
    <row r="216" spans="2:23" s="356" customFormat="1" ht="12.75">
      <c r="B216" s="350"/>
      <c r="C216" s="357"/>
      <c r="D216" s="352"/>
      <c r="E216" s="357"/>
      <c r="F216" s="368">
        <v>149</v>
      </c>
      <c r="G216" s="444">
        <v>463</v>
      </c>
      <c r="H216" s="1508" t="s">
        <v>1413</v>
      </c>
      <c r="I216" s="1509"/>
      <c r="J216" s="1510"/>
      <c r="K216" s="746">
        <v>300000</v>
      </c>
      <c r="L216" s="746">
        <v>262476.39</v>
      </c>
      <c r="M216" s="746">
        <v>600000</v>
      </c>
      <c r="N216" s="354">
        <v>0</v>
      </c>
      <c r="O216" s="411">
        <v>0</v>
      </c>
      <c r="P216" s="411">
        <v>0</v>
      </c>
      <c r="Q216" s="414">
        <v>0</v>
      </c>
      <c r="R216" s="411">
        <v>0</v>
      </c>
      <c r="S216" s="414">
        <v>0</v>
      </c>
      <c r="T216" s="414">
        <f t="shared" si="55"/>
        <v>0</v>
      </c>
      <c r="U216" s="844">
        <f t="shared" si="56"/>
        <v>600000</v>
      </c>
      <c r="V216" s="608">
        <v>600000</v>
      </c>
      <c r="W216" s="844">
        <v>600000</v>
      </c>
    </row>
    <row r="217" spans="2:23" s="356" customFormat="1" ht="12.75">
      <c r="B217" s="350"/>
      <c r="C217" s="357"/>
      <c r="D217" s="352"/>
      <c r="E217" s="357"/>
      <c r="F217" s="368">
        <v>150</v>
      </c>
      <c r="G217" s="444">
        <v>463</v>
      </c>
      <c r="H217" s="1508" t="s">
        <v>1422</v>
      </c>
      <c r="I217" s="1509"/>
      <c r="J217" s="1510"/>
      <c r="K217" s="746">
        <v>100000</v>
      </c>
      <c r="L217" s="746">
        <v>0</v>
      </c>
      <c r="M217" s="746">
        <v>100000</v>
      </c>
      <c r="N217" s="354">
        <v>0</v>
      </c>
      <c r="O217" s="411">
        <v>0</v>
      </c>
      <c r="P217" s="411">
        <v>0</v>
      </c>
      <c r="Q217" s="414">
        <v>0</v>
      </c>
      <c r="R217" s="411">
        <v>0</v>
      </c>
      <c r="S217" s="414">
        <v>0</v>
      </c>
      <c r="T217" s="414">
        <f t="shared" si="55"/>
        <v>0</v>
      </c>
      <c r="U217" s="844">
        <f t="shared" si="56"/>
        <v>100000</v>
      </c>
      <c r="V217" s="608">
        <v>100000</v>
      </c>
      <c r="W217" s="844">
        <v>100000</v>
      </c>
    </row>
    <row r="218" spans="2:23" s="356" customFormat="1" ht="12.75">
      <c r="B218" s="350"/>
      <c r="C218" s="357"/>
      <c r="D218" s="352"/>
      <c r="E218" s="357"/>
      <c r="F218" s="368">
        <v>151</v>
      </c>
      <c r="G218" s="444">
        <v>463</v>
      </c>
      <c r="H218" s="1508" t="s">
        <v>1423</v>
      </c>
      <c r="I218" s="1509"/>
      <c r="J218" s="1510"/>
      <c r="K218" s="746">
        <v>1200000</v>
      </c>
      <c r="L218" s="746">
        <v>644788.61</v>
      </c>
      <c r="M218" s="746">
        <v>1400000</v>
      </c>
      <c r="N218" s="354">
        <v>0</v>
      </c>
      <c r="O218" s="411">
        <v>0</v>
      </c>
      <c r="P218" s="411">
        <v>0</v>
      </c>
      <c r="Q218" s="414">
        <v>0</v>
      </c>
      <c r="R218" s="411">
        <v>0</v>
      </c>
      <c r="S218" s="414">
        <v>0</v>
      </c>
      <c r="T218" s="414">
        <f t="shared" si="55"/>
        <v>0</v>
      </c>
      <c r="U218" s="844">
        <f t="shared" si="56"/>
        <v>1400000</v>
      </c>
      <c r="V218" s="608">
        <v>1400000</v>
      </c>
      <c r="W218" s="844">
        <v>1400000</v>
      </c>
    </row>
    <row r="219" spans="2:23" s="356" customFormat="1" ht="12.75">
      <c r="B219" s="350"/>
      <c r="C219" s="357"/>
      <c r="D219" s="352"/>
      <c r="E219" s="357"/>
      <c r="F219" s="368">
        <v>152</v>
      </c>
      <c r="G219" s="444">
        <v>463</v>
      </c>
      <c r="H219" s="1508" t="s">
        <v>106</v>
      </c>
      <c r="I219" s="1509"/>
      <c r="J219" s="1510"/>
      <c r="K219" s="746">
        <v>50000</v>
      </c>
      <c r="L219" s="746">
        <v>0</v>
      </c>
      <c r="M219" s="746">
        <v>50000</v>
      </c>
      <c r="N219" s="354">
        <v>0</v>
      </c>
      <c r="O219" s="411">
        <v>0</v>
      </c>
      <c r="P219" s="411">
        <v>0</v>
      </c>
      <c r="Q219" s="414">
        <v>0</v>
      </c>
      <c r="R219" s="411">
        <v>0</v>
      </c>
      <c r="S219" s="414">
        <v>0</v>
      </c>
      <c r="T219" s="414">
        <f t="shared" si="55"/>
        <v>0</v>
      </c>
      <c r="U219" s="844">
        <f t="shared" si="56"/>
        <v>50000</v>
      </c>
      <c r="V219" s="608">
        <v>50000</v>
      </c>
      <c r="W219" s="844">
        <v>50000</v>
      </c>
    </row>
    <row r="220" spans="2:23" s="356" customFormat="1" ht="12.75">
      <c r="B220" s="350"/>
      <c r="C220" s="357"/>
      <c r="D220" s="352"/>
      <c r="E220" s="357"/>
      <c r="F220" s="368">
        <v>153</v>
      </c>
      <c r="G220" s="444">
        <v>463</v>
      </c>
      <c r="H220" s="1508" t="s">
        <v>1340</v>
      </c>
      <c r="I220" s="1509"/>
      <c r="J220" s="1510"/>
      <c r="K220" s="746">
        <v>1000</v>
      </c>
      <c r="L220" s="746">
        <v>0</v>
      </c>
      <c r="M220" s="746">
        <v>1000</v>
      </c>
      <c r="N220" s="354">
        <v>0</v>
      </c>
      <c r="O220" s="411">
        <v>0</v>
      </c>
      <c r="P220" s="411">
        <v>0</v>
      </c>
      <c r="Q220" s="414">
        <v>0</v>
      </c>
      <c r="R220" s="411">
        <v>0</v>
      </c>
      <c r="S220" s="414">
        <v>0</v>
      </c>
      <c r="T220" s="414">
        <f t="shared" si="55"/>
        <v>0</v>
      </c>
      <c r="U220" s="844">
        <f t="shared" si="56"/>
        <v>1000</v>
      </c>
      <c r="V220" s="608">
        <v>1000</v>
      </c>
      <c r="W220" s="844">
        <v>1000</v>
      </c>
    </row>
    <row r="221" spans="2:23" s="356" customFormat="1" ht="12.75">
      <c r="B221" s="350"/>
      <c r="C221" s="357"/>
      <c r="D221" s="352"/>
      <c r="E221" s="357"/>
      <c r="F221" s="368">
        <v>154</v>
      </c>
      <c r="G221" s="444">
        <v>463</v>
      </c>
      <c r="H221" s="541" t="s">
        <v>1535</v>
      </c>
      <c r="I221" s="717"/>
      <c r="J221" s="718"/>
      <c r="K221" s="936">
        <v>1000</v>
      </c>
      <c r="L221" s="936">
        <v>0</v>
      </c>
      <c r="M221" s="936">
        <v>1000</v>
      </c>
      <c r="N221" s="354">
        <v>0</v>
      </c>
      <c r="O221" s="411">
        <v>0</v>
      </c>
      <c r="P221" s="411">
        <v>0</v>
      </c>
      <c r="Q221" s="414">
        <v>0</v>
      </c>
      <c r="R221" s="411">
        <v>0</v>
      </c>
      <c r="S221" s="414">
        <v>0</v>
      </c>
      <c r="T221" s="417">
        <f t="shared" si="55"/>
        <v>0</v>
      </c>
      <c r="U221" s="844">
        <f t="shared" si="56"/>
        <v>1000</v>
      </c>
      <c r="V221" s="608">
        <v>1000</v>
      </c>
      <c r="W221" s="844">
        <v>1000</v>
      </c>
    </row>
    <row r="222" spans="2:23" s="356" customFormat="1" ht="12.75">
      <c r="B222" s="350"/>
      <c r="C222" s="357"/>
      <c r="D222" s="352"/>
      <c r="E222" s="357"/>
      <c r="F222" s="368">
        <v>155</v>
      </c>
      <c r="G222" s="444">
        <v>463</v>
      </c>
      <c r="H222" s="1560" t="s">
        <v>107</v>
      </c>
      <c r="I222" s="1554"/>
      <c r="J222" s="1579"/>
      <c r="K222" s="936">
        <v>150000</v>
      </c>
      <c r="L222" s="936">
        <v>0</v>
      </c>
      <c r="M222" s="936">
        <v>150000</v>
      </c>
      <c r="N222" s="354">
        <v>0</v>
      </c>
      <c r="O222" s="411">
        <v>0</v>
      </c>
      <c r="P222" s="411">
        <v>0</v>
      </c>
      <c r="Q222" s="414">
        <v>0</v>
      </c>
      <c r="R222" s="411">
        <v>0</v>
      </c>
      <c r="S222" s="414">
        <v>0</v>
      </c>
      <c r="T222" s="417">
        <f t="shared" si="55"/>
        <v>0</v>
      </c>
      <c r="U222" s="844">
        <f t="shared" si="56"/>
        <v>150000</v>
      </c>
      <c r="V222" s="608">
        <v>150000</v>
      </c>
      <c r="W222" s="844">
        <v>150000</v>
      </c>
    </row>
    <row r="223" spans="2:23" ht="26.25" customHeight="1">
      <c r="B223" s="284"/>
      <c r="C223" s="285"/>
      <c r="D223" s="428"/>
      <c r="E223" s="346" t="s">
        <v>853</v>
      </c>
      <c r="F223" s="428"/>
      <c r="G223" s="429"/>
      <c r="H223" s="1489" t="s">
        <v>1325</v>
      </c>
      <c r="I223" s="1490"/>
      <c r="J223" s="1491"/>
      <c r="K223" s="1055">
        <f aca="true" t="shared" si="60" ref="K223:S223">K224</f>
        <v>25877000</v>
      </c>
      <c r="L223" s="1055">
        <f t="shared" si="60"/>
        <v>12796755.43</v>
      </c>
      <c r="M223" s="1055">
        <f t="shared" si="60"/>
        <v>25397000</v>
      </c>
      <c r="N223" s="290">
        <f t="shared" si="60"/>
        <v>0</v>
      </c>
      <c r="O223" s="290">
        <f t="shared" si="60"/>
        <v>0</v>
      </c>
      <c r="P223" s="290">
        <f t="shared" si="60"/>
        <v>2156458</v>
      </c>
      <c r="Q223" s="290">
        <f t="shared" si="60"/>
        <v>0</v>
      </c>
      <c r="R223" s="290">
        <f t="shared" si="60"/>
        <v>0</v>
      </c>
      <c r="S223" s="335">
        <f t="shared" si="60"/>
        <v>0</v>
      </c>
      <c r="T223" s="335">
        <f t="shared" si="55"/>
        <v>2156458</v>
      </c>
      <c r="U223" s="845">
        <f t="shared" si="56"/>
        <v>27553458</v>
      </c>
      <c r="V223" s="842">
        <v>27553458</v>
      </c>
      <c r="W223" s="652">
        <v>27553458</v>
      </c>
    </row>
    <row r="224" spans="2:23" s="23" customFormat="1" ht="12.75">
      <c r="B224" s="546"/>
      <c r="C224" s="547"/>
      <c r="D224" s="180" t="s">
        <v>21</v>
      </c>
      <c r="E224" s="58"/>
      <c r="F224" s="548"/>
      <c r="G224" s="549"/>
      <c r="H224" s="73" t="s">
        <v>111</v>
      </c>
      <c r="I224" s="74"/>
      <c r="J224" s="707"/>
      <c r="K224" s="181">
        <f aca="true" t="shared" si="61" ref="K224:S224">SUM(K225:K230)</f>
        <v>25877000</v>
      </c>
      <c r="L224" s="181">
        <f t="shared" si="61"/>
        <v>12796755.43</v>
      </c>
      <c r="M224" s="751">
        <f t="shared" si="61"/>
        <v>25397000</v>
      </c>
      <c r="N224" s="550">
        <f t="shared" si="61"/>
        <v>0</v>
      </c>
      <c r="O224" s="550">
        <f t="shared" si="61"/>
        <v>0</v>
      </c>
      <c r="P224" s="550">
        <f t="shared" si="61"/>
        <v>2156458</v>
      </c>
      <c r="Q224" s="550">
        <f t="shared" si="61"/>
        <v>0</v>
      </c>
      <c r="R224" s="550">
        <f t="shared" si="61"/>
        <v>0</v>
      </c>
      <c r="S224" s="550">
        <f t="shared" si="61"/>
        <v>0</v>
      </c>
      <c r="T224" s="825">
        <f t="shared" si="55"/>
        <v>2156458</v>
      </c>
      <c r="U224" s="1175">
        <f t="shared" si="56"/>
        <v>27553458</v>
      </c>
      <c r="V224" s="837">
        <v>27553458</v>
      </c>
      <c r="W224" s="1175">
        <v>27553458</v>
      </c>
    </row>
    <row r="225" spans="2:23" s="356" customFormat="1" ht="12.75">
      <c r="B225" s="350"/>
      <c r="C225" s="357"/>
      <c r="D225" s="352"/>
      <c r="E225" s="357"/>
      <c r="F225" s="368">
        <v>156</v>
      </c>
      <c r="G225" s="444">
        <v>463</v>
      </c>
      <c r="H225" s="1517" t="s">
        <v>1385</v>
      </c>
      <c r="I225" s="1518"/>
      <c r="J225" s="1519"/>
      <c r="K225" s="746">
        <v>688000</v>
      </c>
      <c r="L225" s="746">
        <v>158377.34999999995</v>
      </c>
      <c r="M225" s="746">
        <v>603000</v>
      </c>
      <c r="N225" s="354">
        <v>0</v>
      </c>
      <c r="O225" s="411">
        <v>0</v>
      </c>
      <c r="P225" s="411">
        <v>0</v>
      </c>
      <c r="Q225" s="411">
        <v>0</v>
      </c>
      <c r="R225" s="411">
        <v>0</v>
      </c>
      <c r="S225" s="414">
        <v>0</v>
      </c>
      <c r="T225" s="417">
        <f t="shared" si="55"/>
        <v>0</v>
      </c>
      <c r="U225" s="844">
        <f t="shared" si="56"/>
        <v>603000</v>
      </c>
      <c r="V225" s="608">
        <v>603000</v>
      </c>
      <c r="W225" s="844">
        <v>603000</v>
      </c>
    </row>
    <row r="226" spans="2:23" s="510" customFormat="1" ht="12.75">
      <c r="B226" s="511"/>
      <c r="C226" s="452"/>
      <c r="D226" s="512"/>
      <c r="E226" s="452"/>
      <c r="F226" s="368">
        <v>157</v>
      </c>
      <c r="G226" s="434">
        <v>463</v>
      </c>
      <c r="H226" s="1517" t="s">
        <v>1386</v>
      </c>
      <c r="I226" s="1518"/>
      <c r="J226" s="1519"/>
      <c r="K226" s="746">
        <v>23759000</v>
      </c>
      <c r="L226" s="746">
        <v>12511808.28</v>
      </c>
      <c r="M226" s="746">
        <v>23744000</v>
      </c>
      <c r="N226" s="354">
        <v>0</v>
      </c>
      <c r="O226" s="513">
        <v>0</v>
      </c>
      <c r="P226" s="411">
        <v>2156458</v>
      </c>
      <c r="Q226" s="411">
        <v>0</v>
      </c>
      <c r="R226" s="411">
        <v>0</v>
      </c>
      <c r="S226" s="416">
        <v>0</v>
      </c>
      <c r="T226" s="514">
        <f t="shared" si="55"/>
        <v>2156458</v>
      </c>
      <c r="U226" s="844">
        <f t="shared" si="56"/>
        <v>25900458</v>
      </c>
      <c r="V226" s="840">
        <v>25900458</v>
      </c>
      <c r="W226" s="844">
        <v>25900458</v>
      </c>
    </row>
    <row r="227" spans="2:23" s="510" customFormat="1" ht="12.75">
      <c r="B227" s="511"/>
      <c r="C227" s="452"/>
      <c r="D227" s="512"/>
      <c r="E227" s="452"/>
      <c r="F227" s="368">
        <v>158</v>
      </c>
      <c r="G227" s="434">
        <v>463</v>
      </c>
      <c r="H227" s="402" t="s">
        <v>103</v>
      </c>
      <c r="I227" s="439"/>
      <c r="J227" s="440"/>
      <c r="K227" s="746">
        <v>120000</v>
      </c>
      <c r="L227" s="746">
        <v>43260</v>
      </c>
      <c r="M227" s="746">
        <v>120000</v>
      </c>
      <c r="N227" s="354">
        <v>0</v>
      </c>
      <c r="O227" s="513">
        <v>0</v>
      </c>
      <c r="P227" s="411">
        <v>0</v>
      </c>
      <c r="Q227" s="531">
        <v>0</v>
      </c>
      <c r="R227" s="531">
        <v>0</v>
      </c>
      <c r="S227" s="1056">
        <v>0</v>
      </c>
      <c r="T227" s="514">
        <f t="shared" si="55"/>
        <v>0</v>
      </c>
      <c r="U227" s="844">
        <f t="shared" si="56"/>
        <v>120000</v>
      </c>
      <c r="V227" s="840">
        <v>120000</v>
      </c>
      <c r="W227" s="844">
        <v>120000</v>
      </c>
    </row>
    <row r="228" spans="2:23" s="356" customFormat="1" ht="12.75">
      <c r="B228" s="350"/>
      <c r="C228" s="357"/>
      <c r="D228" s="352"/>
      <c r="E228" s="357"/>
      <c r="F228" s="362" t="s">
        <v>1563</v>
      </c>
      <c r="G228" s="444">
        <v>463</v>
      </c>
      <c r="H228" s="1517" t="s">
        <v>1387</v>
      </c>
      <c r="I228" s="1518"/>
      <c r="J228" s="1519"/>
      <c r="K228" s="746">
        <v>70000</v>
      </c>
      <c r="L228" s="746">
        <v>2160</v>
      </c>
      <c r="M228" s="746">
        <v>70000</v>
      </c>
      <c r="N228" s="354">
        <v>0</v>
      </c>
      <c r="O228" s="411">
        <v>0</v>
      </c>
      <c r="P228" s="411">
        <v>0</v>
      </c>
      <c r="Q228" s="531">
        <v>0</v>
      </c>
      <c r="R228" s="531">
        <v>0</v>
      </c>
      <c r="S228" s="531">
        <v>0</v>
      </c>
      <c r="T228" s="514">
        <f t="shared" si="55"/>
        <v>0</v>
      </c>
      <c r="U228" s="844">
        <f t="shared" si="56"/>
        <v>70000</v>
      </c>
      <c r="V228" s="608">
        <v>70000</v>
      </c>
      <c r="W228" s="844">
        <v>70000</v>
      </c>
    </row>
    <row r="229" spans="2:23" s="356" customFormat="1" ht="12.75">
      <c r="B229" s="350"/>
      <c r="C229" s="357"/>
      <c r="D229" s="564"/>
      <c r="E229" s="483"/>
      <c r="F229" s="362" t="s">
        <v>278</v>
      </c>
      <c r="G229" s="533">
        <v>463</v>
      </c>
      <c r="H229" s="1517" t="s">
        <v>1388</v>
      </c>
      <c r="I229" s="1518"/>
      <c r="J229" s="1519"/>
      <c r="K229" s="936">
        <v>1040000</v>
      </c>
      <c r="L229" s="936">
        <v>81149.8</v>
      </c>
      <c r="M229" s="936">
        <v>660000</v>
      </c>
      <c r="N229" s="354">
        <v>0</v>
      </c>
      <c r="O229" s="411">
        <v>0</v>
      </c>
      <c r="P229" s="414">
        <v>0</v>
      </c>
      <c r="Q229" s="457">
        <v>0</v>
      </c>
      <c r="R229" s="457">
        <v>0</v>
      </c>
      <c r="S229" s="457">
        <v>0</v>
      </c>
      <c r="T229" s="514">
        <f t="shared" si="55"/>
        <v>0</v>
      </c>
      <c r="U229" s="844">
        <f t="shared" si="56"/>
        <v>660000</v>
      </c>
      <c r="V229" s="608">
        <v>660000</v>
      </c>
      <c r="W229" s="844">
        <v>660000</v>
      </c>
    </row>
    <row r="230" spans="2:23" s="356" customFormat="1" ht="12.75">
      <c r="B230" s="369"/>
      <c r="C230" s="526"/>
      <c r="D230" s="532"/>
      <c r="E230" s="485"/>
      <c r="F230" s="362" t="s">
        <v>1564</v>
      </c>
      <c r="G230" s="525">
        <v>463</v>
      </c>
      <c r="H230" s="1540" t="s">
        <v>1389</v>
      </c>
      <c r="I230" s="1541"/>
      <c r="J230" s="1541"/>
      <c r="K230" s="955">
        <v>200000</v>
      </c>
      <c r="L230" s="955">
        <v>0</v>
      </c>
      <c r="M230" s="955">
        <v>200000</v>
      </c>
      <c r="N230" s="354">
        <v>0</v>
      </c>
      <c r="O230" s="405">
        <v>0</v>
      </c>
      <c r="P230" s="422">
        <v>0</v>
      </c>
      <c r="Q230" s="457">
        <v>0</v>
      </c>
      <c r="R230" s="457">
        <v>0</v>
      </c>
      <c r="S230" s="457">
        <v>0</v>
      </c>
      <c r="T230" s="514">
        <f t="shared" si="55"/>
        <v>0</v>
      </c>
      <c r="U230" s="844">
        <f t="shared" si="56"/>
        <v>200000</v>
      </c>
      <c r="V230" s="608">
        <v>200000</v>
      </c>
      <c r="W230" s="844">
        <v>200000</v>
      </c>
    </row>
    <row r="231" spans="2:23" ht="12.75" customHeight="1">
      <c r="B231" s="284"/>
      <c r="C231" s="649"/>
      <c r="D231" s="545"/>
      <c r="E231" s="542" t="s">
        <v>305</v>
      </c>
      <c r="F231" s="719"/>
      <c r="G231" s="543"/>
      <c r="H231" s="1489" t="s">
        <v>1341</v>
      </c>
      <c r="I231" s="1490"/>
      <c r="J231" s="1491"/>
      <c r="K231" s="916">
        <f aca="true" t="shared" si="62" ref="K231:S231">K232</f>
        <v>14550000</v>
      </c>
      <c r="L231" s="916">
        <f t="shared" si="62"/>
        <v>4557031.98</v>
      </c>
      <c r="M231" s="916">
        <f t="shared" si="62"/>
        <v>11850000</v>
      </c>
      <c r="N231" s="286">
        <f t="shared" si="62"/>
        <v>0</v>
      </c>
      <c r="O231" s="286">
        <f t="shared" si="62"/>
        <v>0</v>
      </c>
      <c r="P231" s="334">
        <f t="shared" si="62"/>
        <v>602541</v>
      </c>
      <c r="Q231" s="618">
        <f t="shared" si="62"/>
        <v>0</v>
      </c>
      <c r="R231" s="618">
        <f t="shared" si="62"/>
        <v>0</v>
      </c>
      <c r="S231" s="618">
        <f t="shared" si="62"/>
        <v>0</v>
      </c>
      <c r="T231" s="824">
        <f t="shared" si="55"/>
        <v>602541</v>
      </c>
      <c r="U231" s="845">
        <f t="shared" si="56"/>
        <v>12452541</v>
      </c>
      <c r="V231" s="652">
        <v>12452541</v>
      </c>
      <c r="W231" s="652">
        <v>12452541</v>
      </c>
    </row>
    <row r="232" spans="2:23" s="42" customFormat="1" ht="12.75">
      <c r="B232" s="619"/>
      <c r="C232" s="1067"/>
      <c r="D232" s="538" t="s">
        <v>22</v>
      </c>
      <c r="E232" s="538"/>
      <c r="F232" s="1068"/>
      <c r="G232" s="1069"/>
      <c r="H232" s="1526" t="s">
        <v>94</v>
      </c>
      <c r="I232" s="1527"/>
      <c r="J232" s="729"/>
      <c r="K232" s="539">
        <f>SUM(K233:K238)</f>
        <v>14550000</v>
      </c>
      <c r="L232" s="539">
        <f>SUM(L233:L238)</f>
        <v>4557031.98</v>
      </c>
      <c r="M232" s="539">
        <f>SUM(M233:M238)</f>
        <v>11850000</v>
      </c>
      <c r="N232" s="65">
        <f aca="true" t="shared" si="63" ref="N232:S232">SUM(N233:N238)</f>
        <v>0</v>
      </c>
      <c r="O232" s="65">
        <f t="shared" si="63"/>
        <v>0</v>
      </c>
      <c r="P232" s="339">
        <f t="shared" si="63"/>
        <v>602541</v>
      </c>
      <c r="Q232" s="653">
        <f t="shared" si="63"/>
        <v>0</v>
      </c>
      <c r="R232" s="653">
        <f t="shared" si="63"/>
        <v>0</v>
      </c>
      <c r="S232" s="653">
        <f t="shared" si="63"/>
        <v>0</v>
      </c>
      <c r="T232" s="826">
        <f t="shared" si="55"/>
        <v>602541</v>
      </c>
      <c r="U232" s="1175">
        <f t="shared" si="56"/>
        <v>12452541</v>
      </c>
      <c r="V232" s="375">
        <v>12452541</v>
      </c>
      <c r="W232" s="1175">
        <v>12452541</v>
      </c>
    </row>
    <row r="233" spans="2:23" s="356" customFormat="1" ht="12.75">
      <c r="B233" s="350"/>
      <c r="C233" s="357"/>
      <c r="D233" s="363"/>
      <c r="E233" s="362"/>
      <c r="F233" s="368">
        <v>162</v>
      </c>
      <c r="G233" s="444">
        <v>472</v>
      </c>
      <c r="H233" s="348" t="s">
        <v>1424</v>
      </c>
      <c r="I233" s="442"/>
      <c r="J233" s="443"/>
      <c r="K233" s="936">
        <v>6000000</v>
      </c>
      <c r="L233" s="936">
        <v>2057151.9800000002</v>
      </c>
      <c r="M233" s="936">
        <v>4500000</v>
      </c>
      <c r="N233" s="354">
        <v>0</v>
      </c>
      <c r="O233" s="411">
        <v>0</v>
      </c>
      <c r="P233" s="414">
        <v>602541</v>
      </c>
      <c r="Q233" s="457">
        <v>0</v>
      </c>
      <c r="R233" s="457">
        <v>0</v>
      </c>
      <c r="S233" s="457">
        <v>0</v>
      </c>
      <c r="T233" s="624">
        <f t="shared" si="55"/>
        <v>602541</v>
      </c>
      <c r="U233" s="844">
        <f t="shared" si="56"/>
        <v>5102541</v>
      </c>
      <c r="V233" s="608">
        <v>5102541</v>
      </c>
      <c r="W233" s="844">
        <v>5102541</v>
      </c>
    </row>
    <row r="234" spans="2:23" s="356" customFormat="1" ht="12.75">
      <c r="B234" s="350"/>
      <c r="C234" s="357"/>
      <c r="D234" s="363"/>
      <c r="E234" s="362"/>
      <c r="F234" s="368">
        <v>163</v>
      </c>
      <c r="G234" s="444">
        <v>472</v>
      </c>
      <c r="H234" s="1517" t="s">
        <v>1409</v>
      </c>
      <c r="I234" s="1518"/>
      <c r="J234" s="1518"/>
      <c r="K234" s="540">
        <v>800000</v>
      </c>
      <c r="L234" s="540">
        <v>119880</v>
      </c>
      <c r="M234" s="540">
        <v>800000</v>
      </c>
      <c r="N234" s="354">
        <v>0</v>
      </c>
      <c r="O234" s="411">
        <v>0</v>
      </c>
      <c r="P234" s="414">
        <v>0</v>
      </c>
      <c r="Q234" s="457">
        <v>0</v>
      </c>
      <c r="R234" s="457">
        <v>0</v>
      </c>
      <c r="S234" s="457">
        <v>0</v>
      </c>
      <c r="T234" s="624">
        <f t="shared" si="55"/>
        <v>0</v>
      </c>
      <c r="U234" s="844">
        <f t="shared" si="56"/>
        <v>800000</v>
      </c>
      <c r="V234" s="608">
        <v>800000</v>
      </c>
      <c r="W234" s="844">
        <v>800000</v>
      </c>
    </row>
    <row r="235" spans="2:23" s="356" customFormat="1" ht="12.75">
      <c r="B235" s="350"/>
      <c r="C235" s="357"/>
      <c r="D235" s="363"/>
      <c r="E235" s="362"/>
      <c r="F235" s="368">
        <v>164</v>
      </c>
      <c r="G235" s="444">
        <v>472</v>
      </c>
      <c r="H235" s="1517" t="s">
        <v>1410</v>
      </c>
      <c r="I235" s="1518"/>
      <c r="J235" s="1518"/>
      <c r="K235" s="540">
        <v>1600000</v>
      </c>
      <c r="L235" s="540">
        <v>380000</v>
      </c>
      <c r="M235" s="540">
        <v>1000000</v>
      </c>
      <c r="N235" s="354">
        <v>0</v>
      </c>
      <c r="O235" s="411">
        <v>0</v>
      </c>
      <c r="P235" s="414">
        <v>0</v>
      </c>
      <c r="Q235" s="457">
        <v>0</v>
      </c>
      <c r="R235" s="457">
        <v>0</v>
      </c>
      <c r="S235" s="457">
        <v>0</v>
      </c>
      <c r="T235" s="624">
        <f t="shared" si="55"/>
        <v>0</v>
      </c>
      <c r="U235" s="844">
        <f t="shared" si="56"/>
        <v>1000000</v>
      </c>
      <c r="V235" s="608">
        <v>1000000</v>
      </c>
      <c r="W235" s="844">
        <v>1000000</v>
      </c>
    </row>
    <row r="236" spans="2:23" s="356" customFormat="1" ht="12.75">
      <c r="B236" s="350"/>
      <c r="C236" s="357"/>
      <c r="D236" s="363"/>
      <c r="E236" s="362"/>
      <c r="F236" s="362" t="s">
        <v>1565</v>
      </c>
      <c r="G236" s="444">
        <v>472</v>
      </c>
      <c r="H236" s="1517" t="s">
        <v>1483</v>
      </c>
      <c r="I236" s="1518"/>
      <c r="J236" s="1518"/>
      <c r="K236" s="540">
        <v>200000</v>
      </c>
      <c r="L236" s="540">
        <v>100000</v>
      </c>
      <c r="M236" s="540">
        <v>200000</v>
      </c>
      <c r="N236" s="354">
        <v>0</v>
      </c>
      <c r="O236" s="411">
        <v>0</v>
      </c>
      <c r="P236" s="414">
        <v>0</v>
      </c>
      <c r="Q236" s="457">
        <v>0</v>
      </c>
      <c r="R236" s="457">
        <v>0</v>
      </c>
      <c r="S236" s="457">
        <v>0</v>
      </c>
      <c r="T236" s="733">
        <f t="shared" si="55"/>
        <v>0</v>
      </c>
      <c r="U236" s="844">
        <f t="shared" si="56"/>
        <v>200000</v>
      </c>
      <c r="V236" s="608">
        <v>200000</v>
      </c>
      <c r="W236" s="844">
        <v>200000</v>
      </c>
    </row>
    <row r="237" spans="2:23" s="356" customFormat="1" ht="12.75">
      <c r="B237" s="350"/>
      <c r="C237" s="357"/>
      <c r="D237" s="363"/>
      <c r="E237" s="362"/>
      <c r="F237" s="362" t="s">
        <v>1566</v>
      </c>
      <c r="G237" s="444">
        <v>472</v>
      </c>
      <c r="H237" s="1517" t="s">
        <v>1411</v>
      </c>
      <c r="I237" s="1518"/>
      <c r="J237" s="1518"/>
      <c r="K237" s="540">
        <v>350000</v>
      </c>
      <c r="L237" s="540">
        <v>0</v>
      </c>
      <c r="M237" s="540">
        <v>350000</v>
      </c>
      <c r="N237" s="354">
        <v>0</v>
      </c>
      <c r="O237" s="411">
        <v>0</v>
      </c>
      <c r="P237" s="414">
        <v>0</v>
      </c>
      <c r="Q237" s="457">
        <v>0</v>
      </c>
      <c r="R237" s="457">
        <v>0</v>
      </c>
      <c r="S237" s="457">
        <v>0</v>
      </c>
      <c r="T237" s="733">
        <f t="shared" si="55"/>
        <v>0</v>
      </c>
      <c r="U237" s="844">
        <f t="shared" si="56"/>
        <v>350000</v>
      </c>
      <c r="V237" s="608">
        <v>350000</v>
      </c>
      <c r="W237" s="844">
        <v>350000</v>
      </c>
    </row>
    <row r="238" spans="2:23" s="356" customFormat="1" ht="12.75">
      <c r="B238" s="350"/>
      <c r="C238" s="357"/>
      <c r="D238" s="352"/>
      <c r="E238" s="357"/>
      <c r="F238" s="362" t="s">
        <v>1567</v>
      </c>
      <c r="G238" s="444">
        <v>472</v>
      </c>
      <c r="H238" s="1560" t="s">
        <v>1412</v>
      </c>
      <c r="I238" s="1554"/>
      <c r="J238" s="1579"/>
      <c r="K238" s="940">
        <v>5600000</v>
      </c>
      <c r="L238" s="940">
        <v>1900000</v>
      </c>
      <c r="M238" s="940">
        <v>5000000</v>
      </c>
      <c r="N238" s="354">
        <v>0</v>
      </c>
      <c r="O238" s="411">
        <v>0</v>
      </c>
      <c r="P238" s="414">
        <v>0</v>
      </c>
      <c r="Q238" s="457">
        <v>0</v>
      </c>
      <c r="R238" s="457">
        <v>0</v>
      </c>
      <c r="S238" s="457">
        <v>0</v>
      </c>
      <c r="T238" s="733">
        <f t="shared" si="55"/>
        <v>0</v>
      </c>
      <c r="U238" s="844">
        <f t="shared" si="56"/>
        <v>5000000</v>
      </c>
      <c r="V238" s="608">
        <v>5000000</v>
      </c>
      <c r="W238" s="844">
        <v>5000000</v>
      </c>
    </row>
    <row r="239" spans="2:23" ht="12.75" customHeight="1">
      <c r="B239" s="284"/>
      <c r="C239" s="285"/>
      <c r="D239" s="428"/>
      <c r="E239" s="346" t="s">
        <v>303</v>
      </c>
      <c r="F239" s="428"/>
      <c r="G239" s="429"/>
      <c r="H239" s="1489" t="s">
        <v>1227</v>
      </c>
      <c r="I239" s="1490"/>
      <c r="J239" s="1491"/>
      <c r="K239" s="916">
        <f aca="true" t="shared" si="64" ref="K239:S239">K240</f>
        <v>4020000</v>
      </c>
      <c r="L239" s="916">
        <f t="shared" si="64"/>
        <v>1373500</v>
      </c>
      <c r="M239" s="916">
        <f t="shared" si="64"/>
        <v>4720000</v>
      </c>
      <c r="N239" s="290">
        <f t="shared" si="64"/>
        <v>0</v>
      </c>
      <c r="O239" s="290">
        <f t="shared" si="64"/>
        <v>0</v>
      </c>
      <c r="P239" s="290">
        <f t="shared" si="64"/>
        <v>0</v>
      </c>
      <c r="Q239" s="290">
        <f t="shared" si="64"/>
        <v>0</v>
      </c>
      <c r="R239" s="290">
        <f t="shared" si="64"/>
        <v>0</v>
      </c>
      <c r="S239" s="335">
        <f t="shared" si="64"/>
        <v>0</v>
      </c>
      <c r="T239" s="335">
        <f t="shared" si="55"/>
        <v>0</v>
      </c>
      <c r="U239" s="845">
        <f t="shared" si="56"/>
        <v>4720000</v>
      </c>
      <c r="V239" s="652">
        <v>4720000</v>
      </c>
      <c r="W239" s="652">
        <v>4720000</v>
      </c>
    </row>
    <row r="240" spans="2:23" s="356" customFormat="1" ht="12.75">
      <c r="B240" s="350"/>
      <c r="C240" s="357"/>
      <c r="D240" s="180" t="s">
        <v>21</v>
      </c>
      <c r="E240" s="180"/>
      <c r="F240" s="352"/>
      <c r="G240" s="353"/>
      <c r="H240" s="1526" t="s">
        <v>111</v>
      </c>
      <c r="I240" s="1527"/>
      <c r="J240" s="1528"/>
      <c r="K240" s="181">
        <f>SUM(K241:K242)</f>
        <v>4020000</v>
      </c>
      <c r="L240" s="181">
        <f>SUM(L241:L242)</f>
        <v>1373500</v>
      </c>
      <c r="M240" s="181">
        <f>SUM(M241:M242)</f>
        <v>4720000</v>
      </c>
      <c r="N240" s="57">
        <f aca="true" t="shared" si="65" ref="N240:S240">SUM(N241:N242)</f>
        <v>0</v>
      </c>
      <c r="O240" s="57">
        <f t="shared" si="65"/>
        <v>0</v>
      </c>
      <c r="P240" s="57">
        <f t="shared" si="65"/>
        <v>0</v>
      </c>
      <c r="Q240" s="57">
        <f t="shared" si="65"/>
        <v>0</v>
      </c>
      <c r="R240" s="57">
        <f t="shared" si="65"/>
        <v>0</v>
      </c>
      <c r="S240" s="340">
        <f t="shared" si="65"/>
        <v>0</v>
      </c>
      <c r="T240" s="339">
        <f t="shared" si="55"/>
        <v>0</v>
      </c>
      <c r="U240" s="1175">
        <f t="shared" si="56"/>
        <v>4720000</v>
      </c>
      <c r="V240" s="375">
        <v>4720000</v>
      </c>
      <c r="W240" s="1175">
        <v>4720000</v>
      </c>
    </row>
    <row r="241" spans="2:23" s="356" customFormat="1" ht="12.75">
      <c r="B241" s="350"/>
      <c r="C241" s="357"/>
      <c r="D241" s="352"/>
      <c r="E241" s="357"/>
      <c r="F241" s="515">
        <v>168</v>
      </c>
      <c r="G241" s="444">
        <v>481</v>
      </c>
      <c r="H241" s="1508" t="s">
        <v>1407</v>
      </c>
      <c r="I241" s="1509"/>
      <c r="J241" s="1510"/>
      <c r="K241" s="746">
        <v>1570000</v>
      </c>
      <c r="L241" s="746">
        <v>520000</v>
      </c>
      <c r="M241" s="746">
        <v>1570000</v>
      </c>
      <c r="N241" s="354">
        <v>0</v>
      </c>
      <c r="O241" s="411">
        <v>0</v>
      </c>
      <c r="P241" s="411">
        <v>0</v>
      </c>
      <c r="Q241" s="414">
        <v>0</v>
      </c>
      <c r="R241" s="411">
        <v>0</v>
      </c>
      <c r="S241" s="414">
        <v>0</v>
      </c>
      <c r="T241" s="417">
        <f t="shared" si="55"/>
        <v>0</v>
      </c>
      <c r="U241" s="844">
        <f t="shared" si="56"/>
        <v>1570000</v>
      </c>
      <c r="V241" s="608">
        <v>1570000</v>
      </c>
      <c r="W241" s="844">
        <v>1570000</v>
      </c>
    </row>
    <row r="242" spans="2:23" s="356" customFormat="1" ht="12.75">
      <c r="B242" s="350"/>
      <c r="C242" s="357"/>
      <c r="D242" s="352"/>
      <c r="E242" s="357"/>
      <c r="F242" s="368">
        <v>169</v>
      </c>
      <c r="G242" s="444">
        <v>472</v>
      </c>
      <c r="H242" s="1508" t="s">
        <v>1408</v>
      </c>
      <c r="I242" s="1509"/>
      <c r="J242" s="1510"/>
      <c r="K242" s="746">
        <v>2450000</v>
      </c>
      <c r="L242" s="746">
        <v>853500</v>
      </c>
      <c r="M242" s="746">
        <v>3150000</v>
      </c>
      <c r="N242" s="354">
        <v>0</v>
      </c>
      <c r="O242" s="411">
        <v>0</v>
      </c>
      <c r="P242" s="411">
        <v>0</v>
      </c>
      <c r="Q242" s="414">
        <v>0</v>
      </c>
      <c r="R242" s="411">
        <v>0</v>
      </c>
      <c r="S242" s="414">
        <v>0</v>
      </c>
      <c r="T242" s="417">
        <f t="shared" si="55"/>
        <v>0</v>
      </c>
      <c r="U242" s="844">
        <f t="shared" si="56"/>
        <v>3150000</v>
      </c>
      <c r="V242" s="608">
        <v>3150000</v>
      </c>
      <c r="W242" s="844">
        <v>3150000</v>
      </c>
    </row>
    <row r="243" spans="2:23" ht="12.75">
      <c r="B243" s="577"/>
      <c r="C243" s="578"/>
      <c r="D243" s="544"/>
      <c r="E243" s="613" t="s">
        <v>299</v>
      </c>
      <c r="F243" s="544"/>
      <c r="G243" s="429"/>
      <c r="H243" s="1520" t="s">
        <v>1228</v>
      </c>
      <c r="I243" s="1521"/>
      <c r="J243" s="1522"/>
      <c r="K243" s="933">
        <f aca="true" t="shared" si="66" ref="K243:S243">K244+K255</f>
        <v>15120000</v>
      </c>
      <c r="L243" s="933">
        <f t="shared" si="66"/>
        <v>4523331.340000001</v>
      </c>
      <c r="M243" s="933">
        <f t="shared" si="66"/>
        <v>15120000</v>
      </c>
      <c r="N243" s="286">
        <f t="shared" si="66"/>
        <v>0</v>
      </c>
      <c r="O243" s="286">
        <f t="shared" si="66"/>
        <v>0</v>
      </c>
      <c r="P243" s="286">
        <f t="shared" si="66"/>
        <v>0</v>
      </c>
      <c r="Q243" s="286">
        <f t="shared" si="66"/>
        <v>0</v>
      </c>
      <c r="R243" s="286">
        <f t="shared" si="66"/>
        <v>0</v>
      </c>
      <c r="S243" s="286">
        <f t="shared" si="66"/>
        <v>0</v>
      </c>
      <c r="T243" s="334">
        <f t="shared" si="55"/>
        <v>0</v>
      </c>
      <c r="U243" s="845">
        <f t="shared" si="56"/>
        <v>15120000</v>
      </c>
      <c r="V243" s="652">
        <v>15120000</v>
      </c>
      <c r="W243" s="652">
        <v>15120000</v>
      </c>
    </row>
    <row r="244" spans="2:23" ht="26.25" customHeight="1">
      <c r="B244" s="580"/>
      <c r="C244" s="581"/>
      <c r="D244" s="545" t="s">
        <v>1186</v>
      </c>
      <c r="E244" s="542" t="s">
        <v>300</v>
      </c>
      <c r="F244" s="545"/>
      <c r="G244" s="543"/>
      <c r="H244" s="1489" t="s">
        <v>1214</v>
      </c>
      <c r="I244" s="1564"/>
      <c r="J244" s="1565"/>
      <c r="K244" s="937">
        <f aca="true" t="shared" si="67" ref="K244:S244">K245</f>
        <v>14920000</v>
      </c>
      <c r="L244" s="937">
        <f t="shared" si="67"/>
        <v>4425171.070000001</v>
      </c>
      <c r="M244" s="937">
        <f>M245</f>
        <v>14920000</v>
      </c>
      <c r="N244" s="290">
        <f t="shared" si="67"/>
        <v>0</v>
      </c>
      <c r="O244" s="290">
        <f t="shared" si="67"/>
        <v>0</v>
      </c>
      <c r="P244" s="290">
        <f t="shared" si="67"/>
        <v>0</v>
      </c>
      <c r="Q244" s="290">
        <f t="shared" si="67"/>
        <v>0</v>
      </c>
      <c r="R244" s="290">
        <f t="shared" si="67"/>
        <v>0</v>
      </c>
      <c r="S244" s="335">
        <f t="shared" si="67"/>
        <v>0</v>
      </c>
      <c r="T244" s="335">
        <f t="shared" si="55"/>
        <v>0</v>
      </c>
      <c r="U244" s="845">
        <f t="shared" si="56"/>
        <v>14920000</v>
      </c>
      <c r="V244" s="652">
        <v>14920000</v>
      </c>
      <c r="W244" s="652">
        <v>14920000</v>
      </c>
    </row>
    <row r="245" spans="2:23" s="23" customFormat="1" ht="12.75">
      <c r="B245" s="583"/>
      <c r="C245" s="584"/>
      <c r="D245" s="536" t="s">
        <v>543</v>
      </c>
      <c r="E245" s="517"/>
      <c r="F245" s="585"/>
      <c r="G245" s="549"/>
      <c r="H245" s="1526" t="s">
        <v>88</v>
      </c>
      <c r="I245" s="1527"/>
      <c r="J245" s="1528"/>
      <c r="K245" s="181">
        <f>SUM(K246:K253)</f>
        <v>14920000</v>
      </c>
      <c r="L245" s="181">
        <f>SUM(L246:L253)</f>
        <v>4425171.070000001</v>
      </c>
      <c r="M245" s="181">
        <f>SUM(M246:M254)</f>
        <v>14920000</v>
      </c>
      <c r="N245" s="582">
        <f aca="true" t="shared" si="68" ref="N245:T245">SUM(N246:N253)</f>
        <v>0</v>
      </c>
      <c r="O245" s="582">
        <f t="shared" si="68"/>
        <v>0</v>
      </c>
      <c r="P245" s="582">
        <f t="shared" si="68"/>
        <v>0</v>
      </c>
      <c r="Q245" s="582">
        <f t="shared" si="68"/>
        <v>0</v>
      </c>
      <c r="R245" s="582">
        <f t="shared" si="68"/>
        <v>0</v>
      </c>
      <c r="S245" s="582">
        <f t="shared" si="68"/>
        <v>0</v>
      </c>
      <c r="T245" s="827">
        <f t="shared" si="68"/>
        <v>0</v>
      </c>
      <c r="U245" s="1175">
        <f t="shared" si="56"/>
        <v>14920000</v>
      </c>
      <c r="V245" s="843">
        <v>14920000</v>
      </c>
      <c r="W245" s="1175">
        <v>14920000</v>
      </c>
    </row>
    <row r="246" spans="2:23" ht="12.75">
      <c r="B246" s="516"/>
      <c r="C246" s="579"/>
      <c r="D246" s="517"/>
      <c r="E246" s="517"/>
      <c r="F246" s="515">
        <v>170</v>
      </c>
      <c r="G246" s="433">
        <v>464</v>
      </c>
      <c r="H246" s="1492" t="s">
        <v>112</v>
      </c>
      <c r="I246" s="1493"/>
      <c r="J246" s="1494"/>
      <c r="K246" s="914">
        <v>2000000</v>
      </c>
      <c r="L246" s="914">
        <v>579122.79</v>
      </c>
      <c r="M246" s="914">
        <v>1500000</v>
      </c>
      <c r="N246" s="354">
        <v>0</v>
      </c>
      <c r="O246" s="460">
        <v>0</v>
      </c>
      <c r="P246" s="460">
        <v>0</v>
      </c>
      <c r="Q246" s="460">
        <v>0</v>
      </c>
      <c r="R246" s="460">
        <v>0</v>
      </c>
      <c r="S246" s="460">
        <v>0</v>
      </c>
      <c r="T246" s="419">
        <f t="shared" si="55"/>
        <v>0</v>
      </c>
      <c r="U246" s="844">
        <f t="shared" si="56"/>
        <v>1500000</v>
      </c>
      <c r="V246" s="766">
        <v>1500000</v>
      </c>
      <c r="W246" s="844">
        <v>1500000</v>
      </c>
    </row>
    <row r="247" spans="2:23" ht="12.75">
      <c r="B247" s="516"/>
      <c r="C247" s="579"/>
      <c r="D247" s="517"/>
      <c r="E247" s="517"/>
      <c r="F247" s="515">
        <v>171</v>
      </c>
      <c r="G247" s="433">
        <v>464</v>
      </c>
      <c r="H247" s="1492" t="s">
        <v>113</v>
      </c>
      <c r="I247" s="1493"/>
      <c r="J247" s="1580"/>
      <c r="K247" s="915">
        <v>320000</v>
      </c>
      <c r="L247" s="915">
        <v>98566.23999999999</v>
      </c>
      <c r="M247" s="915">
        <v>250000</v>
      </c>
      <c r="N247" s="354">
        <v>0</v>
      </c>
      <c r="O247" s="460">
        <v>0</v>
      </c>
      <c r="P247" s="460">
        <v>0</v>
      </c>
      <c r="Q247" s="460">
        <v>0</v>
      </c>
      <c r="R247" s="460">
        <v>0</v>
      </c>
      <c r="S247" s="460">
        <v>0</v>
      </c>
      <c r="T247" s="419">
        <f t="shared" si="55"/>
        <v>0</v>
      </c>
      <c r="U247" s="844">
        <f t="shared" si="56"/>
        <v>250000</v>
      </c>
      <c r="V247" s="766">
        <v>250000</v>
      </c>
      <c r="W247" s="844">
        <v>250000</v>
      </c>
    </row>
    <row r="248" spans="2:23" ht="12.75">
      <c r="B248" s="516"/>
      <c r="C248" s="579"/>
      <c r="D248" s="517"/>
      <c r="E248" s="517"/>
      <c r="F248" s="1455" t="s">
        <v>1579</v>
      </c>
      <c r="G248" s="433">
        <v>464</v>
      </c>
      <c r="H248" s="380" t="s">
        <v>220</v>
      </c>
      <c r="I248" s="435"/>
      <c r="J248" s="1454"/>
      <c r="K248" s="955"/>
      <c r="L248" s="955"/>
      <c r="M248" s="955">
        <v>200000</v>
      </c>
      <c r="N248" s="955">
        <v>0</v>
      </c>
      <c r="O248" s="955">
        <v>0</v>
      </c>
      <c r="P248" s="955">
        <v>0</v>
      </c>
      <c r="Q248" s="955">
        <v>0</v>
      </c>
      <c r="R248" s="955">
        <v>0</v>
      </c>
      <c r="S248" s="955">
        <v>0</v>
      </c>
      <c r="T248" s="461"/>
      <c r="U248" s="844">
        <f t="shared" si="56"/>
        <v>200000</v>
      </c>
      <c r="V248" s="766">
        <v>200000</v>
      </c>
      <c r="W248" s="844">
        <v>200000</v>
      </c>
    </row>
    <row r="249" spans="2:23" ht="12.75">
      <c r="B249" s="516"/>
      <c r="C249" s="579"/>
      <c r="D249" s="517"/>
      <c r="E249" s="517"/>
      <c r="F249" s="810">
        <v>172</v>
      </c>
      <c r="G249" s="433">
        <v>464</v>
      </c>
      <c r="H249" s="1495" t="s">
        <v>99</v>
      </c>
      <c r="I249" s="1496"/>
      <c r="J249" s="1596"/>
      <c r="K249" s="1456">
        <v>1000000</v>
      </c>
      <c r="L249" s="1456">
        <v>142515.91</v>
      </c>
      <c r="M249" s="1456">
        <v>750000</v>
      </c>
      <c r="N249" s="354">
        <v>0</v>
      </c>
      <c r="O249" s="460">
        <v>0</v>
      </c>
      <c r="P249" s="460">
        <v>0</v>
      </c>
      <c r="Q249" s="419">
        <v>0</v>
      </c>
      <c r="R249" s="460">
        <v>0</v>
      </c>
      <c r="S249" s="419">
        <v>0</v>
      </c>
      <c r="T249" s="461">
        <v>0</v>
      </c>
      <c r="U249" s="844">
        <f t="shared" si="56"/>
        <v>750000</v>
      </c>
      <c r="V249" s="766">
        <v>750000</v>
      </c>
      <c r="W249" s="844">
        <v>750000</v>
      </c>
    </row>
    <row r="250" spans="2:23" ht="12.75">
      <c r="B250" s="516"/>
      <c r="C250" s="579"/>
      <c r="D250" s="517"/>
      <c r="E250" s="517"/>
      <c r="F250" s="810">
        <v>173</v>
      </c>
      <c r="G250" s="433">
        <v>464</v>
      </c>
      <c r="H250" s="367" t="s">
        <v>100</v>
      </c>
      <c r="I250" s="437"/>
      <c r="J250" s="437"/>
      <c r="K250" s="955">
        <v>1800000</v>
      </c>
      <c r="L250" s="955">
        <v>307653.36000000004</v>
      </c>
      <c r="M250" s="955">
        <v>1100000</v>
      </c>
      <c r="N250" s="354">
        <v>0</v>
      </c>
      <c r="O250" s="460">
        <v>0</v>
      </c>
      <c r="P250" s="460">
        <v>0</v>
      </c>
      <c r="Q250" s="419">
        <v>0</v>
      </c>
      <c r="R250" s="460">
        <v>0</v>
      </c>
      <c r="S250" s="419">
        <v>0</v>
      </c>
      <c r="T250" s="461"/>
      <c r="U250" s="844">
        <f t="shared" si="56"/>
        <v>1100000</v>
      </c>
      <c r="V250" s="766">
        <v>1100000</v>
      </c>
      <c r="W250" s="844">
        <v>1100000</v>
      </c>
    </row>
    <row r="251" spans="2:23" ht="12.75">
      <c r="B251" s="430"/>
      <c r="C251" s="431"/>
      <c r="D251" s="459"/>
      <c r="E251" s="459"/>
      <c r="F251" s="810">
        <v>174</v>
      </c>
      <c r="G251" s="353">
        <v>464</v>
      </c>
      <c r="H251" s="348" t="s">
        <v>102</v>
      </c>
      <c r="I251" s="442"/>
      <c r="J251" s="442"/>
      <c r="K251" s="540">
        <v>7500000</v>
      </c>
      <c r="L251" s="540">
        <v>3004878.110000001</v>
      </c>
      <c r="M251" s="540">
        <v>7500000</v>
      </c>
      <c r="N251" s="354">
        <v>0</v>
      </c>
      <c r="O251" s="460">
        <v>0</v>
      </c>
      <c r="P251" s="460">
        <v>0</v>
      </c>
      <c r="Q251" s="419">
        <v>0</v>
      </c>
      <c r="R251" s="411">
        <v>0</v>
      </c>
      <c r="S251" s="419">
        <v>0</v>
      </c>
      <c r="T251" s="461">
        <f t="shared" si="55"/>
        <v>0</v>
      </c>
      <c r="U251" s="844">
        <f t="shared" si="56"/>
        <v>7500000</v>
      </c>
      <c r="V251" s="766">
        <v>7500000</v>
      </c>
      <c r="W251" s="844">
        <v>7500000</v>
      </c>
    </row>
    <row r="252" spans="2:23" ht="12.75">
      <c r="B252" s="430"/>
      <c r="C252" s="431"/>
      <c r="D252" s="459"/>
      <c r="E252" s="459"/>
      <c r="F252" s="515">
        <v>175</v>
      </c>
      <c r="G252" s="353">
        <v>464</v>
      </c>
      <c r="H252" s="348" t="s">
        <v>104</v>
      </c>
      <c r="I252" s="442"/>
      <c r="J252" s="442"/>
      <c r="K252" s="540">
        <v>1300000</v>
      </c>
      <c r="L252" s="540">
        <v>198354.66</v>
      </c>
      <c r="M252" s="540">
        <v>1000000</v>
      </c>
      <c r="N252" s="354">
        <v>0</v>
      </c>
      <c r="O252" s="460">
        <v>0</v>
      </c>
      <c r="P252" s="460">
        <v>0</v>
      </c>
      <c r="Q252" s="419">
        <v>0</v>
      </c>
      <c r="R252" s="411">
        <v>0</v>
      </c>
      <c r="S252" s="419">
        <v>0</v>
      </c>
      <c r="T252" s="461">
        <f t="shared" si="55"/>
        <v>0</v>
      </c>
      <c r="U252" s="844">
        <f t="shared" si="56"/>
        <v>1000000</v>
      </c>
      <c r="V252" s="766">
        <v>1000000</v>
      </c>
      <c r="W252" s="844">
        <v>1000000</v>
      </c>
    </row>
    <row r="253" spans="2:23" ht="12.75">
      <c r="B253" s="1459"/>
      <c r="C253" s="1460"/>
      <c r="D253" s="1461"/>
      <c r="E253" s="1461"/>
      <c r="F253" s="1462">
        <v>176</v>
      </c>
      <c r="G253" s="535">
        <v>464</v>
      </c>
      <c r="H253" s="348" t="s">
        <v>1390</v>
      </c>
      <c r="I253" s="442"/>
      <c r="J253" s="442"/>
      <c r="K253" s="540">
        <v>1000000</v>
      </c>
      <c r="L253" s="540">
        <v>94080</v>
      </c>
      <c r="M253" s="540">
        <v>800000</v>
      </c>
      <c r="N253" s="354">
        <v>0</v>
      </c>
      <c r="O253" s="460">
        <v>0</v>
      </c>
      <c r="P253" s="460">
        <v>0</v>
      </c>
      <c r="Q253" s="419">
        <v>0</v>
      </c>
      <c r="R253" s="411">
        <v>0</v>
      </c>
      <c r="S253" s="419">
        <v>0</v>
      </c>
      <c r="T253" s="461">
        <f t="shared" si="55"/>
        <v>0</v>
      </c>
      <c r="U253" s="844">
        <f t="shared" si="56"/>
        <v>800000</v>
      </c>
      <c r="V253" s="766">
        <v>800000</v>
      </c>
      <c r="W253" s="844">
        <v>800000</v>
      </c>
    </row>
    <row r="254" spans="2:23" ht="12.75">
      <c r="B254" s="480"/>
      <c r="C254" s="480"/>
      <c r="D254" s="1464"/>
      <c r="E254" s="1464"/>
      <c r="F254" s="810" t="s">
        <v>1580</v>
      </c>
      <c r="G254" s="532">
        <v>464</v>
      </c>
      <c r="H254" s="1457" t="s">
        <v>1581</v>
      </c>
      <c r="I254" s="1457"/>
      <c r="J254" s="1457"/>
      <c r="K254" s="540"/>
      <c r="L254" s="540"/>
      <c r="M254" s="540">
        <v>1820000</v>
      </c>
      <c r="N254" s="407">
        <v>0</v>
      </c>
      <c r="O254" s="1101">
        <v>0</v>
      </c>
      <c r="P254" s="1101">
        <v>0</v>
      </c>
      <c r="Q254" s="1458">
        <v>0</v>
      </c>
      <c r="R254" s="405">
        <v>0</v>
      </c>
      <c r="S254" s="1458">
        <v>0</v>
      </c>
      <c r="T254" s="1458"/>
      <c r="U254" s="844">
        <f t="shared" si="56"/>
        <v>1820000</v>
      </c>
      <c r="V254" s="1447">
        <v>1820000</v>
      </c>
      <c r="W254" s="844">
        <v>1820000</v>
      </c>
    </row>
    <row r="255" spans="2:23" ht="15" customHeight="1">
      <c r="B255" s="1463"/>
      <c r="C255" s="808"/>
      <c r="D255" s="719" t="s">
        <v>1186</v>
      </c>
      <c r="E255" s="809" t="s">
        <v>1230</v>
      </c>
      <c r="F255" s="719"/>
      <c r="G255" s="543"/>
      <c r="H255" s="1561" t="s">
        <v>1231</v>
      </c>
      <c r="I255" s="1562"/>
      <c r="J255" s="1562"/>
      <c r="K255" s="1062">
        <f aca="true" t="shared" si="69" ref="K255:S256">K256</f>
        <v>200000</v>
      </c>
      <c r="L255" s="1062">
        <f t="shared" si="69"/>
        <v>98160.27</v>
      </c>
      <c r="M255" s="1062">
        <f t="shared" si="69"/>
        <v>200000</v>
      </c>
      <c r="N255" s="290">
        <f t="shared" si="69"/>
        <v>0</v>
      </c>
      <c r="O255" s="290">
        <f t="shared" si="69"/>
        <v>0</v>
      </c>
      <c r="P255" s="290">
        <f t="shared" si="69"/>
        <v>0</v>
      </c>
      <c r="Q255" s="290">
        <f t="shared" si="69"/>
        <v>0</v>
      </c>
      <c r="R255" s="290">
        <f t="shared" si="69"/>
        <v>0</v>
      </c>
      <c r="S255" s="335">
        <f t="shared" si="69"/>
        <v>0</v>
      </c>
      <c r="T255" s="335">
        <f t="shared" si="55"/>
        <v>0</v>
      </c>
      <c r="U255" s="845">
        <f t="shared" si="56"/>
        <v>200000</v>
      </c>
      <c r="V255" s="1052">
        <v>200000</v>
      </c>
      <c r="W255" s="652">
        <v>200000</v>
      </c>
    </row>
    <row r="256" spans="2:23" ht="12.75">
      <c r="B256" s="430"/>
      <c r="C256" s="431"/>
      <c r="D256" s="56">
        <v>721</v>
      </c>
      <c r="E256" s="180"/>
      <c r="F256" s="352"/>
      <c r="G256" s="353"/>
      <c r="H256" s="73" t="s">
        <v>336</v>
      </c>
      <c r="I256" s="74"/>
      <c r="J256" s="449"/>
      <c r="K256" s="726">
        <f t="shared" si="69"/>
        <v>200000</v>
      </c>
      <c r="L256" s="726">
        <f t="shared" si="69"/>
        <v>98160.27</v>
      </c>
      <c r="M256" s="726">
        <f t="shared" si="69"/>
        <v>200000</v>
      </c>
      <c r="N256" s="68">
        <f aca="true" t="shared" si="70" ref="N256:S256">N257</f>
        <v>0</v>
      </c>
      <c r="O256" s="68">
        <f t="shared" si="70"/>
        <v>0</v>
      </c>
      <c r="P256" s="68">
        <f t="shared" si="70"/>
        <v>0</v>
      </c>
      <c r="Q256" s="68">
        <f t="shared" si="70"/>
        <v>0</v>
      </c>
      <c r="R256" s="68">
        <f t="shared" si="70"/>
        <v>0</v>
      </c>
      <c r="S256" s="68">
        <f t="shared" si="70"/>
        <v>0</v>
      </c>
      <c r="T256" s="338">
        <f t="shared" si="55"/>
        <v>0</v>
      </c>
      <c r="U256" s="1175">
        <f t="shared" si="56"/>
        <v>200000</v>
      </c>
      <c r="V256" s="837">
        <v>200000</v>
      </c>
      <c r="W256" s="1175">
        <v>200000</v>
      </c>
    </row>
    <row r="257" spans="2:23" s="356" customFormat="1" ht="12.75">
      <c r="B257" s="350"/>
      <c r="C257" s="357"/>
      <c r="D257" s="352"/>
      <c r="E257" s="357"/>
      <c r="F257" s="368">
        <v>177</v>
      </c>
      <c r="G257" s="444">
        <v>424</v>
      </c>
      <c r="H257" s="1492" t="s">
        <v>1391</v>
      </c>
      <c r="I257" s="1493"/>
      <c r="J257" s="1493"/>
      <c r="K257" s="955">
        <v>200000</v>
      </c>
      <c r="L257" s="955">
        <v>98160.27</v>
      </c>
      <c r="M257" s="955">
        <v>200000</v>
      </c>
      <c r="N257" s="354">
        <v>0</v>
      </c>
      <c r="O257" s="411">
        <v>0</v>
      </c>
      <c r="P257" s="411">
        <v>0</v>
      </c>
      <c r="Q257" s="414">
        <v>0</v>
      </c>
      <c r="R257" s="414">
        <v>0</v>
      </c>
      <c r="S257" s="414">
        <v>0</v>
      </c>
      <c r="T257" s="414">
        <f t="shared" si="55"/>
        <v>0</v>
      </c>
      <c r="U257" s="844">
        <f t="shared" si="56"/>
        <v>200000</v>
      </c>
      <c r="V257" s="608">
        <v>200000</v>
      </c>
      <c r="W257" s="844">
        <v>200000</v>
      </c>
    </row>
    <row r="258" spans="2:23" ht="12.75">
      <c r="B258" s="284"/>
      <c r="C258" s="285"/>
      <c r="D258" s="428"/>
      <c r="E258" s="610" t="s">
        <v>310</v>
      </c>
      <c r="F258" s="428"/>
      <c r="G258" s="429"/>
      <c r="H258" s="1520" t="s">
        <v>1232</v>
      </c>
      <c r="I258" s="1521"/>
      <c r="J258" s="1522"/>
      <c r="K258" s="933">
        <f>K259+K272</f>
        <v>6800000</v>
      </c>
      <c r="L258" s="933">
        <f>L259+L272</f>
        <v>1431249.83</v>
      </c>
      <c r="M258" s="933">
        <f>M259+M272</f>
        <v>6800000</v>
      </c>
      <c r="N258" s="286">
        <f aca="true" t="shared" si="71" ref="N258:S258">N259+N272</f>
        <v>0</v>
      </c>
      <c r="O258" s="286">
        <f t="shared" si="71"/>
        <v>0</v>
      </c>
      <c r="P258" s="286">
        <f t="shared" si="71"/>
        <v>32606489.5</v>
      </c>
      <c r="Q258" s="286">
        <f t="shared" si="71"/>
        <v>49600000</v>
      </c>
      <c r="R258" s="286">
        <f t="shared" si="71"/>
        <v>0</v>
      </c>
      <c r="S258" s="286">
        <f t="shared" si="71"/>
        <v>0</v>
      </c>
      <c r="T258" s="334">
        <f t="shared" si="55"/>
        <v>82206489.5</v>
      </c>
      <c r="U258" s="845">
        <f t="shared" si="56"/>
        <v>89006489.5</v>
      </c>
      <c r="V258" s="652">
        <v>89006489.5</v>
      </c>
      <c r="W258" s="652">
        <v>89006489.5</v>
      </c>
    </row>
    <row r="259" spans="2:23" ht="26.25" customHeight="1">
      <c r="B259" s="284"/>
      <c r="C259" s="285"/>
      <c r="D259" s="428"/>
      <c r="E259" s="346" t="s">
        <v>311</v>
      </c>
      <c r="F259" s="428"/>
      <c r="G259" s="429"/>
      <c r="H259" s="1489" t="s">
        <v>1233</v>
      </c>
      <c r="I259" s="1490"/>
      <c r="J259" s="1491"/>
      <c r="K259" s="916">
        <f>K260</f>
        <v>5300000</v>
      </c>
      <c r="L259" s="916">
        <f>L260</f>
        <v>1431249.83</v>
      </c>
      <c r="M259" s="916">
        <f>M260</f>
        <v>5300000</v>
      </c>
      <c r="N259" s="290">
        <f aca="true" t="shared" si="72" ref="N259:S259">N260</f>
        <v>0</v>
      </c>
      <c r="O259" s="290">
        <f t="shared" si="72"/>
        <v>0</v>
      </c>
      <c r="P259" s="290">
        <f t="shared" si="72"/>
        <v>32606489.5</v>
      </c>
      <c r="Q259" s="290">
        <f t="shared" si="72"/>
        <v>49600000</v>
      </c>
      <c r="R259" s="290">
        <f t="shared" si="72"/>
        <v>0</v>
      </c>
      <c r="S259" s="290">
        <f t="shared" si="72"/>
        <v>0</v>
      </c>
      <c r="T259" s="335">
        <f t="shared" si="55"/>
        <v>82206489.5</v>
      </c>
      <c r="U259" s="845">
        <f t="shared" si="56"/>
        <v>87506489.5</v>
      </c>
      <c r="V259" s="652">
        <v>87506489.5</v>
      </c>
      <c r="W259" s="652">
        <v>87506489.5</v>
      </c>
    </row>
    <row r="260" spans="2:23" ht="12.75">
      <c r="B260" s="430"/>
      <c r="C260" s="431"/>
      <c r="D260" s="56">
        <v>420</v>
      </c>
      <c r="E260" s="180"/>
      <c r="F260" s="352"/>
      <c r="G260" s="353"/>
      <c r="H260" s="73" t="s">
        <v>211</v>
      </c>
      <c r="I260" s="74"/>
      <c r="J260" s="445"/>
      <c r="K260" s="927">
        <f>SUM(K261:K271)</f>
        <v>5300000</v>
      </c>
      <c r="L260" s="927">
        <f>SUM(L261:L271)</f>
        <v>1431249.83</v>
      </c>
      <c r="M260" s="927">
        <f>SUM(M261:M271)</f>
        <v>5300000</v>
      </c>
      <c r="N260" s="539">
        <f aca="true" t="shared" si="73" ref="N260:S260">SUM(N261:N271)</f>
        <v>0</v>
      </c>
      <c r="O260" s="539">
        <f t="shared" si="73"/>
        <v>0</v>
      </c>
      <c r="P260" s="539">
        <f t="shared" si="73"/>
        <v>32606489.5</v>
      </c>
      <c r="Q260" s="539">
        <f t="shared" si="73"/>
        <v>49600000</v>
      </c>
      <c r="R260" s="539">
        <f t="shared" si="73"/>
        <v>0</v>
      </c>
      <c r="S260" s="539">
        <f t="shared" si="73"/>
        <v>0</v>
      </c>
      <c r="T260" s="828">
        <f t="shared" si="55"/>
        <v>82206489.5</v>
      </c>
      <c r="U260" s="1175">
        <f t="shared" si="56"/>
        <v>87506489.5</v>
      </c>
      <c r="V260" s="837">
        <v>87506489.5</v>
      </c>
      <c r="W260" s="1175">
        <v>87506489.5</v>
      </c>
    </row>
    <row r="261" spans="2:23" s="510" customFormat="1" ht="12.75">
      <c r="B261" s="511"/>
      <c r="C261" s="452"/>
      <c r="D261" s="512"/>
      <c r="E261" s="452"/>
      <c r="F261" s="512">
        <v>178</v>
      </c>
      <c r="G261" s="434">
        <v>421</v>
      </c>
      <c r="H261" s="1576" t="s">
        <v>219</v>
      </c>
      <c r="I261" s="1577"/>
      <c r="J261" s="1578"/>
      <c r="K261" s="925">
        <v>100000</v>
      </c>
      <c r="L261" s="925">
        <v>0</v>
      </c>
      <c r="M261" s="925">
        <v>100000</v>
      </c>
      <c r="N261" s="354">
        <v>0</v>
      </c>
      <c r="O261" s="513">
        <v>0</v>
      </c>
      <c r="P261" s="513">
        <v>0</v>
      </c>
      <c r="Q261" s="416">
        <v>0</v>
      </c>
      <c r="R261" s="414">
        <v>0</v>
      </c>
      <c r="S261" s="416">
        <v>0</v>
      </c>
      <c r="T261" s="416">
        <f t="shared" si="55"/>
        <v>0</v>
      </c>
      <c r="U261" s="844">
        <f t="shared" si="56"/>
        <v>100000</v>
      </c>
      <c r="V261" s="840">
        <v>100000</v>
      </c>
      <c r="W261" s="844">
        <v>100000</v>
      </c>
    </row>
    <row r="262" spans="2:23" s="356" customFormat="1" ht="12.75">
      <c r="B262" s="350"/>
      <c r="C262" s="357"/>
      <c r="D262" s="358"/>
      <c r="E262" s="351"/>
      <c r="F262" s="512">
        <v>179</v>
      </c>
      <c r="G262" s="353">
        <v>423</v>
      </c>
      <c r="H262" s="1517" t="s">
        <v>1392</v>
      </c>
      <c r="I262" s="1518"/>
      <c r="J262" s="1519"/>
      <c r="K262" s="746">
        <v>3000000</v>
      </c>
      <c r="L262" s="746">
        <v>1348185.6</v>
      </c>
      <c r="M262" s="746">
        <v>3000000</v>
      </c>
      <c r="N262" s="354">
        <v>0</v>
      </c>
      <c r="O262" s="450">
        <v>0</v>
      </c>
      <c r="P262" s="450">
        <v>0</v>
      </c>
      <c r="Q262" s="418">
        <v>1000000</v>
      </c>
      <c r="R262" s="414">
        <v>0</v>
      </c>
      <c r="S262" s="418">
        <v>0</v>
      </c>
      <c r="T262" s="355">
        <f t="shared" si="55"/>
        <v>1000000</v>
      </c>
      <c r="U262" s="844">
        <f t="shared" si="56"/>
        <v>4000000</v>
      </c>
      <c r="V262" s="376">
        <v>4000000</v>
      </c>
      <c r="W262" s="844">
        <v>4000000</v>
      </c>
    </row>
    <row r="263" spans="2:23" s="356" customFormat="1" ht="12.75">
      <c r="B263" s="350"/>
      <c r="C263" s="357"/>
      <c r="D263" s="352"/>
      <c r="E263" s="357"/>
      <c r="F263" s="512">
        <v>180</v>
      </c>
      <c r="G263" s="444">
        <v>424</v>
      </c>
      <c r="H263" s="1508" t="s">
        <v>1397</v>
      </c>
      <c r="I263" s="1509"/>
      <c r="J263" s="1510"/>
      <c r="K263" s="746">
        <v>0</v>
      </c>
      <c r="L263" s="746">
        <v>0</v>
      </c>
      <c r="M263" s="746">
        <v>0</v>
      </c>
      <c r="N263" s="354">
        <v>0</v>
      </c>
      <c r="O263" s="411">
        <v>0</v>
      </c>
      <c r="P263" s="411">
        <v>0</v>
      </c>
      <c r="Q263" s="418">
        <v>1000000</v>
      </c>
      <c r="R263" s="414">
        <v>0</v>
      </c>
      <c r="S263" s="419">
        <v>0</v>
      </c>
      <c r="T263" s="419">
        <f t="shared" si="55"/>
        <v>1000000</v>
      </c>
      <c r="U263" s="844">
        <f t="shared" si="56"/>
        <v>1000000</v>
      </c>
      <c r="V263" s="608">
        <v>1000000</v>
      </c>
      <c r="W263" s="844">
        <v>1000000</v>
      </c>
    </row>
    <row r="264" spans="2:23" s="356" customFormat="1" ht="12.75">
      <c r="B264" s="350"/>
      <c r="C264" s="357"/>
      <c r="D264" s="352"/>
      <c r="E264" s="357"/>
      <c r="F264" s="512">
        <v>181</v>
      </c>
      <c r="G264" s="444">
        <v>424</v>
      </c>
      <c r="H264" s="1508" t="s">
        <v>1398</v>
      </c>
      <c r="I264" s="1509"/>
      <c r="J264" s="1510"/>
      <c r="K264" s="746">
        <v>1000000</v>
      </c>
      <c r="L264" s="746">
        <v>0</v>
      </c>
      <c r="M264" s="746">
        <v>1000000</v>
      </c>
      <c r="N264" s="354">
        <v>0</v>
      </c>
      <c r="O264" s="411">
        <v>0</v>
      </c>
      <c r="P264" s="411">
        <v>0</v>
      </c>
      <c r="Q264" s="419">
        <v>2600000</v>
      </c>
      <c r="R264" s="414">
        <v>0</v>
      </c>
      <c r="S264" s="419">
        <v>0</v>
      </c>
      <c r="T264" s="419">
        <f t="shared" si="55"/>
        <v>2600000</v>
      </c>
      <c r="U264" s="844">
        <f t="shared" si="56"/>
        <v>3600000</v>
      </c>
      <c r="V264" s="608">
        <v>3600000</v>
      </c>
      <c r="W264" s="844">
        <v>3600000</v>
      </c>
    </row>
    <row r="265" spans="2:23" s="356" customFormat="1" ht="12.75">
      <c r="B265" s="350"/>
      <c r="C265" s="357"/>
      <c r="D265" s="352"/>
      <c r="E265" s="357"/>
      <c r="F265" s="512">
        <v>182</v>
      </c>
      <c r="G265" s="444">
        <v>424</v>
      </c>
      <c r="H265" s="1508" t="s">
        <v>1399</v>
      </c>
      <c r="I265" s="1509"/>
      <c r="J265" s="1510"/>
      <c r="K265" s="746">
        <v>0</v>
      </c>
      <c r="L265" s="746">
        <v>0</v>
      </c>
      <c r="M265" s="746">
        <v>0</v>
      </c>
      <c r="N265" s="354">
        <v>0</v>
      </c>
      <c r="O265" s="411">
        <v>0</v>
      </c>
      <c r="P265" s="411">
        <v>18610000</v>
      </c>
      <c r="Q265" s="418">
        <v>20000000</v>
      </c>
      <c r="R265" s="414">
        <v>0</v>
      </c>
      <c r="S265" s="419">
        <v>0</v>
      </c>
      <c r="T265" s="419">
        <f aca="true" t="shared" si="74" ref="T265:T323">SUM(N265:S265)</f>
        <v>38610000</v>
      </c>
      <c r="U265" s="844">
        <f t="shared" si="56"/>
        <v>38610000</v>
      </c>
      <c r="V265" s="608">
        <v>38610000</v>
      </c>
      <c r="W265" s="844">
        <v>38610000</v>
      </c>
    </row>
    <row r="266" spans="2:23" s="356" customFormat="1" ht="12.75">
      <c r="B266" s="350"/>
      <c r="C266" s="357"/>
      <c r="D266" s="352"/>
      <c r="E266" s="357"/>
      <c r="F266" s="363">
        <v>183</v>
      </c>
      <c r="G266" s="444">
        <v>425</v>
      </c>
      <c r="H266" s="1517" t="s">
        <v>1482</v>
      </c>
      <c r="I266" s="1518"/>
      <c r="J266" s="1519"/>
      <c r="K266" s="746">
        <v>0</v>
      </c>
      <c r="L266" s="746">
        <v>0</v>
      </c>
      <c r="M266" s="936">
        <v>0</v>
      </c>
      <c r="N266" s="354">
        <v>0</v>
      </c>
      <c r="O266" s="411">
        <v>0</v>
      </c>
      <c r="P266" s="411">
        <v>13996489.5</v>
      </c>
      <c r="Q266" s="408">
        <v>10000000</v>
      </c>
      <c r="R266" s="414">
        <v>0</v>
      </c>
      <c r="S266" s="414">
        <v>0</v>
      </c>
      <c r="T266" s="414">
        <f t="shared" si="74"/>
        <v>23996489.5</v>
      </c>
      <c r="U266" s="844">
        <f aca="true" t="shared" si="75" ref="U266:U323">M266+N266+O266+P266+Q266+R266+S266</f>
        <v>23996489.5</v>
      </c>
      <c r="V266" s="608">
        <v>23996489.5</v>
      </c>
      <c r="W266" s="844">
        <v>23996489.5</v>
      </c>
    </row>
    <row r="267" spans="2:23" s="356" customFormat="1" ht="12.75">
      <c r="B267" s="350"/>
      <c r="C267" s="357"/>
      <c r="D267" s="352"/>
      <c r="E267" s="357"/>
      <c r="F267" s="363">
        <v>184</v>
      </c>
      <c r="G267" s="444">
        <v>426</v>
      </c>
      <c r="H267" s="1508" t="s">
        <v>1393</v>
      </c>
      <c r="I267" s="1509"/>
      <c r="J267" s="1510"/>
      <c r="K267" s="746">
        <v>500000</v>
      </c>
      <c r="L267" s="359">
        <v>83064.23</v>
      </c>
      <c r="M267" s="540">
        <v>500000</v>
      </c>
      <c r="N267" s="354">
        <v>0</v>
      </c>
      <c r="O267" s="411">
        <v>0</v>
      </c>
      <c r="P267" s="411">
        <v>0</v>
      </c>
      <c r="Q267" s="414">
        <v>0</v>
      </c>
      <c r="R267" s="414">
        <v>0</v>
      </c>
      <c r="S267" s="414">
        <v>0</v>
      </c>
      <c r="T267" s="414">
        <f t="shared" si="74"/>
        <v>0</v>
      </c>
      <c r="U267" s="844">
        <f t="shared" si="75"/>
        <v>500000</v>
      </c>
      <c r="V267" s="608">
        <v>500000</v>
      </c>
      <c r="W267" s="844">
        <v>500000</v>
      </c>
    </row>
    <row r="268" spans="2:23" s="356" customFormat="1" ht="12.75">
      <c r="B268" s="350"/>
      <c r="C268" s="357"/>
      <c r="D268" s="352"/>
      <c r="E268" s="357"/>
      <c r="F268" s="363">
        <v>185</v>
      </c>
      <c r="G268" s="444">
        <v>426</v>
      </c>
      <c r="H268" s="1508" t="s">
        <v>1394</v>
      </c>
      <c r="I268" s="1509"/>
      <c r="J268" s="1510"/>
      <c r="K268" s="746">
        <v>100000</v>
      </c>
      <c r="L268" s="359">
        <v>0</v>
      </c>
      <c r="M268" s="540">
        <v>100000</v>
      </c>
      <c r="N268" s="354">
        <v>0</v>
      </c>
      <c r="O268" s="411">
        <v>0</v>
      </c>
      <c r="P268" s="411">
        <v>0</v>
      </c>
      <c r="Q268" s="414">
        <v>0</v>
      </c>
      <c r="R268" s="414">
        <v>0</v>
      </c>
      <c r="S268" s="414">
        <v>0</v>
      </c>
      <c r="T268" s="414">
        <f t="shared" si="74"/>
        <v>0</v>
      </c>
      <c r="U268" s="844">
        <f t="shared" si="75"/>
        <v>100000</v>
      </c>
      <c r="V268" s="608">
        <v>100000</v>
      </c>
      <c r="W268" s="844">
        <v>100000</v>
      </c>
    </row>
    <row r="269" spans="2:23" s="356" customFormat="1" ht="12.75">
      <c r="B269" s="350"/>
      <c r="C269" s="357"/>
      <c r="D269" s="352"/>
      <c r="E269" s="357"/>
      <c r="F269" s="363">
        <v>186</v>
      </c>
      <c r="G269" s="444">
        <v>451</v>
      </c>
      <c r="H269" s="1508" t="s">
        <v>1395</v>
      </c>
      <c r="I269" s="1509"/>
      <c r="J269" s="1510"/>
      <c r="K269" s="746">
        <v>0</v>
      </c>
      <c r="L269" s="359">
        <v>0</v>
      </c>
      <c r="M269" s="540">
        <v>0</v>
      </c>
      <c r="N269" s="354">
        <v>0</v>
      </c>
      <c r="O269" s="411">
        <v>0</v>
      </c>
      <c r="P269" s="411">
        <v>0</v>
      </c>
      <c r="Q269" s="414">
        <v>15000000</v>
      </c>
      <c r="R269" s="414">
        <v>0</v>
      </c>
      <c r="S269" s="414">
        <v>0</v>
      </c>
      <c r="T269" s="417">
        <f t="shared" si="74"/>
        <v>15000000</v>
      </c>
      <c r="U269" s="844">
        <f t="shared" si="75"/>
        <v>15000000</v>
      </c>
      <c r="V269" s="608">
        <v>15000000</v>
      </c>
      <c r="W269" s="844">
        <v>15000000</v>
      </c>
    </row>
    <row r="270" spans="2:23" s="510" customFormat="1" ht="12.75">
      <c r="B270" s="511"/>
      <c r="C270" s="452"/>
      <c r="D270" s="512"/>
      <c r="E270" s="452"/>
      <c r="F270" s="512">
        <v>187</v>
      </c>
      <c r="G270" s="434">
        <v>482</v>
      </c>
      <c r="H270" s="1576" t="s">
        <v>218</v>
      </c>
      <c r="I270" s="1577"/>
      <c r="J270" s="1578"/>
      <c r="K270" s="925">
        <v>100000</v>
      </c>
      <c r="L270" s="1089">
        <v>0</v>
      </c>
      <c r="M270" s="1057">
        <v>100000</v>
      </c>
      <c r="N270" s="354">
        <v>0</v>
      </c>
      <c r="O270" s="513">
        <v>0</v>
      </c>
      <c r="P270" s="513">
        <v>0</v>
      </c>
      <c r="Q270" s="416">
        <v>0</v>
      </c>
      <c r="R270" s="414">
        <v>0</v>
      </c>
      <c r="S270" s="416">
        <v>0</v>
      </c>
      <c r="T270" s="514">
        <f t="shared" si="74"/>
        <v>0</v>
      </c>
      <c r="U270" s="844">
        <f t="shared" si="75"/>
        <v>100000</v>
      </c>
      <c r="V270" s="840">
        <v>100000</v>
      </c>
      <c r="W270" s="844">
        <v>100000</v>
      </c>
    </row>
    <row r="271" spans="2:23" s="356" customFormat="1" ht="12.75">
      <c r="B271" s="350"/>
      <c r="C271" s="357"/>
      <c r="D271" s="352"/>
      <c r="E271" s="357"/>
      <c r="F271" s="512">
        <v>188</v>
      </c>
      <c r="G271" s="434">
        <v>512</v>
      </c>
      <c r="H271" s="1560" t="s">
        <v>1509</v>
      </c>
      <c r="I271" s="1554"/>
      <c r="J271" s="1579"/>
      <c r="K271" s="936">
        <v>500000</v>
      </c>
      <c r="L271" s="1075">
        <v>0</v>
      </c>
      <c r="M271" s="540">
        <v>500000</v>
      </c>
      <c r="N271" s="354">
        <v>0</v>
      </c>
      <c r="O271" s="411">
        <v>0</v>
      </c>
      <c r="P271" s="411">
        <v>0</v>
      </c>
      <c r="Q271" s="414">
        <v>0</v>
      </c>
      <c r="R271" s="414">
        <v>0</v>
      </c>
      <c r="S271" s="414">
        <v>0</v>
      </c>
      <c r="T271" s="417">
        <f t="shared" si="74"/>
        <v>0</v>
      </c>
      <c r="U271" s="844">
        <f t="shared" si="75"/>
        <v>500000</v>
      </c>
      <c r="V271" s="608">
        <v>500000</v>
      </c>
      <c r="W271" s="844">
        <v>500000</v>
      </c>
    </row>
    <row r="272" spans="2:23" ht="14.25" customHeight="1">
      <c r="B272" s="284"/>
      <c r="C272" s="285"/>
      <c r="D272" s="428"/>
      <c r="E272" s="346" t="s">
        <v>312</v>
      </c>
      <c r="F272" s="428"/>
      <c r="G272" s="429"/>
      <c r="H272" s="1489" t="s">
        <v>1234</v>
      </c>
      <c r="I272" s="1490"/>
      <c r="J272" s="1491"/>
      <c r="K272" s="916">
        <f aca="true" t="shared" si="76" ref="K272:S273">K273</f>
        <v>1500000</v>
      </c>
      <c r="L272" s="1054">
        <f t="shared" si="76"/>
        <v>0</v>
      </c>
      <c r="M272" s="1062">
        <f t="shared" si="76"/>
        <v>1500000</v>
      </c>
      <c r="N272" s="290">
        <f t="shared" si="76"/>
        <v>0</v>
      </c>
      <c r="O272" s="290">
        <f t="shared" si="76"/>
        <v>0</v>
      </c>
      <c r="P272" s="290">
        <f t="shared" si="76"/>
        <v>0</v>
      </c>
      <c r="Q272" s="290">
        <f t="shared" si="76"/>
        <v>0</v>
      </c>
      <c r="R272" s="290">
        <f t="shared" si="76"/>
        <v>0</v>
      </c>
      <c r="S272" s="335">
        <f t="shared" si="76"/>
        <v>0</v>
      </c>
      <c r="T272" s="335">
        <f t="shared" si="74"/>
        <v>0</v>
      </c>
      <c r="U272" s="845">
        <f t="shared" si="75"/>
        <v>1500000</v>
      </c>
      <c r="V272" s="652">
        <v>1500000</v>
      </c>
      <c r="W272" s="652">
        <v>1500000</v>
      </c>
    </row>
    <row r="273" spans="2:23" ht="12.75">
      <c r="B273" s="350"/>
      <c r="C273" s="59"/>
      <c r="D273" s="56">
        <v>620</v>
      </c>
      <c r="E273" s="180"/>
      <c r="F273" s="352"/>
      <c r="G273" s="353"/>
      <c r="H273" s="1526" t="s">
        <v>116</v>
      </c>
      <c r="I273" s="1527"/>
      <c r="J273" s="445"/>
      <c r="K273" s="523">
        <f t="shared" si="76"/>
        <v>1500000</v>
      </c>
      <c r="L273" s="725">
        <f t="shared" si="76"/>
        <v>0</v>
      </c>
      <c r="M273" s="726">
        <f t="shared" si="76"/>
        <v>1500000</v>
      </c>
      <c r="N273" s="379">
        <f t="shared" si="76"/>
        <v>0</v>
      </c>
      <c r="O273" s="379">
        <f t="shared" si="76"/>
        <v>0</v>
      </c>
      <c r="P273" s="379">
        <f t="shared" si="76"/>
        <v>0</v>
      </c>
      <c r="Q273" s="623">
        <f t="shared" si="76"/>
        <v>0</v>
      </c>
      <c r="R273" s="623">
        <f t="shared" si="76"/>
        <v>0</v>
      </c>
      <c r="S273" s="623">
        <f t="shared" si="76"/>
        <v>0</v>
      </c>
      <c r="T273" s="730">
        <f t="shared" si="74"/>
        <v>0</v>
      </c>
      <c r="U273" s="1175">
        <f t="shared" si="75"/>
        <v>1500000</v>
      </c>
      <c r="V273" s="837">
        <v>1500000</v>
      </c>
      <c r="W273" s="1175">
        <v>1500000</v>
      </c>
    </row>
    <row r="274" spans="2:23" ht="13.5" customHeight="1">
      <c r="B274" s="350"/>
      <c r="C274" s="59"/>
      <c r="D274" s="358"/>
      <c r="E274" s="351"/>
      <c r="F274" s="352">
        <v>189</v>
      </c>
      <c r="G274" s="353">
        <v>454</v>
      </c>
      <c r="H274" s="1517" t="s">
        <v>1396</v>
      </c>
      <c r="I274" s="1518"/>
      <c r="J274" s="1518"/>
      <c r="K274" s="373">
        <v>1500000</v>
      </c>
      <c r="L274" s="373">
        <v>0</v>
      </c>
      <c r="M274" s="540">
        <v>1500000</v>
      </c>
      <c r="N274" s="523">
        <v>0</v>
      </c>
      <c r="O274" s="523">
        <v>0</v>
      </c>
      <c r="P274" s="725">
        <v>0</v>
      </c>
      <c r="Q274" s="726">
        <v>0</v>
      </c>
      <c r="R274" s="726">
        <v>0</v>
      </c>
      <c r="S274" s="726">
        <v>0</v>
      </c>
      <c r="T274" s="355">
        <f t="shared" si="74"/>
        <v>0</v>
      </c>
      <c r="U274" s="844">
        <f t="shared" si="75"/>
        <v>1500000</v>
      </c>
      <c r="V274" s="766">
        <v>1500000</v>
      </c>
      <c r="W274" s="844">
        <v>1500000</v>
      </c>
    </row>
    <row r="275" spans="2:23" ht="12.75">
      <c r="B275" s="284"/>
      <c r="C275" s="285"/>
      <c r="D275" s="428"/>
      <c r="E275" s="610" t="s">
        <v>314</v>
      </c>
      <c r="F275" s="428"/>
      <c r="G275" s="429"/>
      <c r="H275" s="1520" t="s">
        <v>313</v>
      </c>
      <c r="I275" s="1521"/>
      <c r="J275" s="1522"/>
      <c r="K275" s="933">
        <f>K276+K280+K286</f>
        <v>15110000</v>
      </c>
      <c r="L275" s="1074">
        <f aca="true" t="shared" si="77" ref="L275:S275">L276+L280+L286</f>
        <v>10144381.26</v>
      </c>
      <c r="M275" s="1072">
        <f t="shared" si="77"/>
        <v>14050000</v>
      </c>
      <c r="N275" s="286">
        <f t="shared" si="77"/>
        <v>0</v>
      </c>
      <c r="O275" s="286">
        <f t="shared" si="77"/>
        <v>0</v>
      </c>
      <c r="P275" s="286">
        <f t="shared" si="77"/>
        <v>0</v>
      </c>
      <c r="Q275" s="286">
        <f t="shared" si="77"/>
        <v>1800000</v>
      </c>
      <c r="R275" s="286">
        <f t="shared" si="77"/>
        <v>0</v>
      </c>
      <c r="S275" s="286">
        <f t="shared" si="77"/>
        <v>0</v>
      </c>
      <c r="T275" s="334">
        <f t="shared" si="74"/>
        <v>1800000</v>
      </c>
      <c r="U275" s="845">
        <f t="shared" si="75"/>
        <v>15850000</v>
      </c>
      <c r="V275" s="652">
        <v>15850000</v>
      </c>
      <c r="W275" s="652">
        <v>15850000</v>
      </c>
    </row>
    <row r="276" spans="2:23" ht="14.25" customHeight="1">
      <c r="B276" s="284"/>
      <c r="C276" s="285"/>
      <c r="D276" s="428"/>
      <c r="E276" s="346" t="s">
        <v>1235</v>
      </c>
      <c r="F276" s="428"/>
      <c r="G276" s="429"/>
      <c r="H276" s="1489" t="s">
        <v>326</v>
      </c>
      <c r="I276" s="1490"/>
      <c r="J276" s="1491"/>
      <c r="K276" s="916">
        <f aca="true" t="shared" si="78" ref="K276:S276">K277</f>
        <v>9710000</v>
      </c>
      <c r="L276" s="1054">
        <f t="shared" si="78"/>
        <v>9641101.26</v>
      </c>
      <c r="M276" s="1062">
        <f t="shared" si="78"/>
        <v>8650000</v>
      </c>
      <c r="N276" s="290">
        <f t="shared" si="78"/>
        <v>0</v>
      </c>
      <c r="O276" s="290">
        <f t="shared" si="78"/>
        <v>0</v>
      </c>
      <c r="P276" s="290">
        <f t="shared" si="78"/>
        <v>0</v>
      </c>
      <c r="Q276" s="290">
        <f t="shared" si="78"/>
        <v>0</v>
      </c>
      <c r="R276" s="290">
        <f t="shared" si="78"/>
        <v>0</v>
      </c>
      <c r="S276" s="290">
        <f t="shared" si="78"/>
        <v>0</v>
      </c>
      <c r="T276" s="335">
        <f t="shared" si="74"/>
        <v>0</v>
      </c>
      <c r="U276" s="845">
        <f t="shared" si="75"/>
        <v>8650000</v>
      </c>
      <c r="V276" s="652">
        <v>8650000</v>
      </c>
      <c r="W276" s="652">
        <v>8650000</v>
      </c>
    </row>
    <row r="277" spans="2:23" s="42" customFormat="1" ht="12.75">
      <c r="B277" s="619"/>
      <c r="C277" s="620"/>
      <c r="D277" s="56">
        <v>510</v>
      </c>
      <c r="E277" s="180"/>
      <c r="F277" s="621"/>
      <c r="G277" s="622"/>
      <c r="H277" s="1526" t="s">
        <v>1237</v>
      </c>
      <c r="I277" s="1527"/>
      <c r="J277" s="1528"/>
      <c r="K277" s="751">
        <f aca="true" t="shared" si="79" ref="K277:S277">SUM(K278:K279)</f>
        <v>9710000</v>
      </c>
      <c r="L277" s="1090">
        <f t="shared" si="79"/>
        <v>9641101.26</v>
      </c>
      <c r="M277" s="838">
        <f t="shared" si="79"/>
        <v>8650000</v>
      </c>
      <c r="N277" s="379">
        <f t="shared" si="79"/>
        <v>0</v>
      </c>
      <c r="O277" s="379">
        <f t="shared" si="79"/>
        <v>0</v>
      </c>
      <c r="P277" s="379">
        <f t="shared" si="79"/>
        <v>0</v>
      </c>
      <c r="Q277" s="379">
        <f t="shared" si="79"/>
        <v>0</v>
      </c>
      <c r="R277" s="379">
        <f t="shared" si="79"/>
        <v>0</v>
      </c>
      <c r="S277" s="379">
        <f t="shared" si="79"/>
        <v>0</v>
      </c>
      <c r="T277" s="829">
        <f t="shared" si="74"/>
        <v>0</v>
      </c>
      <c r="U277" s="1175">
        <f t="shared" si="75"/>
        <v>8650000</v>
      </c>
      <c r="V277" s="375">
        <v>8650000</v>
      </c>
      <c r="W277" s="1175">
        <v>8650000</v>
      </c>
    </row>
    <row r="278" spans="2:23" s="356" customFormat="1" ht="12.75" customHeight="1">
      <c r="B278" s="369"/>
      <c r="C278" s="333"/>
      <c r="D278" s="370"/>
      <c r="E278" s="371"/>
      <c r="F278" s="363">
        <v>190</v>
      </c>
      <c r="G278" s="364">
        <v>424</v>
      </c>
      <c r="H278" s="1517" t="s">
        <v>1511</v>
      </c>
      <c r="I278" s="1518"/>
      <c r="J278" s="1519"/>
      <c r="K278" s="372">
        <v>1250000</v>
      </c>
      <c r="L278" s="372">
        <v>564487.2</v>
      </c>
      <c r="M278" s="372">
        <v>1250000</v>
      </c>
      <c r="N278" s="354">
        <v>0</v>
      </c>
      <c r="O278" s="407">
        <v>0</v>
      </c>
      <c r="P278" s="407">
        <v>0</v>
      </c>
      <c r="Q278" s="626">
        <v>0</v>
      </c>
      <c r="R278" s="408">
        <v>0</v>
      </c>
      <c r="S278" s="624">
        <v>0</v>
      </c>
      <c r="T278" s="624">
        <f t="shared" si="74"/>
        <v>0</v>
      </c>
      <c r="U278" s="844">
        <f t="shared" si="75"/>
        <v>1250000</v>
      </c>
      <c r="V278" s="376">
        <v>1250000</v>
      </c>
      <c r="W278" s="844">
        <v>1250000</v>
      </c>
    </row>
    <row r="279" spans="1:23" s="356" customFormat="1" ht="12.75">
      <c r="A279" s="356">
        <v>12600</v>
      </c>
      <c r="B279" s="369"/>
      <c r="C279" s="333"/>
      <c r="D279" s="370"/>
      <c r="E279" s="371"/>
      <c r="F279" s="363">
        <v>191</v>
      </c>
      <c r="G279" s="364">
        <v>451</v>
      </c>
      <c r="H279" s="1517" t="s">
        <v>1504</v>
      </c>
      <c r="I279" s="1518"/>
      <c r="J279" s="1519"/>
      <c r="K279" s="372">
        <v>8460000</v>
      </c>
      <c r="L279" s="372">
        <v>9076614.06</v>
      </c>
      <c r="M279" s="372">
        <v>7400000</v>
      </c>
      <c r="N279" s="354">
        <v>0</v>
      </c>
      <c r="O279" s="531">
        <v>0</v>
      </c>
      <c r="P279" s="414">
        <v>0</v>
      </c>
      <c r="Q279" s="414">
        <v>0</v>
      </c>
      <c r="R279" s="614">
        <v>0</v>
      </c>
      <c r="S279" s="625">
        <v>0</v>
      </c>
      <c r="T279" s="624">
        <f t="shared" si="74"/>
        <v>0</v>
      </c>
      <c r="U279" s="844">
        <f t="shared" si="75"/>
        <v>7400000</v>
      </c>
      <c r="V279" s="376">
        <v>7400000</v>
      </c>
      <c r="W279" s="844">
        <v>7400000</v>
      </c>
    </row>
    <row r="280" spans="2:23" ht="14.25" customHeight="1">
      <c r="B280" s="284"/>
      <c r="C280" s="285"/>
      <c r="D280" s="428"/>
      <c r="E280" s="346" t="s">
        <v>315</v>
      </c>
      <c r="F280" s="428"/>
      <c r="G280" s="429"/>
      <c r="H280" s="1489" t="s">
        <v>1236</v>
      </c>
      <c r="I280" s="1490"/>
      <c r="J280" s="1491"/>
      <c r="K280" s="916">
        <f aca="true" t="shared" si="80" ref="K280:S280">K281</f>
        <v>4900000</v>
      </c>
      <c r="L280" s="916">
        <f t="shared" si="80"/>
        <v>503280</v>
      </c>
      <c r="M280" s="916">
        <f t="shared" si="80"/>
        <v>4900000</v>
      </c>
      <c r="N280" s="290">
        <f t="shared" si="80"/>
        <v>0</v>
      </c>
      <c r="O280" s="290">
        <f t="shared" si="80"/>
        <v>0</v>
      </c>
      <c r="P280" s="290">
        <f t="shared" si="80"/>
        <v>0</v>
      </c>
      <c r="Q280" s="290">
        <f t="shared" si="80"/>
        <v>1800000</v>
      </c>
      <c r="R280" s="720">
        <f t="shared" si="80"/>
        <v>0</v>
      </c>
      <c r="S280" s="720">
        <f t="shared" si="80"/>
        <v>0</v>
      </c>
      <c r="T280" s="830">
        <f t="shared" si="74"/>
        <v>1800000</v>
      </c>
      <c r="U280" s="845">
        <f t="shared" si="75"/>
        <v>6700000</v>
      </c>
      <c r="V280" s="652">
        <v>6700000</v>
      </c>
      <c r="W280" s="652">
        <v>6700000</v>
      </c>
    </row>
    <row r="281" spans="2:23" s="42" customFormat="1" ht="12.75">
      <c r="B281" s="619"/>
      <c r="C281" s="620"/>
      <c r="D281" s="56">
        <v>560</v>
      </c>
      <c r="E281" s="180"/>
      <c r="F281" s="621"/>
      <c r="G281" s="622"/>
      <c r="H281" s="1526" t="s">
        <v>1238</v>
      </c>
      <c r="I281" s="1527"/>
      <c r="J281" s="1528"/>
      <c r="K281" s="751">
        <f>SUM(K282:K285)</f>
        <v>4900000</v>
      </c>
      <c r="L281" s="751">
        <f>SUM(L282:L285)</f>
        <v>503280</v>
      </c>
      <c r="M281" s="751">
        <f>SUM(M282:M285)</f>
        <v>4900000</v>
      </c>
      <c r="N281" s="379">
        <f aca="true" t="shared" si="81" ref="N281:S281">SUM(N282:N285)</f>
        <v>0</v>
      </c>
      <c r="O281" s="379">
        <f t="shared" si="81"/>
        <v>0</v>
      </c>
      <c r="P281" s="379">
        <f t="shared" si="81"/>
        <v>0</v>
      </c>
      <c r="Q281" s="730">
        <f t="shared" si="81"/>
        <v>1800000</v>
      </c>
      <c r="R281" s="734">
        <f t="shared" si="81"/>
        <v>0</v>
      </c>
      <c r="S281" s="734">
        <f t="shared" si="81"/>
        <v>0</v>
      </c>
      <c r="T281" s="831">
        <f t="shared" si="74"/>
        <v>1800000</v>
      </c>
      <c r="U281" s="1175">
        <f t="shared" si="75"/>
        <v>6700000</v>
      </c>
      <c r="V281" s="375">
        <v>6700000</v>
      </c>
      <c r="W281" s="1175">
        <v>6700000</v>
      </c>
    </row>
    <row r="282" spans="2:23" s="356" customFormat="1" ht="12.75">
      <c r="B282" s="350"/>
      <c r="C282" s="59"/>
      <c r="D282" s="56"/>
      <c r="E282" s="180"/>
      <c r="F282" s="363">
        <v>192</v>
      </c>
      <c r="G282" s="353">
        <v>424</v>
      </c>
      <c r="H282" s="1508" t="s">
        <v>1433</v>
      </c>
      <c r="I282" s="1509"/>
      <c r="J282" s="1510"/>
      <c r="K282" s="936">
        <v>1300000</v>
      </c>
      <c r="L282" s="936">
        <v>0</v>
      </c>
      <c r="M282" s="936">
        <v>1300000</v>
      </c>
      <c r="N282" s="354">
        <v>0</v>
      </c>
      <c r="O282" s="421">
        <v>0</v>
      </c>
      <c r="P282" s="421">
        <v>0</v>
      </c>
      <c r="Q282" s="462">
        <v>1800000</v>
      </c>
      <c r="R282" s="614">
        <v>0</v>
      </c>
      <c r="S282" s="614">
        <v>0</v>
      </c>
      <c r="T282" s="731">
        <f t="shared" si="74"/>
        <v>1800000</v>
      </c>
      <c r="U282" s="844">
        <f t="shared" si="75"/>
        <v>3100000</v>
      </c>
      <c r="V282" s="376">
        <v>3100000</v>
      </c>
      <c r="W282" s="844">
        <v>3100000</v>
      </c>
    </row>
    <row r="283" spans="2:23" s="356" customFormat="1" ht="12.75">
      <c r="B283" s="369"/>
      <c r="C283" s="333"/>
      <c r="D283" s="60"/>
      <c r="E283" s="536"/>
      <c r="F283" s="363">
        <v>193</v>
      </c>
      <c r="G283" s="364">
        <v>424</v>
      </c>
      <c r="H283" s="367" t="s">
        <v>1400</v>
      </c>
      <c r="I283" s="717"/>
      <c r="J283" s="717"/>
      <c r="K283" s="540">
        <v>3000000</v>
      </c>
      <c r="L283" s="540">
        <v>503280</v>
      </c>
      <c r="M283" s="540">
        <v>3000000</v>
      </c>
      <c r="N283" s="354">
        <v>0</v>
      </c>
      <c r="O283" s="627">
        <v>0</v>
      </c>
      <c r="P283" s="420">
        <v>0</v>
      </c>
      <c r="Q283" s="731">
        <v>0</v>
      </c>
      <c r="R283" s="614">
        <v>0</v>
      </c>
      <c r="S283" s="614">
        <v>0</v>
      </c>
      <c r="T283" s="731">
        <f t="shared" si="74"/>
        <v>0</v>
      </c>
      <c r="U283" s="844">
        <f t="shared" si="75"/>
        <v>3000000</v>
      </c>
      <c r="V283" s="376">
        <v>3000000</v>
      </c>
      <c r="W283" s="844">
        <v>3000000</v>
      </c>
    </row>
    <row r="284" spans="2:23" s="356" customFormat="1" ht="12.75">
      <c r="B284" s="369"/>
      <c r="C284" s="333"/>
      <c r="D284" s="60"/>
      <c r="E284" s="536"/>
      <c r="F284" s="363">
        <v>194</v>
      </c>
      <c r="G284" s="364">
        <v>481</v>
      </c>
      <c r="H284" s="1560" t="s">
        <v>165</v>
      </c>
      <c r="I284" s="1554"/>
      <c r="J284" s="1554"/>
      <c r="K284" s="540">
        <v>100000</v>
      </c>
      <c r="L284" s="540">
        <v>0</v>
      </c>
      <c r="M284" s="540">
        <v>100000</v>
      </c>
      <c r="N284" s="354">
        <v>0</v>
      </c>
      <c r="O284" s="627">
        <v>0</v>
      </c>
      <c r="P284" s="627">
        <v>0</v>
      </c>
      <c r="Q284" s="732">
        <v>0</v>
      </c>
      <c r="R284" s="614">
        <v>0</v>
      </c>
      <c r="S284" s="614">
        <v>0</v>
      </c>
      <c r="T284" s="731">
        <f t="shared" si="74"/>
        <v>0</v>
      </c>
      <c r="U284" s="844">
        <f t="shared" si="75"/>
        <v>100000</v>
      </c>
      <c r="V284" s="376">
        <v>100000</v>
      </c>
      <c r="W284" s="844">
        <v>100000</v>
      </c>
    </row>
    <row r="285" spans="2:23" s="356" customFormat="1" ht="12.75">
      <c r="B285" s="369"/>
      <c r="C285" s="333"/>
      <c r="D285" s="60"/>
      <c r="E285" s="536"/>
      <c r="F285" s="363">
        <v>195</v>
      </c>
      <c r="G285" s="364">
        <v>424</v>
      </c>
      <c r="H285" s="1559" t="s">
        <v>1425</v>
      </c>
      <c r="I285" s="1524"/>
      <c r="J285" s="1524"/>
      <c r="K285" s="540">
        <v>500000</v>
      </c>
      <c r="L285" s="540">
        <v>0</v>
      </c>
      <c r="M285" s="540">
        <v>500000</v>
      </c>
      <c r="N285" s="354">
        <v>0</v>
      </c>
      <c r="O285" s="627">
        <v>0</v>
      </c>
      <c r="P285" s="420">
        <v>0</v>
      </c>
      <c r="Q285" s="733">
        <v>0</v>
      </c>
      <c r="R285" s="614">
        <v>0</v>
      </c>
      <c r="S285" s="614">
        <v>0</v>
      </c>
      <c r="T285" s="731">
        <f t="shared" si="74"/>
        <v>0</v>
      </c>
      <c r="U285" s="844">
        <f t="shared" si="75"/>
        <v>500000</v>
      </c>
      <c r="V285" s="376">
        <v>500000</v>
      </c>
      <c r="W285" s="844">
        <v>500000</v>
      </c>
    </row>
    <row r="286" spans="2:23" ht="14.25" customHeight="1">
      <c r="B286" s="284"/>
      <c r="C286" s="285"/>
      <c r="D286" s="428"/>
      <c r="E286" s="346" t="s">
        <v>848</v>
      </c>
      <c r="F286" s="428"/>
      <c r="G286" s="429"/>
      <c r="H286" s="1489" t="s">
        <v>1347</v>
      </c>
      <c r="I286" s="1564"/>
      <c r="J286" s="1565"/>
      <c r="K286" s="937">
        <f>K287</f>
        <v>500000</v>
      </c>
      <c r="L286" s="937">
        <f>L287</f>
        <v>0</v>
      </c>
      <c r="M286" s="937">
        <f>M287</f>
        <v>500000</v>
      </c>
      <c r="N286" s="290">
        <f aca="true" t="shared" si="82" ref="N286:S286">N287</f>
        <v>0</v>
      </c>
      <c r="O286" s="290">
        <f t="shared" si="82"/>
        <v>0</v>
      </c>
      <c r="P286" s="290">
        <f t="shared" si="82"/>
        <v>0</v>
      </c>
      <c r="Q286" s="290">
        <f t="shared" si="82"/>
        <v>0</v>
      </c>
      <c r="R286" s="290">
        <f t="shared" si="82"/>
        <v>0</v>
      </c>
      <c r="S286" s="290">
        <f t="shared" si="82"/>
        <v>0</v>
      </c>
      <c r="T286" s="335">
        <f t="shared" si="74"/>
        <v>0</v>
      </c>
      <c r="U286" s="845">
        <f t="shared" si="75"/>
        <v>500000</v>
      </c>
      <c r="V286" s="652">
        <v>500000</v>
      </c>
      <c r="W286" s="652">
        <v>500000</v>
      </c>
    </row>
    <row r="287" spans="2:23" s="42" customFormat="1" ht="12.75">
      <c r="B287" s="619"/>
      <c r="C287" s="620"/>
      <c r="D287" s="56">
        <v>520</v>
      </c>
      <c r="E287" s="180"/>
      <c r="F287" s="621"/>
      <c r="G287" s="622"/>
      <c r="H287" s="1526" t="s">
        <v>1347</v>
      </c>
      <c r="I287" s="1527"/>
      <c r="J287" s="1528"/>
      <c r="K287" s="751">
        <f aca="true" t="shared" si="83" ref="K287:S287">SUM(K288:K288)</f>
        <v>500000</v>
      </c>
      <c r="L287" s="751">
        <f t="shared" si="83"/>
        <v>0</v>
      </c>
      <c r="M287" s="751">
        <f t="shared" si="83"/>
        <v>500000</v>
      </c>
      <c r="N287" s="379">
        <f t="shared" si="83"/>
        <v>0</v>
      </c>
      <c r="O287" s="379">
        <f t="shared" si="83"/>
        <v>0</v>
      </c>
      <c r="P287" s="379">
        <f t="shared" si="83"/>
        <v>0</v>
      </c>
      <c r="Q287" s="379">
        <f t="shared" si="83"/>
        <v>0</v>
      </c>
      <c r="R287" s="379">
        <f t="shared" si="83"/>
        <v>0</v>
      </c>
      <c r="S287" s="379">
        <f t="shared" si="83"/>
        <v>0</v>
      </c>
      <c r="T287" s="829">
        <f t="shared" si="74"/>
        <v>0</v>
      </c>
      <c r="U287" s="1175">
        <f t="shared" si="75"/>
        <v>500000</v>
      </c>
      <c r="V287" s="375">
        <v>500000</v>
      </c>
      <c r="W287" s="1175">
        <v>500000</v>
      </c>
    </row>
    <row r="288" spans="2:23" s="356" customFormat="1" ht="12.75" customHeight="1">
      <c r="B288" s="369"/>
      <c r="C288" s="333"/>
      <c r="D288" s="370"/>
      <c r="E288" s="371"/>
      <c r="F288" s="363">
        <v>196</v>
      </c>
      <c r="G288" s="364">
        <v>425</v>
      </c>
      <c r="H288" s="1517" t="s">
        <v>1401</v>
      </c>
      <c r="I288" s="1518"/>
      <c r="J288" s="1519"/>
      <c r="K288" s="372">
        <v>500000</v>
      </c>
      <c r="L288" s="372">
        <v>0</v>
      </c>
      <c r="M288" s="372">
        <v>500000</v>
      </c>
      <c r="N288" s="354">
        <v>0</v>
      </c>
      <c r="O288" s="407">
        <v>0</v>
      </c>
      <c r="P288" s="740">
        <v>0</v>
      </c>
      <c r="Q288" s="626">
        <v>0</v>
      </c>
      <c r="R288" s="462">
        <v>0</v>
      </c>
      <c r="S288" s="741">
        <v>0</v>
      </c>
      <c r="T288" s="624">
        <f t="shared" si="74"/>
        <v>0</v>
      </c>
      <c r="U288" s="844">
        <f t="shared" si="75"/>
        <v>500000</v>
      </c>
      <c r="V288" s="376">
        <v>500000</v>
      </c>
      <c r="W288" s="844">
        <v>500000</v>
      </c>
    </row>
    <row r="289" spans="2:23" ht="12.75">
      <c r="B289" s="284"/>
      <c r="C289" s="285"/>
      <c r="D289" s="428"/>
      <c r="E289" s="610" t="s">
        <v>1246</v>
      </c>
      <c r="F289" s="428"/>
      <c r="G289" s="429"/>
      <c r="H289" s="1573" t="s">
        <v>319</v>
      </c>
      <c r="I289" s="1574"/>
      <c r="J289" s="1575"/>
      <c r="K289" s="933">
        <f>K290+K294+K299+K304+K309</f>
        <v>42300000</v>
      </c>
      <c r="L289" s="933">
        <f aca="true" t="shared" si="84" ref="L289:S289">L290+L294+L299+L304+L309</f>
        <v>12187638.62</v>
      </c>
      <c r="M289" s="933">
        <f t="shared" si="84"/>
        <v>39950000</v>
      </c>
      <c r="N289" s="286">
        <f t="shared" si="84"/>
        <v>0</v>
      </c>
      <c r="O289" s="286">
        <f t="shared" si="84"/>
        <v>0</v>
      </c>
      <c r="P289" s="286">
        <f t="shared" si="84"/>
        <v>0</v>
      </c>
      <c r="Q289" s="286">
        <f t="shared" si="84"/>
        <v>700000</v>
      </c>
      <c r="R289" s="286">
        <f t="shared" si="84"/>
        <v>0</v>
      </c>
      <c r="S289" s="286">
        <f t="shared" si="84"/>
        <v>0</v>
      </c>
      <c r="T289" s="334">
        <f t="shared" si="74"/>
        <v>700000</v>
      </c>
      <c r="U289" s="845">
        <f t="shared" si="75"/>
        <v>40650000</v>
      </c>
      <c r="V289" s="652">
        <v>40650000</v>
      </c>
      <c r="W289" s="652">
        <v>40650000</v>
      </c>
    </row>
    <row r="290" spans="2:23" ht="12.75" customHeight="1">
      <c r="B290" s="284"/>
      <c r="C290" s="285"/>
      <c r="D290" s="428"/>
      <c r="E290" s="346" t="s">
        <v>1241</v>
      </c>
      <c r="F290" s="428"/>
      <c r="G290" s="429"/>
      <c r="H290" s="1489" t="s">
        <v>1326</v>
      </c>
      <c r="I290" s="1490"/>
      <c r="J290" s="1491"/>
      <c r="K290" s="916">
        <f aca="true" t="shared" si="85" ref="K290:S290">K291</f>
        <v>8850000</v>
      </c>
      <c r="L290" s="916">
        <f t="shared" si="85"/>
        <v>5151804.58</v>
      </c>
      <c r="M290" s="916">
        <f t="shared" si="85"/>
        <v>9150000</v>
      </c>
      <c r="N290" s="290">
        <f t="shared" si="85"/>
        <v>0</v>
      </c>
      <c r="O290" s="290">
        <f t="shared" si="85"/>
        <v>0</v>
      </c>
      <c r="P290" s="290">
        <f t="shared" si="85"/>
        <v>0</v>
      </c>
      <c r="Q290" s="290">
        <f t="shared" si="85"/>
        <v>700000</v>
      </c>
      <c r="R290" s="290">
        <f t="shared" si="85"/>
        <v>0</v>
      </c>
      <c r="S290" s="290">
        <f t="shared" si="85"/>
        <v>0</v>
      </c>
      <c r="T290" s="335">
        <f t="shared" si="74"/>
        <v>700000</v>
      </c>
      <c r="U290" s="845">
        <f t="shared" si="75"/>
        <v>9850000</v>
      </c>
      <c r="V290" s="652">
        <v>9850000</v>
      </c>
      <c r="W290" s="652">
        <v>9850000</v>
      </c>
    </row>
    <row r="291" spans="2:23" s="356" customFormat="1" ht="13.5" customHeight="1">
      <c r="B291" s="328"/>
      <c r="C291" s="329"/>
      <c r="D291" s="332">
        <v>640</v>
      </c>
      <c r="E291" s="362"/>
      <c r="F291" s="363"/>
      <c r="G291" s="364"/>
      <c r="H291" s="1501" t="s">
        <v>172</v>
      </c>
      <c r="I291" s="1502"/>
      <c r="J291" s="1568"/>
      <c r="K291" s="941">
        <f>SUM(K292:K293)</f>
        <v>8850000</v>
      </c>
      <c r="L291" s="941">
        <f>SUM(L292:L293)</f>
        <v>5151804.58</v>
      </c>
      <c r="M291" s="1076">
        <f>SUM(M292:M293)</f>
        <v>9150000</v>
      </c>
      <c r="N291" s="330">
        <f aca="true" t="shared" si="86" ref="N291:S291">SUM(N292:N293)</f>
        <v>0</v>
      </c>
      <c r="O291" s="330">
        <f t="shared" si="86"/>
        <v>0</v>
      </c>
      <c r="P291" s="330">
        <f t="shared" si="86"/>
        <v>0</v>
      </c>
      <c r="Q291" s="330">
        <f t="shared" si="86"/>
        <v>700000</v>
      </c>
      <c r="R291" s="330">
        <f t="shared" si="86"/>
        <v>0</v>
      </c>
      <c r="S291" s="330">
        <f t="shared" si="86"/>
        <v>0</v>
      </c>
      <c r="T291" s="341">
        <f t="shared" si="74"/>
        <v>700000</v>
      </c>
      <c r="U291" s="1175">
        <f t="shared" si="75"/>
        <v>9850000</v>
      </c>
      <c r="V291" s="375">
        <v>9850000</v>
      </c>
      <c r="W291" s="1175">
        <v>9850000</v>
      </c>
    </row>
    <row r="292" spans="2:23" s="356" customFormat="1" ht="13.5" customHeight="1">
      <c r="B292" s="350"/>
      <c r="C292" s="357"/>
      <c r="D292" s="352"/>
      <c r="E292" s="357"/>
      <c r="F292" s="368">
        <v>197</v>
      </c>
      <c r="G292" s="444">
        <v>421</v>
      </c>
      <c r="H292" s="1535" t="s">
        <v>33</v>
      </c>
      <c r="I292" s="1536"/>
      <c r="J292" s="1572"/>
      <c r="K292" s="936">
        <v>8000000</v>
      </c>
      <c r="L292" s="1075">
        <v>4560444.42</v>
      </c>
      <c r="M292" s="540">
        <v>8000000</v>
      </c>
      <c r="N292" s="354">
        <v>0</v>
      </c>
      <c r="O292" s="411">
        <v>0</v>
      </c>
      <c r="P292" s="411">
        <v>0</v>
      </c>
      <c r="Q292" s="408">
        <v>700000</v>
      </c>
      <c r="R292" s="408">
        <v>0</v>
      </c>
      <c r="S292" s="414">
        <v>0</v>
      </c>
      <c r="T292" s="417">
        <f t="shared" si="74"/>
        <v>700000</v>
      </c>
      <c r="U292" s="844">
        <f t="shared" si="75"/>
        <v>8700000</v>
      </c>
      <c r="V292" s="608">
        <v>8700000</v>
      </c>
      <c r="W292" s="844">
        <v>8700000</v>
      </c>
    </row>
    <row r="293" spans="2:23" s="356" customFormat="1" ht="12.75">
      <c r="B293" s="369"/>
      <c r="C293" s="362"/>
      <c r="D293" s="363"/>
      <c r="E293" s="362"/>
      <c r="F293" s="463">
        <v>198</v>
      </c>
      <c r="G293" s="464">
        <v>425</v>
      </c>
      <c r="H293" s="694" t="s">
        <v>91</v>
      </c>
      <c r="I293" s="694"/>
      <c r="J293" s="694"/>
      <c r="K293" s="924">
        <v>850000</v>
      </c>
      <c r="L293" s="924">
        <v>591360.1599999999</v>
      </c>
      <c r="M293" s="540">
        <v>1150000</v>
      </c>
      <c r="N293" s="354">
        <v>0</v>
      </c>
      <c r="O293" s="405">
        <v>0</v>
      </c>
      <c r="P293" s="405">
        <v>0</v>
      </c>
      <c r="Q293" s="420">
        <v>0</v>
      </c>
      <c r="R293" s="408">
        <v>0</v>
      </c>
      <c r="S293" s="422">
        <v>0</v>
      </c>
      <c r="T293" s="422">
        <f t="shared" si="74"/>
        <v>0</v>
      </c>
      <c r="U293" s="844">
        <f t="shared" si="75"/>
        <v>1150000</v>
      </c>
      <c r="V293" s="608">
        <v>1150000</v>
      </c>
      <c r="W293" s="844">
        <v>1150000</v>
      </c>
    </row>
    <row r="294" spans="2:23" ht="12.75" customHeight="1">
      <c r="B294" s="284"/>
      <c r="C294" s="285"/>
      <c r="D294" s="428"/>
      <c r="E294" s="346" t="s">
        <v>1242</v>
      </c>
      <c r="F294" s="428"/>
      <c r="G294" s="429"/>
      <c r="H294" s="1489" t="s">
        <v>1239</v>
      </c>
      <c r="I294" s="1490"/>
      <c r="J294" s="1491"/>
      <c r="K294" s="916">
        <f>K295</f>
        <v>17000000</v>
      </c>
      <c r="L294" s="1054">
        <f>L295</f>
        <v>4946781.039999999</v>
      </c>
      <c r="M294" s="1062">
        <f>M295</f>
        <v>17000000</v>
      </c>
      <c r="N294" s="290">
        <f aca="true" t="shared" si="87" ref="N294:S294">N295</f>
        <v>0</v>
      </c>
      <c r="O294" s="290">
        <f t="shared" si="87"/>
        <v>0</v>
      </c>
      <c r="P294" s="290">
        <f t="shared" si="87"/>
        <v>0</v>
      </c>
      <c r="Q294" s="290">
        <f t="shared" si="87"/>
        <v>0</v>
      </c>
      <c r="R294" s="290">
        <f t="shared" si="87"/>
        <v>0</v>
      </c>
      <c r="S294" s="290">
        <f t="shared" si="87"/>
        <v>0</v>
      </c>
      <c r="T294" s="335">
        <f t="shared" si="74"/>
        <v>0</v>
      </c>
      <c r="U294" s="845">
        <f t="shared" si="75"/>
        <v>17000000</v>
      </c>
      <c r="V294" s="652">
        <v>17000000</v>
      </c>
      <c r="W294" s="652">
        <v>17000000</v>
      </c>
    </row>
    <row r="295" spans="2:23" s="356" customFormat="1" ht="12.75">
      <c r="B295" s="350"/>
      <c r="C295" s="357"/>
      <c r="D295" s="56">
        <v>540</v>
      </c>
      <c r="E295" s="180"/>
      <c r="F295" s="352"/>
      <c r="G295" s="353"/>
      <c r="H295" s="73" t="s">
        <v>1256</v>
      </c>
      <c r="I295" s="74"/>
      <c r="J295" s="445"/>
      <c r="K295" s="927">
        <f aca="true" t="shared" si="88" ref="K295:S295">SUM(K296:K298)</f>
        <v>17000000</v>
      </c>
      <c r="L295" s="953">
        <f t="shared" si="88"/>
        <v>4946781.039999999</v>
      </c>
      <c r="M295" s="726">
        <f t="shared" si="88"/>
        <v>17000000</v>
      </c>
      <c r="N295" s="65">
        <f t="shared" si="88"/>
        <v>0</v>
      </c>
      <c r="O295" s="65">
        <f t="shared" si="88"/>
        <v>0</v>
      </c>
      <c r="P295" s="65">
        <f t="shared" si="88"/>
        <v>0</v>
      </c>
      <c r="Q295" s="65">
        <f t="shared" si="88"/>
        <v>0</v>
      </c>
      <c r="R295" s="65">
        <f t="shared" si="88"/>
        <v>0</v>
      </c>
      <c r="S295" s="65">
        <f t="shared" si="88"/>
        <v>0</v>
      </c>
      <c r="T295" s="339">
        <f t="shared" si="74"/>
        <v>0</v>
      </c>
      <c r="U295" s="1175">
        <f t="shared" si="75"/>
        <v>17000000</v>
      </c>
      <c r="V295" s="375">
        <v>17000000</v>
      </c>
      <c r="W295" s="1175">
        <v>17000000</v>
      </c>
    </row>
    <row r="296" spans="2:23" s="356" customFormat="1" ht="12.75">
      <c r="B296" s="350"/>
      <c r="C296" s="357"/>
      <c r="D296" s="352"/>
      <c r="E296" s="357"/>
      <c r="F296" s="368">
        <v>199</v>
      </c>
      <c r="G296" s="444">
        <v>424</v>
      </c>
      <c r="H296" s="1517" t="s">
        <v>1426</v>
      </c>
      <c r="I296" s="1518"/>
      <c r="J296" s="1519"/>
      <c r="K296" s="746">
        <v>10000000</v>
      </c>
      <c r="L296" s="359">
        <v>4111081.8399999994</v>
      </c>
      <c r="M296" s="540">
        <v>10000000</v>
      </c>
      <c r="N296" s="354">
        <v>0</v>
      </c>
      <c r="O296" s="411">
        <v>0</v>
      </c>
      <c r="P296" s="411">
        <v>0</v>
      </c>
      <c r="Q296" s="408">
        <v>0</v>
      </c>
      <c r="R296" s="408">
        <v>0</v>
      </c>
      <c r="S296" s="414">
        <v>0</v>
      </c>
      <c r="T296" s="417">
        <f t="shared" si="74"/>
        <v>0</v>
      </c>
      <c r="U296" s="844">
        <f t="shared" si="75"/>
        <v>10000000</v>
      </c>
      <c r="V296" s="608">
        <v>10000000</v>
      </c>
      <c r="W296" s="844">
        <v>10000000</v>
      </c>
    </row>
    <row r="297" spans="2:23" s="356" customFormat="1" ht="12.75">
      <c r="B297" s="350"/>
      <c r="C297" s="357"/>
      <c r="D297" s="352"/>
      <c r="E297" s="357"/>
      <c r="F297" s="368">
        <v>200</v>
      </c>
      <c r="G297" s="444">
        <v>424</v>
      </c>
      <c r="H297" s="1517" t="s">
        <v>1427</v>
      </c>
      <c r="I297" s="1518"/>
      <c r="J297" s="1519"/>
      <c r="K297" s="746">
        <v>500000</v>
      </c>
      <c r="L297" s="359">
        <v>27360</v>
      </c>
      <c r="M297" s="540">
        <v>500000</v>
      </c>
      <c r="N297" s="417">
        <v>0</v>
      </c>
      <c r="O297" s="414">
        <v>0</v>
      </c>
      <c r="P297" s="414">
        <v>0</v>
      </c>
      <c r="Q297" s="414">
        <v>0</v>
      </c>
      <c r="R297" s="414">
        <v>0</v>
      </c>
      <c r="S297" s="414">
        <v>0</v>
      </c>
      <c r="T297" s="417"/>
      <c r="U297" s="844">
        <f t="shared" si="75"/>
        <v>500000</v>
      </c>
      <c r="V297" s="608">
        <v>500000</v>
      </c>
      <c r="W297" s="844">
        <v>500000</v>
      </c>
    </row>
    <row r="298" spans="2:23" s="356" customFormat="1" ht="12.75">
      <c r="B298" s="350"/>
      <c r="C298" s="59"/>
      <c r="D298" s="56"/>
      <c r="E298" s="180"/>
      <c r="F298" s="368">
        <v>201</v>
      </c>
      <c r="G298" s="353">
        <v>425</v>
      </c>
      <c r="H298" s="1517" t="s">
        <v>1512</v>
      </c>
      <c r="I298" s="1518"/>
      <c r="J298" s="1519"/>
      <c r="K298" s="746">
        <v>6500000</v>
      </c>
      <c r="L298" s="359">
        <v>808339.2</v>
      </c>
      <c r="M298" s="540">
        <v>6500000</v>
      </c>
      <c r="N298" s="354">
        <v>0</v>
      </c>
      <c r="O298" s="421">
        <v>0</v>
      </c>
      <c r="P298" s="421">
        <v>0</v>
      </c>
      <c r="Q298" s="408">
        <v>0</v>
      </c>
      <c r="R298" s="414">
        <v>0</v>
      </c>
      <c r="S298" s="414">
        <v>0</v>
      </c>
      <c r="T298" s="409">
        <f t="shared" si="74"/>
        <v>0</v>
      </c>
      <c r="U298" s="844">
        <f t="shared" si="75"/>
        <v>6500000</v>
      </c>
      <c r="V298" s="376">
        <v>6500000</v>
      </c>
      <c r="W298" s="844">
        <v>6500000</v>
      </c>
    </row>
    <row r="299" spans="2:23" ht="14.25" customHeight="1">
      <c r="B299" s="284"/>
      <c r="C299" s="285"/>
      <c r="D299" s="428"/>
      <c r="E299" s="346" t="s">
        <v>1244</v>
      </c>
      <c r="F299" s="428"/>
      <c r="G299" s="429"/>
      <c r="H299" s="1489" t="s">
        <v>1328</v>
      </c>
      <c r="I299" s="1490"/>
      <c r="J299" s="1491"/>
      <c r="K299" s="916">
        <f>K300</f>
        <v>5500000</v>
      </c>
      <c r="L299" s="1054">
        <f>L300</f>
        <v>819253</v>
      </c>
      <c r="M299" s="1062">
        <f>M300</f>
        <v>5500000</v>
      </c>
      <c r="N299" s="290">
        <f aca="true" t="shared" si="89" ref="N299:S299">N300</f>
        <v>0</v>
      </c>
      <c r="O299" s="290">
        <f t="shared" si="89"/>
        <v>0</v>
      </c>
      <c r="P299" s="290">
        <f t="shared" si="89"/>
        <v>0</v>
      </c>
      <c r="Q299" s="290">
        <f t="shared" si="89"/>
        <v>0</v>
      </c>
      <c r="R299" s="290">
        <f t="shared" si="89"/>
        <v>0</v>
      </c>
      <c r="S299" s="335">
        <f t="shared" si="89"/>
        <v>0</v>
      </c>
      <c r="T299" s="335">
        <f t="shared" si="74"/>
        <v>0</v>
      </c>
      <c r="U299" s="845">
        <f t="shared" si="75"/>
        <v>5500000</v>
      </c>
      <c r="V299" s="652">
        <v>5500000</v>
      </c>
      <c r="W299" s="652">
        <v>5500000</v>
      </c>
    </row>
    <row r="300" spans="2:23" ht="12.75">
      <c r="B300" s="350"/>
      <c r="C300" s="59"/>
      <c r="D300" s="56">
        <v>630</v>
      </c>
      <c r="E300" s="180"/>
      <c r="F300" s="352"/>
      <c r="G300" s="353"/>
      <c r="H300" s="1526" t="s">
        <v>327</v>
      </c>
      <c r="I300" s="1527"/>
      <c r="J300" s="1468"/>
      <c r="K300" s="623">
        <f>SUM(K301:K303)</f>
        <v>5500000</v>
      </c>
      <c r="L300" s="829">
        <f>SUM(L301:L303)</f>
        <v>819253</v>
      </c>
      <c r="M300" s="734">
        <f>SUM(M301:M303)</f>
        <v>5500000</v>
      </c>
      <c r="N300" s="379">
        <f aca="true" t="shared" si="90" ref="N300:T300">SUM(N302:N303)</f>
        <v>0</v>
      </c>
      <c r="O300" s="379">
        <f t="shared" si="90"/>
        <v>0</v>
      </c>
      <c r="P300" s="379">
        <f t="shared" si="90"/>
        <v>0</v>
      </c>
      <c r="Q300" s="379">
        <f t="shared" si="90"/>
        <v>0</v>
      </c>
      <c r="R300" s="379">
        <f t="shared" si="90"/>
        <v>0</v>
      </c>
      <c r="S300" s="379">
        <f t="shared" si="90"/>
        <v>0</v>
      </c>
      <c r="T300" s="379">
        <f t="shared" si="90"/>
        <v>0</v>
      </c>
      <c r="U300" s="1175">
        <f t="shared" si="75"/>
        <v>5500000</v>
      </c>
      <c r="V300" s="837">
        <v>5500000</v>
      </c>
      <c r="W300" s="1175">
        <v>5500000</v>
      </c>
    </row>
    <row r="301" spans="2:23" ht="12.75">
      <c r="B301" s="369"/>
      <c r="C301" s="333"/>
      <c r="D301" s="60"/>
      <c r="E301" s="536"/>
      <c r="F301" s="364">
        <v>202</v>
      </c>
      <c r="G301" s="364">
        <v>424</v>
      </c>
      <c r="H301" s="348" t="s">
        <v>1502</v>
      </c>
      <c r="I301" s="442"/>
      <c r="J301" s="735"/>
      <c r="K301" s="726">
        <v>2600000</v>
      </c>
      <c r="L301" s="726">
        <v>703885</v>
      </c>
      <c r="M301" s="726">
        <v>2600000</v>
      </c>
      <c r="N301" s="523">
        <v>0</v>
      </c>
      <c r="O301" s="523">
        <v>0</v>
      </c>
      <c r="P301" s="725">
        <v>0</v>
      </c>
      <c r="Q301" s="939">
        <v>0</v>
      </c>
      <c r="R301" s="939">
        <v>0</v>
      </c>
      <c r="S301" s="939">
        <v>0</v>
      </c>
      <c r="T301" s="730"/>
      <c r="U301" s="844">
        <f t="shared" si="75"/>
        <v>2600000</v>
      </c>
      <c r="V301" s="766">
        <v>2600000</v>
      </c>
      <c r="W301" s="844">
        <v>2600000</v>
      </c>
    </row>
    <row r="302" spans="2:23" ht="12.75">
      <c r="B302" s="369"/>
      <c r="C302" s="333"/>
      <c r="D302" s="60"/>
      <c r="E302" s="536"/>
      <c r="F302" s="790">
        <v>203</v>
      </c>
      <c r="G302" s="364">
        <v>425</v>
      </c>
      <c r="H302" s="348" t="s">
        <v>1561</v>
      </c>
      <c r="I302" s="74"/>
      <c r="J302" s="1469"/>
      <c r="K302" s="726">
        <v>1500000</v>
      </c>
      <c r="L302" s="726">
        <v>115368</v>
      </c>
      <c r="M302" s="726">
        <v>1500000</v>
      </c>
      <c r="N302" s="523">
        <v>0</v>
      </c>
      <c r="O302" s="523">
        <v>0</v>
      </c>
      <c r="P302" s="725">
        <v>0</v>
      </c>
      <c r="Q302" s="939">
        <v>0</v>
      </c>
      <c r="R302" s="939">
        <v>0</v>
      </c>
      <c r="S302" s="939">
        <v>0</v>
      </c>
      <c r="T302" s="728"/>
      <c r="U302" s="844">
        <f t="shared" si="75"/>
        <v>1500000</v>
      </c>
      <c r="V302" s="766">
        <v>1500000</v>
      </c>
      <c r="W302" s="844">
        <v>1500000</v>
      </c>
    </row>
    <row r="303" spans="2:23" s="360" customFormat="1" ht="25.5" customHeight="1">
      <c r="B303" s="769"/>
      <c r="C303" s="788"/>
      <c r="D303" s="789"/>
      <c r="E303" s="770"/>
      <c r="F303" s="790">
        <v>204</v>
      </c>
      <c r="G303" s="790">
        <v>511</v>
      </c>
      <c r="H303" s="1569" t="s">
        <v>1501</v>
      </c>
      <c r="I303" s="1570"/>
      <c r="J303" s="1571"/>
      <c r="K303" s="942">
        <v>1400000</v>
      </c>
      <c r="L303" s="942">
        <v>0</v>
      </c>
      <c r="M303" s="942">
        <v>1400000</v>
      </c>
      <c r="N303" s="782">
        <v>0</v>
      </c>
      <c r="O303" s="365">
        <v>0</v>
      </c>
      <c r="P303" s="366">
        <v>0</v>
      </c>
      <c r="Q303" s="376">
        <v>0</v>
      </c>
      <c r="R303" s="376">
        <v>0</v>
      </c>
      <c r="S303" s="376">
        <v>0</v>
      </c>
      <c r="T303" s="832">
        <f t="shared" si="74"/>
        <v>0</v>
      </c>
      <c r="U303" s="844">
        <f t="shared" si="75"/>
        <v>1400000</v>
      </c>
      <c r="V303" s="844">
        <v>1400000</v>
      </c>
      <c r="W303" s="844">
        <v>1400000</v>
      </c>
    </row>
    <row r="304" spans="2:23" ht="14.25" customHeight="1">
      <c r="B304" s="284"/>
      <c r="C304" s="285"/>
      <c r="D304" s="428"/>
      <c r="E304" s="346" t="s">
        <v>1245</v>
      </c>
      <c r="F304" s="428"/>
      <c r="G304" s="429"/>
      <c r="H304" s="1489" t="s">
        <v>1240</v>
      </c>
      <c r="I304" s="1490"/>
      <c r="J304" s="1491"/>
      <c r="K304" s="916">
        <f aca="true" t="shared" si="91" ref="K304:S304">K305</f>
        <v>2950000</v>
      </c>
      <c r="L304" s="916">
        <f t="shared" si="91"/>
        <v>1269800</v>
      </c>
      <c r="M304" s="916">
        <f t="shared" si="91"/>
        <v>3300000</v>
      </c>
      <c r="N304" s="290">
        <f t="shared" si="91"/>
        <v>0</v>
      </c>
      <c r="O304" s="290">
        <f t="shared" si="91"/>
        <v>0</v>
      </c>
      <c r="P304" s="290">
        <f t="shared" si="91"/>
        <v>0</v>
      </c>
      <c r="Q304" s="290">
        <f t="shared" si="91"/>
        <v>0</v>
      </c>
      <c r="R304" s="290">
        <f t="shared" si="91"/>
        <v>0</v>
      </c>
      <c r="S304" s="335">
        <f t="shared" si="91"/>
        <v>0</v>
      </c>
      <c r="T304" s="335">
        <f t="shared" si="74"/>
        <v>0</v>
      </c>
      <c r="U304" s="845">
        <f t="shared" si="75"/>
        <v>3300000</v>
      </c>
      <c r="V304" s="652">
        <v>3300000</v>
      </c>
      <c r="W304" s="652">
        <v>3300000</v>
      </c>
    </row>
    <row r="305" spans="2:23" s="23" customFormat="1" ht="12.75">
      <c r="B305" s="546"/>
      <c r="C305" s="547"/>
      <c r="D305" s="180" t="s">
        <v>414</v>
      </c>
      <c r="E305" s="180"/>
      <c r="F305" s="548"/>
      <c r="G305" s="549"/>
      <c r="H305" s="73" t="s">
        <v>1256</v>
      </c>
      <c r="I305" s="74"/>
      <c r="J305" s="729"/>
      <c r="K305" s="539">
        <f>SUM(K306:K308)</f>
        <v>2950000</v>
      </c>
      <c r="L305" s="539">
        <f>SUM(L306:L308)</f>
        <v>1269800</v>
      </c>
      <c r="M305" s="539">
        <f>SUM(M306:M308)</f>
        <v>3300000</v>
      </c>
      <c r="N305" s="65">
        <f aca="true" t="shared" si="92" ref="N305:S305">SUM(N306:N308)</f>
        <v>0</v>
      </c>
      <c r="O305" s="65">
        <f t="shared" si="92"/>
        <v>0</v>
      </c>
      <c r="P305" s="65">
        <f t="shared" si="92"/>
        <v>0</v>
      </c>
      <c r="Q305" s="65">
        <f t="shared" si="92"/>
        <v>0</v>
      </c>
      <c r="R305" s="65">
        <f t="shared" si="92"/>
        <v>0</v>
      </c>
      <c r="S305" s="65">
        <f t="shared" si="92"/>
        <v>0</v>
      </c>
      <c r="T305" s="339">
        <f t="shared" si="74"/>
        <v>0</v>
      </c>
      <c r="U305" s="1175">
        <f t="shared" si="75"/>
        <v>3300000</v>
      </c>
      <c r="V305" s="837">
        <v>3300000</v>
      </c>
      <c r="W305" s="1175">
        <v>3300000</v>
      </c>
    </row>
    <row r="306" spans="2:23" ht="12.75">
      <c r="B306" s="430"/>
      <c r="C306" s="431"/>
      <c r="D306" s="459"/>
      <c r="E306" s="351"/>
      <c r="F306" s="432">
        <v>205</v>
      </c>
      <c r="G306" s="433">
        <v>423</v>
      </c>
      <c r="H306" s="1517" t="s">
        <v>1402</v>
      </c>
      <c r="I306" s="1518"/>
      <c r="J306" s="1519"/>
      <c r="K306" s="746">
        <v>2400000</v>
      </c>
      <c r="L306" s="746">
        <v>867524</v>
      </c>
      <c r="M306" s="746">
        <v>2400000</v>
      </c>
      <c r="N306" s="354">
        <v>0</v>
      </c>
      <c r="O306" s="354">
        <v>0</v>
      </c>
      <c r="P306" s="354">
        <v>0</v>
      </c>
      <c r="Q306" s="355">
        <v>0</v>
      </c>
      <c r="R306" s="408">
        <v>0</v>
      </c>
      <c r="S306" s="355">
        <v>0</v>
      </c>
      <c r="T306" s="355">
        <f t="shared" si="74"/>
        <v>0</v>
      </c>
      <c r="U306" s="844">
        <f t="shared" si="75"/>
        <v>2400000</v>
      </c>
      <c r="V306" s="766">
        <v>2400000</v>
      </c>
      <c r="W306" s="844">
        <v>2400000</v>
      </c>
    </row>
    <row r="307" spans="2:23" s="356" customFormat="1" ht="12.75">
      <c r="B307" s="350"/>
      <c r="C307" s="59"/>
      <c r="D307" s="56"/>
      <c r="E307" s="180"/>
      <c r="F307" s="432">
        <v>206</v>
      </c>
      <c r="G307" s="353">
        <v>424</v>
      </c>
      <c r="H307" s="1492" t="s">
        <v>1540</v>
      </c>
      <c r="I307" s="1493"/>
      <c r="J307" s="1494"/>
      <c r="K307" s="914">
        <v>450000</v>
      </c>
      <c r="L307" s="914">
        <v>402276</v>
      </c>
      <c r="M307" s="914">
        <v>800000</v>
      </c>
      <c r="N307" s="354">
        <v>0</v>
      </c>
      <c r="O307" s="421">
        <v>0</v>
      </c>
      <c r="P307" s="421">
        <v>0</v>
      </c>
      <c r="Q307" s="408">
        <v>0</v>
      </c>
      <c r="R307" s="408">
        <v>0</v>
      </c>
      <c r="S307" s="408">
        <v>0</v>
      </c>
      <c r="T307" s="409">
        <f t="shared" si="74"/>
        <v>0</v>
      </c>
      <c r="U307" s="844">
        <f t="shared" si="75"/>
        <v>800000</v>
      </c>
      <c r="V307" s="376">
        <v>800000</v>
      </c>
      <c r="W307" s="844">
        <v>800000</v>
      </c>
    </row>
    <row r="308" spans="2:23" s="356" customFormat="1" ht="12.75">
      <c r="B308" s="369"/>
      <c r="C308" s="333"/>
      <c r="D308" s="60"/>
      <c r="E308" s="536"/>
      <c r="F308" s="515">
        <v>207</v>
      </c>
      <c r="G308" s="364">
        <v>424</v>
      </c>
      <c r="H308" s="1555" t="s">
        <v>1510</v>
      </c>
      <c r="I308" s="1556"/>
      <c r="J308" s="1557"/>
      <c r="K308" s="934">
        <v>100000</v>
      </c>
      <c r="L308" s="934">
        <v>0</v>
      </c>
      <c r="M308" s="934">
        <v>100000</v>
      </c>
      <c r="N308" s="407">
        <v>0</v>
      </c>
      <c r="O308" s="627">
        <v>0</v>
      </c>
      <c r="P308" s="627">
        <v>0</v>
      </c>
      <c r="Q308" s="420">
        <v>0</v>
      </c>
      <c r="R308" s="420">
        <v>0</v>
      </c>
      <c r="S308" s="420">
        <v>0</v>
      </c>
      <c r="T308" s="420">
        <f t="shared" si="74"/>
        <v>0</v>
      </c>
      <c r="U308" s="844">
        <f t="shared" si="75"/>
        <v>100000</v>
      </c>
      <c r="V308" s="376">
        <v>100000</v>
      </c>
      <c r="W308" s="844">
        <v>100000</v>
      </c>
    </row>
    <row r="309" spans="2:23" ht="12.75" customHeight="1">
      <c r="B309" s="284"/>
      <c r="C309" s="285"/>
      <c r="D309" s="428"/>
      <c r="E309" s="346" t="s">
        <v>1243</v>
      </c>
      <c r="F309" s="428"/>
      <c r="G309" s="429"/>
      <c r="H309" s="1489" t="s">
        <v>1515</v>
      </c>
      <c r="I309" s="1490"/>
      <c r="J309" s="1491"/>
      <c r="K309" s="916">
        <f>SUM(K311)</f>
        <v>8000000</v>
      </c>
      <c r="L309" s="916">
        <f aca="true" t="shared" si="93" ref="L309:T309">SUM(L311)</f>
        <v>0</v>
      </c>
      <c r="M309" s="916">
        <f t="shared" si="93"/>
        <v>5000000</v>
      </c>
      <c r="N309" s="916">
        <f t="shared" si="93"/>
        <v>0</v>
      </c>
      <c r="O309" s="916">
        <f t="shared" si="93"/>
        <v>0</v>
      </c>
      <c r="P309" s="916">
        <f t="shared" si="93"/>
        <v>0</v>
      </c>
      <c r="Q309" s="916">
        <f t="shared" si="93"/>
        <v>0</v>
      </c>
      <c r="R309" s="916">
        <f t="shared" si="93"/>
        <v>0</v>
      </c>
      <c r="S309" s="916">
        <f t="shared" si="93"/>
        <v>0</v>
      </c>
      <c r="T309" s="916">
        <f t="shared" si="93"/>
        <v>0</v>
      </c>
      <c r="U309" s="845">
        <f t="shared" si="75"/>
        <v>5000000</v>
      </c>
      <c r="V309" s="916">
        <v>5000000</v>
      </c>
      <c r="W309" s="652">
        <v>5000000</v>
      </c>
    </row>
    <row r="310" spans="2:23" s="23" customFormat="1" ht="12.75">
      <c r="B310" s="619"/>
      <c r="C310" s="620"/>
      <c r="D310" s="56">
        <v>620</v>
      </c>
      <c r="E310" s="58"/>
      <c r="F310" s="548"/>
      <c r="G310" s="549"/>
      <c r="H310" s="73" t="s">
        <v>116</v>
      </c>
      <c r="I310" s="74"/>
      <c r="J310" s="729"/>
      <c r="K310" s="539">
        <f>K311</f>
        <v>8000000</v>
      </c>
      <c r="L310" s="539">
        <f aca="true" t="shared" si="94" ref="L310:T310">L311</f>
        <v>0</v>
      </c>
      <c r="M310" s="539">
        <f t="shared" si="94"/>
        <v>5000000</v>
      </c>
      <c r="N310" s="539">
        <f t="shared" si="94"/>
        <v>0</v>
      </c>
      <c r="O310" s="539">
        <f t="shared" si="94"/>
        <v>0</v>
      </c>
      <c r="P310" s="539">
        <f t="shared" si="94"/>
        <v>0</v>
      </c>
      <c r="Q310" s="539">
        <f t="shared" si="94"/>
        <v>0</v>
      </c>
      <c r="R310" s="539">
        <f t="shared" si="94"/>
        <v>0</v>
      </c>
      <c r="S310" s="539">
        <f t="shared" si="94"/>
        <v>0</v>
      </c>
      <c r="T310" s="539">
        <f t="shared" si="94"/>
        <v>0</v>
      </c>
      <c r="U310" s="1175">
        <f t="shared" si="75"/>
        <v>5000000</v>
      </c>
      <c r="V310" s="539">
        <v>5000000</v>
      </c>
      <c r="W310" s="1175">
        <v>5000000</v>
      </c>
    </row>
    <row r="311" spans="2:23" ht="12.75">
      <c r="B311" s="369"/>
      <c r="C311" s="333"/>
      <c r="D311" s="370"/>
      <c r="E311" s="459"/>
      <c r="F311" s="432">
        <v>208</v>
      </c>
      <c r="G311" s="433">
        <v>451</v>
      </c>
      <c r="H311" s="348" t="s">
        <v>1536</v>
      </c>
      <c r="I311" s="442"/>
      <c r="J311" s="445"/>
      <c r="K311" s="523">
        <v>8000000</v>
      </c>
      <c r="L311" s="523">
        <v>0</v>
      </c>
      <c r="M311" s="523">
        <v>5000000</v>
      </c>
      <c r="N311" s="1101">
        <v>0</v>
      </c>
      <c r="O311" s="1101">
        <v>0</v>
      </c>
      <c r="P311" s="1101">
        <v>0</v>
      </c>
      <c r="Q311" s="1101">
        <v>0</v>
      </c>
      <c r="R311" s="1102">
        <v>0</v>
      </c>
      <c r="S311" s="1101"/>
      <c r="T311" s="927">
        <f t="shared" si="74"/>
        <v>0</v>
      </c>
      <c r="U311" s="844">
        <f t="shared" si="75"/>
        <v>5000000</v>
      </c>
      <c r="V311" s="927">
        <v>5000000</v>
      </c>
      <c r="W311" s="844">
        <v>5000000</v>
      </c>
    </row>
    <row r="312" spans="2:23" ht="27" customHeight="1">
      <c r="B312" s="284"/>
      <c r="C312" s="285"/>
      <c r="D312" s="428"/>
      <c r="E312" s="632" t="s">
        <v>301</v>
      </c>
      <c r="F312" s="633"/>
      <c r="G312" s="633"/>
      <c r="H312" s="1566" t="s">
        <v>1346</v>
      </c>
      <c r="I312" s="1567"/>
      <c r="J312" s="1567"/>
      <c r="K312" s="943">
        <f>K313+K316</f>
        <v>5500000</v>
      </c>
      <c r="L312" s="943">
        <f>L313+L316</f>
        <v>2264240</v>
      </c>
      <c r="M312" s="943">
        <f>M313+M316</f>
        <v>11400000</v>
      </c>
      <c r="N312" s="290">
        <f aca="true" t="shared" si="95" ref="N312:S312">N313+N316</f>
        <v>0</v>
      </c>
      <c r="O312" s="290">
        <f t="shared" si="95"/>
        <v>0</v>
      </c>
      <c r="P312" s="290">
        <f t="shared" si="95"/>
        <v>1000000</v>
      </c>
      <c r="Q312" s="290">
        <f t="shared" si="95"/>
        <v>11600000</v>
      </c>
      <c r="R312" s="290">
        <f t="shared" si="95"/>
        <v>0</v>
      </c>
      <c r="S312" s="290">
        <f t="shared" si="95"/>
        <v>0</v>
      </c>
      <c r="T312" s="335">
        <f t="shared" si="74"/>
        <v>12600000</v>
      </c>
      <c r="U312" s="845">
        <f t="shared" si="75"/>
        <v>24000000</v>
      </c>
      <c r="V312" s="652">
        <v>24000000</v>
      </c>
      <c r="W312" s="652">
        <v>24000000</v>
      </c>
    </row>
    <row r="313" spans="2:23" ht="15" customHeight="1">
      <c r="B313" s="284"/>
      <c r="C313" s="285"/>
      <c r="D313" s="428"/>
      <c r="E313" s="346" t="s">
        <v>316</v>
      </c>
      <c r="F313" s="428"/>
      <c r="G313" s="429"/>
      <c r="H313" s="1561" t="s">
        <v>1248</v>
      </c>
      <c r="I313" s="1562"/>
      <c r="J313" s="1563"/>
      <c r="K313" s="916">
        <f aca="true" t="shared" si="96" ref="K313:S313">K314</f>
        <v>5000000</v>
      </c>
      <c r="L313" s="916">
        <f t="shared" si="96"/>
        <v>2264240</v>
      </c>
      <c r="M313" s="916">
        <f t="shared" si="96"/>
        <v>6000000</v>
      </c>
      <c r="N313" s="290">
        <f t="shared" si="96"/>
        <v>0</v>
      </c>
      <c r="O313" s="290">
        <f t="shared" si="96"/>
        <v>0</v>
      </c>
      <c r="P313" s="290">
        <f t="shared" si="96"/>
        <v>1000000</v>
      </c>
      <c r="Q313" s="720">
        <f t="shared" si="96"/>
        <v>3000000</v>
      </c>
      <c r="R313" s="290">
        <f t="shared" si="96"/>
        <v>0</v>
      </c>
      <c r="S313" s="335">
        <f t="shared" si="96"/>
        <v>0</v>
      </c>
      <c r="T313" s="335">
        <f t="shared" si="74"/>
        <v>4000000</v>
      </c>
      <c r="U313" s="845">
        <f t="shared" si="75"/>
        <v>10000000</v>
      </c>
      <c r="V313" s="652">
        <v>10000000</v>
      </c>
      <c r="W313" s="652">
        <v>10000000</v>
      </c>
    </row>
    <row r="314" spans="2:23" s="23" customFormat="1" ht="12.75">
      <c r="B314" s="619"/>
      <c r="C314" s="620"/>
      <c r="D314" s="56">
        <v>620</v>
      </c>
      <c r="E314" s="180"/>
      <c r="F314" s="621"/>
      <c r="G314" s="622"/>
      <c r="H314" s="1526" t="s">
        <v>116</v>
      </c>
      <c r="I314" s="1527"/>
      <c r="J314" s="729"/>
      <c r="K314" s="539">
        <f aca="true" t="shared" si="97" ref="K314:S314">SUM(K315:K315)</f>
        <v>5000000</v>
      </c>
      <c r="L314" s="539">
        <f t="shared" si="97"/>
        <v>2264240</v>
      </c>
      <c r="M314" s="539">
        <f t="shared" si="97"/>
        <v>6000000</v>
      </c>
      <c r="N314" s="65">
        <f t="shared" si="97"/>
        <v>0</v>
      </c>
      <c r="O314" s="65">
        <f t="shared" si="97"/>
        <v>0</v>
      </c>
      <c r="P314" s="339">
        <f t="shared" si="97"/>
        <v>1000000</v>
      </c>
      <c r="Q314" s="653">
        <f t="shared" si="97"/>
        <v>3000000</v>
      </c>
      <c r="R314" s="65">
        <f t="shared" si="97"/>
        <v>0</v>
      </c>
      <c r="S314" s="65">
        <f t="shared" si="97"/>
        <v>0</v>
      </c>
      <c r="T314" s="594">
        <f t="shared" si="74"/>
        <v>4000000</v>
      </c>
      <c r="U314" s="1175">
        <f t="shared" si="75"/>
        <v>10000000</v>
      </c>
      <c r="V314" s="837">
        <v>10000000</v>
      </c>
      <c r="W314" s="1175">
        <v>10000000</v>
      </c>
    </row>
    <row r="315" spans="2:23" s="490" customFormat="1" ht="26.25" customHeight="1">
      <c r="B315" s="777"/>
      <c r="C315" s="778"/>
      <c r="D315" s="779"/>
      <c r="E315" s="780"/>
      <c r="F315" s="779">
        <v>209</v>
      </c>
      <c r="G315" s="781">
        <v>511</v>
      </c>
      <c r="H315" s="1551" t="s">
        <v>1484</v>
      </c>
      <c r="I315" s="1552"/>
      <c r="J315" s="1595"/>
      <c r="K315" s="944">
        <v>5000000</v>
      </c>
      <c r="L315" s="944">
        <v>2264240</v>
      </c>
      <c r="M315" s="944">
        <v>6000000</v>
      </c>
      <c r="N315" s="782">
        <v>0</v>
      </c>
      <c r="O315" s="783">
        <v>0</v>
      </c>
      <c r="P315" s="784">
        <v>1000000</v>
      </c>
      <c r="Q315" s="785">
        <v>3000000</v>
      </c>
      <c r="R315" s="786">
        <v>0</v>
      </c>
      <c r="S315" s="787">
        <v>0</v>
      </c>
      <c r="T315" s="833">
        <f t="shared" si="74"/>
        <v>4000000</v>
      </c>
      <c r="U315" s="844">
        <f t="shared" si="75"/>
        <v>10000000</v>
      </c>
      <c r="V315" s="608">
        <v>10000000</v>
      </c>
      <c r="W315" s="844">
        <v>10000000</v>
      </c>
    </row>
    <row r="316" spans="2:23" ht="15" customHeight="1">
      <c r="B316" s="284"/>
      <c r="C316" s="285"/>
      <c r="D316" s="428"/>
      <c r="E316" s="346" t="s">
        <v>1250</v>
      </c>
      <c r="F316" s="428"/>
      <c r="G316" s="429"/>
      <c r="H316" s="1489" t="s">
        <v>1251</v>
      </c>
      <c r="I316" s="1490"/>
      <c r="J316" s="1491"/>
      <c r="K316" s="916">
        <f aca="true" t="shared" si="98" ref="K316:S316">K317</f>
        <v>500000</v>
      </c>
      <c r="L316" s="916">
        <f t="shared" si="98"/>
        <v>0</v>
      </c>
      <c r="M316" s="916">
        <f t="shared" si="98"/>
        <v>5400000</v>
      </c>
      <c r="N316" s="290">
        <f t="shared" si="98"/>
        <v>0</v>
      </c>
      <c r="O316" s="290">
        <f t="shared" si="98"/>
        <v>0</v>
      </c>
      <c r="P316" s="290">
        <f t="shared" si="98"/>
        <v>0</v>
      </c>
      <c r="Q316" s="290">
        <f t="shared" si="98"/>
        <v>8600000</v>
      </c>
      <c r="R316" s="290">
        <f t="shared" si="98"/>
        <v>0</v>
      </c>
      <c r="S316" s="335">
        <f t="shared" si="98"/>
        <v>0</v>
      </c>
      <c r="T316" s="335">
        <f t="shared" si="74"/>
        <v>8600000</v>
      </c>
      <c r="U316" s="845">
        <f>M316+N316+O316+P316+Q316+R316+S316</f>
        <v>14000000</v>
      </c>
      <c r="V316" s="652">
        <v>14000000</v>
      </c>
      <c r="W316" s="652">
        <v>14000000</v>
      </c>
    </row>
    <row r="317" spans="2:23" s="23" customFormat="1" ht="12.75">
      <c r="B317" s="619"/>
      <c r="C317" s="620"/>
      <c r="D317" s="56">
        <v>620</v>
      </c>
      <c r="E317" s="180"/>
      <c r="F317" s="621"/>
      <c r="G317" s="622"/>
      <c r="H317" s="760" t="s">
        <v>116</v>
      </c>
      <c r="I317" s="761"/>
      <c r="J317" s="1066"/>
      <c r="K317" s="767">
        <f aca="true" t="shared" si="99" ref="K317:T317">SUM(K318:K319)</f>
        <v>500000</v>
      </c>
      <c r="L317" s="767">
        <f t="shared" si="99"/>
        <v>0</v>
      </c>
      <c r="M317" s="767">
        <f>SUM(M318:M320)</f>
        <v>5400000</v>
      </c>
      <c r="N317" s="573">
        <f t="shared" si="99"/>
        <v>0</v>
      </c>
      <c r="O317" s="573">
        <f t="shared" si="99"/>
        <v>0</v>
      </c>
      <c r="P317" s="573">
        <f t="shared" si="99"/>
        <v>0</v>
      </c>
      <c r="Q317" s="573">
        <f t="shared" si="99"/>
        <v>8600000</v>
      </c>
      <c r="R317" s="573">
        <f t="shared" si="99"/>
        <v>0</v>
      </c>
      <c r="S317" s="573">
        <f t="shared" si="99"/>
        <v>0</v>
      </c>
      <c r="T317" s="573">
        <f t="shared" si="99"/>
        <v>8600000</v>
      </c>
      <c r="U317" s="1175">
        <f>M317+N317+O317+P317+Q317+R317+S317</f>
        <v>14000000</v>
      </c>
      <c r="V317" s="837">
        <v>14000000</v>
      </c>
      <c r="W317" s="1175">
        <v>14000000</v>
      </c>
    </row>
    <row r="318" spans="2:23" s="356" customFormat="1" ht="12.75">
      <c r="B318" s="350"/>
      <c r="C318" s="59"/>
      <c r="D318" s="56"/>
      <c r="E318" s="180"/>
      <c r="F318" s="364">
        <v>210</v>
      </c>
      <c r="G318" s="535">
        <v>424</v>
      </c>
      <c r="H318" s="1558" t="s">
        <v>1537</v>
      </c>
      <c r="I318" s="1558"/>
      <c r="J318" s="1558"/>
      <c r="K318" s="540">
        <v>500000</v>
      </c>
      <c r="L318" s="540">
        <v>0</v>
      </c>
      <c r="M318" s="540">
        <v>2400000</v>
      </c>
      <c r="N318" s="625">
        <v>0</v>
      </c>
      <c r="O318" s="406">
        <v>0</v>
      </c>
      <c r="P318" s="421">
        <v>0</v>
      </c>
      <c r="Q318" s="408">
        <v>0</v>
      </c>
      <c r="R318" s="421">
        <v>0</v>
      </c>
      <c r="S318" s="408">
        <v>0</v>
      </c>
      <c r="T318" s="409">
        <f t="shared" si="74"/>
        <v>0</v>
      </c>
      <c r="U318" s="844">
        <f t="shared" si="75"/>
        <v>2400000</v>
      </c>
      <c r="V318" s="376">
        <v>2400000</v>
      </c>
      <c r="W318" s="844">
        <v>2400000</v>
      </c>
    </row>
    <row r="319" spans="2:23" s="356" customFormat="1" ht="12.75">
      <c r="B319" s="369"/>
      <c r="C319" s="333"/>
      <c r="D319" s="60"/>
      <c r="E319" s="536"/>
      <c r="F319" s="364">
        <v>211</v>
      </c>
      <c r="G319" s="532">
        <v>424</v>
      </c>
      <c r="H319" s="694" t="s">
        <v>1434</v>
      </c>
      <c r="I319" s="694"/>
      <c r="J319" s="694"/>
      <c r="K319" s="945">
        <v>0</v>
      </c>
      <c r="L319" s="945">
        <v>0</v>
      </c>
      <c r="M319" s="945">
        <v>0</v>
      </c>
      <c r="N319" s="625">
        <v>0</v>
      </c>
      <c r="O319" s="627">
        <v>0</v>
      </c>
      <c r="P319" s="627">
        <v>0</v>
      </c>
      <c r="Q319" s="420">
        <v>8600000</v>
      </c>
      <c r="R319" s="627">
        <v>0</v>
      </c>
      <c r="S319" s="420">
        <v>0</v>
      </c>
      <c r="T319" s="420">
        <f>SUM(Q319:S319)</f>
        <v>8600000</v>
      </c>
      <c r="U319" s="844">
        <f t="shared" si="75"/>
        <v>8600000</v>
      </c>
      <c r="V319" s="376">
        <v>8600000</v>
      </c>
      <c r="W319" s="844">
        <v>8600000</v>
      </c>
    </row>
    <row r="320" spans="2:23" s="356" customFormat="1" ht="12.75">
      <c r="B320" s="369"/>
      <c r="C320" s="333"/>
      <c r="D320" s="60"/>
      <c r="E320" s="536"/>
      <c r="F320" s="364" t="s">
        <v>1586</v>
      </c>
      <c r="G320" s="532">
        <v>511</v>
      </c>
      <c r="H320" s="694" t="s">
        <v>1587</v>
      </c>
      <c r="I320" s="694"/>
      <c r="J320" s="694"/>
      <c r="K320" s="945"/>
      <c r="L320" s="945"/>
      <c r="M320" s="945">
        <v>3000000</v>
      </c>
      <c r="N320" s="1487">
        <v>0</v>
      </c>
      <c r="O320" s="627">
        <v>0</v>
      </c>
      <c r="P320" s="627">
        <v>0</v>
      </c>
      <c r="Q320" s="420">
        <v>0</v>
      </c>
      <c r="R320" s="627">
        <v>0</v>
      </c>
      <c r="S320" s="420">
        <v>0</v>
      </c>
      <c r="T320" s="420"/>
      <c r="U320" s="844">
        <f>M320+N320+O320+P320+Q320+R320+S320</f>
        <v>3000000</v>
      </c>
      <c r="V320" s="376">
        <v>3000000</v>
      </c>
      <c r="W320" s="844">
        <v>3000000</v>
      </c>
    </row>
    <row r="321" spans="2:23" ht="27" customHeight="1">
      <c r="B321" s="284"/>
      <c r="C321" s="285"/>
      <c r="D321" s="428"/>
      <c r="E321" s="610" t="s">
        <v>1252</v>
      </c>
      <c r="F321" s="428"/>
      <c r="G321" s="429"/>
      <c r="H321" s="1589" t="s">
        <v>1431</v>
      </c>
      <c r="I321" s="1521"/>
      <c r="J321" s="1522"/>
      <c r="K321" s="1072">
        <f aca="true" t="shared" si="100" ref="K321:M322">K322</f>
        <v>2884860</v>
      </c>
      <c r="L321" s="1072">
        <f t="shared" si="100"/>
        <v>308849</v>
      </c>
      <c r="M321" s="1072">
        <f t="shared" si="100"/>
        <v>1000000</v>
      </c>
      <c r="N321" s="290">
        <f aca="true" t="shared" si="101" ref="N321:S322">N322</f>
        <v>0</v>
      </c>
      <c r="O321" s="290">
        <f t="shared" si="101"/>
        <v>0</v>
      </c>
      <c r="P321" s="290">
        <f t="shared" si="101"/>
        <v>16000000</v>
      </c>
      <c r="Q321" s="290">
        <f t="shared" si="101"/>
        <v>0</v>
      </c>
      <c r="R321" s="290">
        <f t="shared" si="101"/>
        <v>0</v>
      </c>
      <c r="S321" s="290">
        <f t="shared" si="101"/>
        <v>0</v>
      </c>
      <c r="T321" s="335">
        <f t="shared" si="74"/>
        <v>16000000</v>
      </c>
      <c r="U321" s="845">
        <f t="shared" si="75"/>
        <v>17000000</v>
      </c>
      <c r="V321" s="652">
        <v>17000000</v>
      </c>
      <c r="W321" s="652">
        <v>17000000</v>
      </c>
    </row>
    <row r="322" spans="2:23" ht="14.25" customHeight="1">
      <c r="B322" s="284"/>
      <c r="C322" s="285"/>
      <c r="D322" s="428"/>
      <c r="E322" s="346" t="s">
        <v>1253</v>
      </c>
      <c r="F322" s="428"/>
      <c r="G322" s="429"/>
      <c r="H322" s="1489" t="s">
        <v>1329</v>
      </c>
      <c r="I322" s="1490"/>
      <c r="J322" s="1491"/>
      <c r="K322" s="916">
        <f t="shared" si="100"/>
        <v>2884860</v>
      </c>
      <c r="L322" s="1054">
        <f t="shared" si="100"/>
        <v>308849</v>
      </c>
      <c r="M322" s="1062">
        <f t="shared" si="100"/>
        <v>1000000</v>
      </c>
      <c r="N322" s="290">
        <f t="shared" si="101"/>
        <v>0</v>
      </c>
      <c r="O322" s="290">
        <f t="shared" si="101"/>
        <v>0</v>
      </c>
      <c r="P322" s="290">
        <f t="shared" si="101"/>
        <v>16000000</v>
      </c>
      <c r="Q322" s="290">
        <f t="shared" si="101"/>
        <v>0</v>
      </c>
      <c r="R322" s="290">
        <f t="shared" si="101"/>
        <v>0</v>
      </c>
      <c r="S322" s="290">
        <f t="shared" si="101"/>
        <v>0</v>
      </c>
      <c r="T322" s="335">
        <f t="shared" si="74"/>
        <v>16000000</v>
      </c>
      <c r="U322" s="845">
        <f t="shared" si="75"/>
        <v>17000000</v>
      </c>
      <c r="V322" s="652">
        <v>17000000</v>
      </c>
      <c r="W322" s="652">
        <v>17000000</v>
      </c>
    </row>
    <row r="323" spans="2:23" s="23" customFormat="1" ht="12.75">
      <c r="B323" s="619"/>
      <c r="C323" s="620"/>
      <c r="D323" s="56">
        <v>620</v>
      </c>
      <c r="E323" s="180"/>
      <c r="F323" s="621"/>
      <c r="G323" s="622"/>
      <c r="H323" s="1526" t="s">
        <v>116</v>
      </c>
      <c r="I323" s="1527"/>
      <c r="J323" s="729"/>
      <c r="K323" s="539">
        <f aca="true" t="shared" si="102" ref="K323:S323">SUM(K324:K324)</f>
        <v>2884860</v>
      </c>
      <c r="L323" s="539">
        <f t="shared" si="102"/>
        <v>308849</v>
      </c>
      <c r="M323" s="379">
        <f t="shared" si="102"/>
        <v>1000000</v>
      </c>
      <c r="N323" s="379">
        <f t="shared" si="102"/>
        <v>0</v>
      </c>
      <c r="O323" s="379">
        <f t="shared" si="102"/>
        <v>0</v>
      </c>
      <c r="P323" s="379">
        <f t="shared" si="102"/>
        <v>16000000</v>
      </c>
      <c r="Q323" s="379">
        <f t="shared" si="102"/>
        <v>0</v>
      </c>
      <c r="R323" s="379">
        <f t="shared" si="102"/>
        <v>0</v>
      </c>
      <c r="S323" s="379">
        <f t="shared" si="102"/>
        <v>0</v>
      </c>
      <c r="T323" s="594">
        <f t="shared" si="74"/>
        <v>16000000</v>
      </c>
      <c r="U323" s="1175">
        <f t="shared" si="75"/>
        <v>17000000</v>
      </c>
      <c r="V323" s="837">
        <v>17000000</v>
      </c>
      <c r="W323" s="844">
        <v>17000000</v>
      </c>
    </row>
    <row r="324" spans="2:23" s="356" customFormat="1" ht="12.75">
      <c r="B324" s="350"/>
      <c r="C324" s="59"/>
      <c r="D324" s="56"/>
      <c r="E324" s="180"/>
      <c r="F324" s="352">
        <v>212</v>
      </c>
      <c r="G324" s="353">
        <v>511</v>
      </c>
      <c r="H324" s="1517" t="s">
        <v>1485</v>
      </c>
      <c r="I324" s="1518"/>
      <c r="J324" s="1519"/>
      <c r="K324" s="359">
        <v>2884860</v>
      </c>
      <c r="L324" s="359">
        <v>308849</v>
      </c>
      <c r="M324" s="1075">
        <v>1000000</v>
      </c>
      <c r="N324" s="421">
        <v>0</v>
      </c>
      <c r="O324" s="421">
        <v>0</v>
      </c>
      <c r="P324" s="372">
        <v>16000000</v>
      </c>
      <c r="Q324" s="421">
        <v>0</v>
      </c>
      <c r="R324" s="421">
        <v>0</v>
      </c>
      <c r="S324" s="421">
        <v>0</v>
      </c>
      <c r="T324" s="408">
        <f aca="true" t="shared" si="103" ref="T324:T390">SUM(N324:S324)</f>
        <v>16000000</v>
      </c>
      <c r="U324" s="844">
        <f aca="true" t="shared" si="104" ref="U324:U356">M324+N324+O324+P324+Q324+R324+S324</f>
        <v>17000000</v>
      </c>
      <c r="V324" s="376">
        <v>17000000</v>
      </c>
      <c r="W324" s="844">
        <v>17000000</v>
      </c>
    </row>
    <row r="325" spans="2:23" ht="16.5" customHeight="1">
      <c r="B325" s="284"/>
      <c r="C325" s="285"/>
      <c r="D325" s="428"/>
      <c r="E325" s="610" t="s">
        <v>819</v>
      </c>
      <c r="F325" s="428"/>
      <c r="G325" s="429"/>
      <c r="H325" s="1589" t="s">
        <v>166</v>
      </c>
      <c r="I325" s="1521"/>
      <c r="J325" s="1522"/>
      <c r="K325" s="1072">
        <f>K326+K330+K333+K337</f>
        <v>9672000</v>
      </c>
      <c r="L325" s="1072">
        <f>L326+L333+L337+L330</f>
        <v>1021111.0800000001</v>
      </c>
      <c r="M325" s="1072">
        <f>+M326+M333+M337+M330</f>
        <v>11772000</v>
      </c>
      <c r="N325" s="290">
        <f aca="true" t="shared" si="105" ref="N325:S325">N326+N333+N337+N330</f>
        <v>0</v>
      </c>
      <c r="O325" s="290">
        <f t="shared" si="105"/>
        <v>0</v>
      </c>
      <c r="P325" s="290">
        <f t="shared" si="105"/>
        <v>3658953.5</v>
      </c>
      <c r="Q325" s="290">
        <f t="shared" si="105"/>
        <v>7837500</v>
      </c>
      <c r="R325" s="290">
        <f t="shared" si="105"/>
        <v>0</v>
      </c>
      <c r="S325" s="290">
        <f t="shared" si="105"/>
        <v>0</v>
      </c>
      <c r="T325" s="335">
        <f t="shared" si="103"/>
        <v>11496453.5</v>
      </c>
      <c r="U325" s="845">
        <f t="shared" si="104"/>
        <v>23268453.5</v>
      </c>
      <c r="V325" s="652">
        <v>23268453.5</v>
      </c>
      <c r="W325" s="652">
        <v>23268453.5</v>
      </c>
    </row>
    <row r="326" spans="2:23" s="643" customFormat="1" ht="28.5" customHeight="1">
      <c r="B326" s="660"/>
      <c r="C326" s="661"/>
      <c r="D326" s="662"/>
      <c r="E326" s="663" t="s">
        <v>1268</v>
      </c>
      <c r="F326" s="662"/>
      <c r="G326" s="664"/>
      <c r="H326" s="1635" t="s">
        <v>222</v>
      </c>
      <c r="I326" s="1636"/>
      <c r="J326" s="1637"/>
      <c r="K326" s="946">
        <f aca="true" t="shared" si="106" ref="K326:S326">K327</f>
        <v>972000</v>
      </c>
      <c r="L326" s="946">
        <f t="shared" si="106"/>
        <v>20000</v>
      </c>
      <c r="M326" s="946">
        <f t="shared" si="106"/>
        <v>972000</v>
      </c>
      <c r="N326" s="290">
        <f t="shared" si="106"/>
        <v>0</v>
      </c>
      <c r="O326" s="290">
        <f t="shared" si="106"/>
        <v>0</v>
      </c>
      <c r="P326" s="290">
        <f t="shared" si="106"/>
        <v>3658953.5</v>
      </c>
      <c r="Q326" s="290">
        <f t="shared" si="106"/>
        <v>7837500</v>
      </c>
      <c r="R326" s="290">
        <f t="shared" si="106"/>
        <v>0</v>
      </c>
      <c r="S326" s="335">
        <f t="shared" si="106"/>
        <v>0</v>
      </c>
      <c r="T326" s="335">
        <f t="shared" si="103"/>
        <v>11496453.5</v>
      </c>
      <c r="U326" s="845">
        <f t="shared" si="104"/>
        <v>12468453.5</v>
      </c>
      <c r="V326" s="652">
        <v>12468453.5</v>
      </c>
      <c r="W326" s="652">
        <v>12468453.5</v>
      </c>
    </row>
    <row r="327" spans="2:23" s="356" customFormat="1" ht="12.75">
      <c r="B327" s="350"/>
      <c r="C327" s="357"/>
      <c r="D327" s="56">
        <v>610</v>
      </c>
      <c r="E327" s="180"/>
      <c r="F327" s="352"/>
      <c r="G327" s="353"/>
      <c r="H327" s="1526" t="s">
        <v>115</v>
      </c>
      <c r="I327" s="1527"/>
      <c r="J327" s="1528"/>
      <c r="K327" s="181">
        <f aca="true" t="shared" si="107" ref="K327:S327">SUM(K328:K329)</f>
        <v>972000</v>
      </c>
      <c r="L327" s="181">
        <f t="shared" si="107"/>
        <v>20000</v>
      </c>
      <c r="M327" s="181">
        <f t="shared" si="107"/>
        <v>972000</v>
      </c>
      <c r="N327" s="181">
        <f t="shared" si="107"/>
        <v>0</v>
      </c>
      <c r="O327" s="181">
        <f t="shared" si="107"/>
        <v>0</v>
      </c>
      <c r="P327" s="181">
        <f t="shared" si="107"/>
        <v>3658953.5</v>
      </c>
      <c r="Q327" s="181">
        <f t="shared" si="107"/>
        <v>7837500</v>
      </c>
      <c r="R327" s="181">
        <f t="shared" si="107"/>
        <v>0</v>
      </c>
      <c r="S327" s="181">
        <f t="shared" si="107"/>
        <v>0</v>
      </c>
      <c r="T327" s="336">
        <f t="shared" si="103"/>
        <v>11496453.5</v>
      </c>
      <c r="U327" s="1175">
        <f t="shared" si="104"/>
        <v>12468453.5</v>
      </c>
      <c r="V327" s="375">
        <v>12468453.5</v>
      </c>
      <c r="W327" s="1175">
        <v>12468453.5</v>
      </c>
    </row>
    <row r="328" spans="2:23" s="356" customFormat="1" ht="13.5" customHeight="1">
      <c r="B328" s="369"/>
      <c r="C328" s="362"/>
      <c r="D328" s="370"/>
      <c r="E328" s="371"/>
      <c r="F328" s="364">
        <v>213</v>
      </c>
      <c r="G328" s="532">
        <v>472</v>
      </c>
      <c r="H328" s="1518" t="s">
        <v>1403</v>
      </c>
      <c r="I328" s="1518"/>
      <c r="J328" s="1518"/>
      <c r="K328" s="373">
        <v>872000</v>
      </c>
      <c r="L328" s="373">
        <v>20000</v>
      </c>
      <c r="M328" s="373">
        <v>872000</v>
      </c>
      <c r="N328" s="372">
        <v>0</v>
      </c>
      <c r="O328" s="372">
        <v>0</v>
      </c>
      <c r="P328" s="372">
        <v>0</v>
      </c>
      <c r="Q328" s="373">
        <v>7837500</v>
      </c>
      <c r="R328" s="408">
        <v>0</v>
      </c>
      <c r="S328" s="540">
        <v>0</v>
      </c>
      <c r="T328" s="359">
        <f t="shared" si="103"/>
        <v>7837500</v>
      </c>
      <c r="U328" s="844">
        <f t="shared" si="104"/>
        <v>8709500</v>
      </c>
      <c r="V328" s="376">
        <v>8709500</v>
      </c>
      <c r="W328" s="844">
        <v>8709500</v>
      </c>
    </row>
    <row r="329" spans="2:23" s="356" customFormat="1" ht="13.5" customHeight="1">
      <c r="B329" s="369"/>
      <c r="C329" s="362"/>
      <c r="D329" s="370"/>
      <c r="E329" s="371"/>
      <c r="F329" s="364">
        <v>214</v>
      </c>
      <c r="G329" s="532">
        <v>472</v>
      </c>
      <c r="H329" s="1553" t="s">
        <v>1404</v>
      </c>
      <c r="I329" s="1554"/>
      <c r="J329" s="1554"/>
      <c r="K329" s="924">
        <v>100000</v>
      </c>
      <c r="L329" s="924">
        <v>0</v>
      </c>
      <c r="M329" s="924">
        <v>100000</v>
      </c>
      <c r="N329" s="372">
        <v>0</v>
      </c>
      <c r="O329" s="372">
        <v>0</v>
      </c>
      <c r="P329" s="372">
        <v>3658953.5</v>
      </c>
      <c r="Q329" s="372">
        <v>0</v>
      </c>
      <c r="R329" s="408">
        <v>0</v>
      </c>
      <c r="S329" s="540">
        <v>0</v>
      </c>
      <c r="T329" s="359">
        <f t="shared" si="103"/>
        <v>3658953.5</v>
      </c>
      <c r="U329" s="844">
        <f t="shared" si="104"/>
        <v>3758953.5</v>
      </c>
      <c r="V329" s="376">
        <v>3758953.5</v>
      </c>
      <c r="W329" s="844">
        <v>3758953.5</v>
      </c>
    </row>
    <row r="330" spans="2:23" s="356" customFormat="1" ht="13.5" customHeight="1">
      <c r="B330" s="747"/>
      <c r="C330" s="748"/>
      <c r="D330" s="600"/>
      <c r="E330" s="346" t="s">
        <v>837</v>
      </c>
      <c r="F330" s="600"/>
      <c r="G330" s="601"/>
      <c r="H330" s="1489" t="s">
        <v>1361</v>
      </c>
      <c r="I330" s="1490"/>
      <c r="J330" s="1491"/>
      <c r="K330" s="916">
        <f>K332</f>
        <v>5300000</v>
      </c>
      <c r="L330" s="916">
        <f>L332</f>
        <v>4900.0800000000745</v>
      </c>
      <c r="M330" s="916">
        <f>M332</f>
        <v>5300000</v>
      </c>
      <c r="N330" s="749">
        <f aca="true" t="shared" si="108" ref="N330:S330">N332</f>
        <v>0</v>
      </c>
      <c r="O330" s="749">
        <f t="shared" si="108"/>
        <v>0</v>
      </c>
      <c r="P330" s="749">
        <f t="shared" si="108"/>
        <v>0</v>
      </c>
      <c r="Q330" s="749">
        <f t="shared" si="108"/>
        <v>0</v>
      </c>
      <c r="R330" s="749">
        <f t="shared" si="108"/>
        <v>0</v>
      </c>
      <c r="S330" s="749">
        <f t="shared" si="108"/>
        <v>0</v>
      </c>
      <c r="T330" s="750">
        <f t="shared" si="103"/>
        <v>0</v>
      </c>
      <c r="U330" s="845">
        <f t="shared" si="104"/>
        <v>5300000</v>
      </c>
      <c r="V330" s="845">
        <v>5300000</v>
      </c>
      <c r="W330" s="652">
        <v>5300000</v>
      </c>
    </row>
    <row r="331" spans="2:23" s="356" customFormat="1" ht="12.75">
      <c r="B331" s="350"/>
      <c r="C331" s="357"/>
      <c r="D331" s="56">
        <v>620</v>
      </c>
      <c r="E331" s="180"/>
      <c r="F331" s="352"/>
      <c r="G331" s="353"/>
      <c r="H331" s="1526" t="s">
        <v>116</v>
      </c>
      <c r="I331" s="1527"/>
      <c r="J331" s="1528"/>
      <c r="K331" s="181">
        <f aca="true" t="shared" si="109" ref="K331:S331">K332</f>
        <v>5300000</v>
      </c>
      <c r="L331" s="181">
        <f t="shared" si="109"/>
        <v>4900.0800000000745</v>
      </c>
      <c r="M331" s="181">
        <f t="shared" si="109"/>
        <v>5300000</v>
      </c>
      <c r="N331" s="181">
        <f t="shared" si="109"/>
        <v>0</v>
      </c>
      <c r="O331" s="181">
        <f t="shared" si="109"/>
        <v>0</v>
      </c>
      <c r="P331" s="181">
        <f t="shared" si="109"/>
        <v>0</v>
      </c>
      <c r="Q331" s="181">
        <f t="shared" si="109"/>
        <v>0</v>
      </c>
      <c r="R331" s="181">
        <f t="shared" si="109"/>
        <v>0</v>
      </c>
      <c r="S331" s="336">
        <f t="shared" si="109"/>
        <v>0</v>
      </c>
      <c r="T331" s="336">
        <f t="shared" si="103"/>
        <v>0</v>
      </c>
      <c r="U331" s="1175">
        <f t="shared" si="104"/>
        <v>5300000</v>
      </c>
      <c r="V331" s="375">
        <v>5300000</v>
      </c>
      <c r="W331" s="1175">
        <v>5300000</v>
      </c>
    </row>
    <row r="332" spans="2:23" s="356" customFormat="1" ht="12.75">
      <c r="B332" s="369"/>
      <c r="C332" s="362"/>
      <c r="D332" s="363"/>
      <c r="E332" s="362"/>
      <c r="F332" s="463">
        <v>215</v>
      </c>
      <c r="G332" s="464">
        <v>511</v>
      </c>
      <c r="H332" s="1505" t="s">
        <v>1444</v>
      </c>
      <c r="I332" s="1506"/>
      <c r="J332" s="1507"/>
      <c r="K332" s="940">
        <v>5300000</v>
      </c>
      <c r="L332" s="940">
        <v>4900.0800000000745</v>
      </c>
      <c r="M332" s="940">
        <v>5300000</v>
      </c>
      <c r="N332" s="405">
        <v>0</v>
      </c>
      <c r="O332" s="405">
        <v>0</v>
      </c>
      <c r="P332" s="405">
        <v>0</v>
      </c>
      <c r="Q332" s="422">
        <v>0</v>
      </c>
      <c r="R332" s="408">
        <v>0</v>
      </c>
      <c r="S332" s="422">
        <v>0</v>
      </c>
      <c r="T332" s="422">
        <f t="shared" si="103"/>
        <v>0</v>
      </c>
      <c r="U332" s="844">
        <f t="shared" si="104"/>
        <v>5300000</v>
      </c>
      <c r="V332" s="608">
        <v>5300000</v>
      </c>
      <c r="W332" s="844">
        <v>5300000</v>
      </c>
    </row>
    <row r="333" spans="2:23" s="356" customFormat="1" ht="27.75" customHeight="1">
      <c r="B333" s="747"/>
      <c r="C333" s="748"/>
      <c r="D333" s="600"/>
      <c r="E333" s="346" t="s">
        <v>840</v>
      </c>
      <c r="F333" s="600"/>
      <c r="G333" s="601"/>
      <c r="H333" s="1489" t="s">
        <v>1330</v>
      </c>
      <c r="I333" s="1490"/>
      <c r="J333" s="1491"/>
      <c r="K333" s="916">
        <f>K336</f>
        <v>1900000</v>
      </c>
      <c r="L333" s="916">
        <f>L336</f>
        <v>996211</v>
      </c>
      <c r="M333" s="916">
        <f>M334</f>
        <v>4000000</v>
      </c>
      <c r="N333" s="916">
        <f aca="true" t="shared" si="110" ref="N333:S333">N334</f>
        <v>0</v>
      </c>
      <c r="O333" s="916">
        <f t="shared" si="110"/>
        <v>0</v>
      </c>
      <c r="P333" s="916">
        <f t="shared" si="110"/>
        <v>0</v>
      </c>
      <c r="Q333" s="916">
        <f t="shared" si="110"/>
        <v>0</v>
      </c>
      <c r="R333" s="916">
        <f t="shared" si="110"/>
        <v>0</v>
      </c>
      <c r="S333" s="916">
        <f t="shared" si="110"/>
        <v>0</v>
      </c>
      <c r="T333" s="750">
        <f t="shared" si="103"/>
        <v>0</v>
      </c>
      <c r="U333" s="845">
        <f t="shared" si="104"/>
        <v>4000000</v>
      </c>
      <c r="V333" s="845">
        <v>4000000</v>
      </c>
      <c r="W333" s="652">
        <v>4000000</v>
      </c>
    </row>
    <row r="334" spans="2:23" s="356" customFormat="1" ht="12.75">
      <c r="B334" s="350"/>
      <c r="C334" s="357"/>
      <c r="D334" s="56">
        <v>490</v>
      </c>
      <c r="E334" s="180"/>
      <c r="F334" s="352"/>
      <c r="G334" s="353"/>
      <c r="H334" s="1526" t="s">
        <v>168</v>
      </c>
      <c r="I334" s="1527"/>
      <c r="J334" s="1528"/>
      <c r="K334" s="181">
        <f>K336</f>
        <v>1900000</v>
      </c>
      <c r="L334" s="181">
        <f>L336</f>
        <v>996211</v>
      </c>
      <c r="M334" s="181">
        <f>SUM(M335:M336)</f>
        <v>4000000</v>
      </c>
      <c r="N334" s="181">
        <f aca="true" t="shared" si="111" ref="N334:T334">SUM(N335:N336)</f>
        <v>0</v>
      </c>
      <c r="O334" s="181">
        <f t="shared" si="111"/>
        <v>0</v>
      </c>
      <c r="P334" s="181">
        <f t="shared" si="111"/>
        <v>0</v>
      </c>
      <c r="Q334" s="181">
        <f t="shared" si="111"/>
        <v>0</v>
      </c>
      <c r="R334" s="181">
        <f t="shared" si="111"/>
        <v>0</v>
      </c>
      <c r="S334" s="181">
        <f t="shared" si="111"/>
        <v>0</v>
      </c>
      <c r="T334" s="181">
        <f t="shared" si="111"/>
        <v>0</v>
      </c>
      <c r="U334" s="1175">
        <f t="shared" si="104"/>
        <v>4000000</v>
      </c>
      <c r="V334" s="375">
        <v>4000000</v>
      </c>
      <c r="W334" s="1175">
        <v>4000000</v>
      </c>
    </row>
    <row r="335" spans="1:23" s="356" customFormat="1" ht="12.75">
      <c r="A335" s="356" t="s">
        <v>1578</v>
      </c>
      <c r="B335" s="369"/>
      <c r="C335" s="362"/>
      <c r="D335" s="370"/>
      <c r="E335" s="371"/>
      <c r="F335" s="363" t="s">
        <v>1578</v>
      </c>
      <c r="G335" s="364">
        <v>454</v>
      </c>
      <c r="H335" s="1517" t="s">
        <v>1526</v>
      </c>
      <c r="I335" s="1518"/>
      <c r="J335" s="1519"/>
      <c r="K335" s="940">
        <v>0</v>
      </c>
      <c r="L335" s="940">
        <v>0</v>
      </c>
      <c r="M335" s="940">
        <v>2000000</v>
      </c>
      <c r="N335" s="372"/>
      <c r="O335" s="372"/>
      <c r="P335" s="372"/>
      <c r="Q335" s="373"/>
      <c r="R335" s="359"/>
      <c r="S335" s="373"/>
      <c r="T335" s="373"/>
      <c r="U335" s="844">
        <f t="shared" si="104"/>
        <v>2000000</v>
      </c>
      <c r="V335" s="376">
        <v>2000000</v>
      </c>
      <c r="W335" s="844">
        <v>2000000</v>
      </c>
    </row>
    <row r="336" spans="2:23" s="356" customFormat="1" ht="12.75">
      <c r="B336" s="369"/>
      <c r="C336" s="362"/>
      <c r="D336" s="363"/>
      <c r="E336" s="362"/>
      <c r="F336" s="463">
        <v>216</v>
      </c>
      <c r="G336" s="464">
        <v>481</v>
      </c>
      <c r="H336" s="1505" t="s">
        <v>167</v>
      </c>
      <c r="I336" s="1506"/>
      <c r="J336" s="1507"/>
      <c r="K336" s="940">
        <v>1900000</v>
      </c>
      <c r="L336" s="940">
        <v>996211</v>
      </c>
      <c r="M336" s="940">
        <v>2000000</v>
      </c>
      <c r="N336" s="405">
        <v>0</v>
      </c>
      <c r="O336" s="405">
        <v>0</v>
      </c>
      <c r="P336" s="405">
        <v>0</v>
      </c>
      <c r="Q336" s="422">
        <v>0</v>
      </c>
      <c r="R336" s="408">
        <v>0</v>
      </c>
      <c r="S336" s="422">
        <v>0</v>
      </c>
      <c r="T336" s="422">
        <f t="shared" si="103"/>
        <v>0</v>
      </c>
      <c r="U336" s="844">
        <f t="shared" si="104"/>
        <v>2000000</v>
      </c>
      <c r="V336" s="608">
        <v>2000000</v>
      </c>
      <c r="W336" s="844">
        <v>2000000</v>
      </c>
    </row>
    <row r="337" spans="2:23" ht="13.5" customHeight="1">
      <c r="B337" s="284"/>
      <c r="C337" s="285"/>
      <c r="D337" s="428"/>
      <c r="E337" s="346" t="s">
        <v>838</v>
      </c>
      <c r="F337" s="428"/>
      <c r="G337" s="429"/>
      <c r="H337" s="1489" t="s">
        <v>1249</v>
      </c>
      <c r="I337" s="1490"/>
      <c r="J337" s="1491"/>
      <c r="K337" s="916">
        <f aca="true" t="shared" si="112" ref="K337:M338">K338</f>
        <v>1500000</v>
      </c>
      <c r="L337" s="916">
        <f t="shared" si="112"/>
        <v>0</v>
      </c>
      <c r="M337" s="916">
        <f t="shared" si="112"/>
        <v>1500000</v>
      </c>
      <c r="N337" s="290">
        <f aca="true" t="shared" si="113" ref="N337:S337">N338</f>
        <v>0</v>
      </c>
      <c r="O337" s="290">
        <f t="shared" si="113"/>
        <v>0</v>
      </c>
      <c r="P337" s="290">
        <f t="shared" si="113"/>
        <v>0</v>
      </c>
      <c r="Q337" s="290">
        <f t="shared" si="113"/>
        <v>0</v>
      </c>
      <c r="R337" s="290">
        <f t="shared" si="113"/>
        <v>0</v>
      </c>
      <c r="S337" s="290">
        <f t="shared" si="113"/>
        <v>0</v>
      </c>
      <c r="T337" s="335">
        <f t="shared" si="103"/>
        <v>0</v>
      </c>
      <c r="U337" s="845">
        <f t="shared" si="104"/>
        <v>1500000</v>
      </c>
      <c r="V337" s="652">
        <v>1500000</v>
      </c>
      <c r="W337" s="652">
        <v>1500000</v>
      </c>
    </row>
    <row r="338" spans="2:23" s="356" customFormat="1" ht="12.75">
      <c r="B338" s="350"/>
      <c r="C338" s="357"/>
      <c r="D338" s="56">
        <v>412</v>
      </c>
      <c r="E338" s="180"/>
      <c r="F338" s="352"/>
      <c r="G338" s="353"/>
      <c r="H338" s="1526" t="s">
        <v>370</v>
      </c>
      <c r="I338" s="1527"/>
      <c r="J338" s="1528"/>
      <c r="K338" s="768">
        <f t="shared" si="112"/>
        <v>1500000</v>
      </c>
      <c r="L338" s="768">
        <f t="shared" si="112"/>
        <v>0</v>
      </c>
      <c r="M338" s="768">
        <f t="shared" si="112"/>
        <v>1500000</v>
      </c>
      <c r="N338" s="181">
        <f aca="true" t="shared" si="114" ref="N338:S338">N339</f>
        <v>0</v>
      </c>
      <c r="O338" s="181">
        <f t="shared" si="114"/>
        <v>0</v>
      </c>
      <c r="P338" s="768">
        <f t="shared" si="114"/>
        <v>0</v>
      </c>
      <c r="Q338" s="768">
        <f t="shared" si="114"/>
        <v>0</v>
      </c>
      <c r="R338" s="768">
        <f t="shared" si="114"/>
        <v>0</v>
      </c>
      <c r="S338" s="768">
        <f t="shared" si="114"/>
        <v>0</v>
      </c>
      <c r="T338" s="336">
        <f t="shared" si="103"/>
        <v>0</v>
      </c>
      <c r="U338" s="1175">
        <f t="shared" si="104"/>
        <v>1500000</v>
      </c>
      <c r="V338" s="375">
        <v>1500000</v>
      </c>
      <c r="W338" s="1175">
        <v>1500000</v>
      </c>
    </row>
    <row r="339" spans="2:23" s="490" customFormat="1" ht="24.75" customHeight="1">
      <c r="B339" s="769"/>
      <c r="C339" s="770"/>
      <c r="D339" s="771"/>
      <c r="E339" s="770"/>
      <c r="F339" s="772">
        <v>217</v>
      </c>
      <c r="G339" s="773">
        <v>464</v>
      </c>
      <c r="H339" s="1551" t="s">
        <v>1437</v>
      </c>
      <c r="I339" s="1552"/>
      <c r="J339" s="1552"/>
      <c r="K339" s="776">
        <v>1500000</v>
      </c>
      <c r="L339" s="776">
        <v>0</v>
      </c>
      <c r="M339" s="776">
        <v>1500000</v>
      </c>
      <c r="N339" s="774">
        <v>0</v>
      </c>
      <c r="O339" s="775">
        <v>0</v>
      </c>
      <c r="P339" s="776">
        <v>0</v>
      </c>
      <c r="Q339" s="776">
        <v>0</v>
      </c>
      <c r="R339" s="776">
        <v>0</v>
      </c>
      <c r="S339" s="776">
        <v>0</v>
      </c>
      <c r="T339" s="775">
        <f t="shared" si="103"/>
        <v>0</v>
      </c>
      <c r="U339" s="844">
        <f t="shared" si="104"/>
        <v>1500000</v>
      </c>
      <c r="V339" s="376">
        <v>1500000</v>
      </c>
      <c r="W339" s="844">
        <v>1500000</v>
      </c>
    </row>
    <row r="340" spans="2:23" ht="14.25" customHeight="1">
      <c r="B340" s="284"/>
      <c r="C340" s="285"/>
      <c r="D340" s="428"/>
      <c r="E340" s="610" t="s">
        <v>317</v>
      </c>
      <c r="F340" s="428"/>
      <c r="G340" s="429"/>
      <c r="H340" s="1573" t="s">
        <v>1359</v>
      </c>
      <c r="I340" s="1574"/>
      <c r="J340" s="1574"/>
      <c r="K340" s="1072">
        <f>K341+K353</f>
        <v>17440000</v>
      </c>
      <c r="L340" s="1072">
        <f>L341+L353</f>
        <v>1554886.79</v>
      </c>
      <c r="M340" s="1072">
        <f aca="true" t="shared" si="115" ref="M340:S340">M341+M353</f>
        <v>18440000</v>
      </c>
      <c r="N340" s="286">
        <f t="shared" si="115"/>
        <v>0</v>
      </c>
      <c r="O340" s="286">
        <f t="shared" si="115"/>
        <v>0</v>
      </c>
      <c r="P340" s="286">
        <f t="shared" si="115"/>
        <v>28286871.21</v>
      </c>
      <c r="Q340" s="286">
        <f t="shared" si="115"/>
        <v>5500000</v>
      </c>
      <c r="R340" s="286">
        <f t="shared" si="115"/>
        <v>0</v>
      </c>
      <c r="S340" s="286">
        <f t="shared" si="115"/>
        <v>0</v>
      </c>
      <c r="T340" s="334">
        <f t="shared" si="103"/>
        <v>33786871.21</v>
      </c>
      <c r="U340" s="845">
        <f t="shared" si="104"/>
        <v>52226871.21</v>
      </c>
      <c r="V340" s="652">
        <v>52226871.21</v>
      </c>
      <c r="W340" s="652">
        <v>52226871.21</v>
      </c>
    </row>
    <row r="341" spans="2:23" ht="14.25" customHeight="1">
      <c r="B341" s="284"/>
      <c r="C341" s="285"/>
      <c r="D341" s="428"/>
      <c r="E341" s="346" t="s">
        <v>318</v>
      </c>
      <c r="F341" s="428"/>
      <c r="G341" s="429"/>
      <c r="H341" s="1593" t="s">
        <v>1332</v>
      </c>
      <c r="I341" s="1594"/>
      <c r="J341" s="1594"/>
      <c r="K341" s="1062">
        <f aca="true" t="shared" si="116" ref="K341:S341">K342</f>
        <v>14690000</v>
      </c>
      <c r="L341" s="1062">
        <f t="shared" si="116"/>
        <v>660425.3300000001</v>
      </c>
      <c r="M341" s="1062">
        <f t="shared" si="116"/>
        <v>15690000</v>
      </c>
      <c r="N341" s="290">
        <f t="shared" si="116"/>
        <v>0</v>
      </c>
      <c r="O341" s="290">
        <f t="shared" si="116"/>
        <v>0</v>
      </c>
      <c r="P341" s="290">
        <f t="shared" si="116"/>
        <v>28286871.21</v>
      </c>
      <c r="Q341" s="290">
        <f t="shared" si="116"/>
        <v>0</v>
      </c>
      <c r="R341" s="290">
        <f t="shared" si="116"/>
        <v>0</v>
      </c>
      <c r="S341" s="335">
        <f t="shared" si="116"/>
        <v>0</v>
      </c>
      <c r="T341" s="335">
        <f t="shared" si="103"/>
        <v>28286871.21</v>
      </c>
      <c r="U341" s="845">
        <f t="shared" si="104"/>
        <v>43976871.21</v>
      </c>
      <c r="V341" s="652">
        <v>43976871.21</v>
      </c>
      <c r="W341" s="652">
        <v>43976871.21</v>
      </c>
    </row>
    <row r="342" spans="2:23" ht="12.75">
      <c r="B342" s="350"/>
      <c r="C342" s="59"/>
      <c r="D342" s="56">
        <v>451</v>
      </c>
      <c r="E342" s="180"/>
      <c r="F342" s="352"/>
      <c r="G342" s="353"/>
      <c r="H342" s="1543" t="s">
        <v>383</v>
      </c>
      <c r="I342" s="1544"/>
      <c r="J342" s="1545"/>
      <c r="K342" s="947">
        <f>SUM(K343:K352)</f>
        <v>14690000</v>
      </c>
      <c r="L342" s="947">
        <f>SUM(L343:L352)</f>
        <v>660425.3300000001</v>
      </c>
      <c r="M342" s="947">
        <f>SUM(M343:M352)</f>
        <v>15690000</v>
      </c>
      <c r="N342" s="573">
        <f aca="true" t="shared" si="117" ref="N342:S342">SUM(N343:N352)</f>
        <v>0</v>
      </c>
      <c r="O342" s="573">
        <f t="shared" si="117"/>
        <v>0</v>
      </c>
      <c r="P342" s="573">
        <f t="shared" si="117"/>
        <v>28286871.21</v>
      </c>
      <c r="Q342" s="573">
        <f t="shared" si="117"/>
        <v>0</v>
      </c>
      <c r="R342" s="573">
        <f t="shared" si="117"/>
        <v>0</v>
      </c>
      <c r="S342" s="573">
        <f t="shared" si="117"/>
        <v>0</v>
      </c>
      <c r="T342" s="339">
        <f t="shared" si="103"/>
        <v>28286871.21</v>
      </c>
      <c r="U342" s="1175">
        <f t="shared" si="104"/>
        <v>43976871.21</v>
      </c>
      <c r="V342" s="837">
        <v>43976871.21</v>
      </c>
      <c r="W342" s="1175">
        <v>43976871.21</v>
      </c>
    </row>
    <row r="343" spans="2:23" s="356" customFormat="1" ht="12.75">
      <c r="B343" s="350"/>
      <c r="C343" s="59"/>
      <c r="D343" s="358"/>
      <c r="E343" s="351"/>
      <c r="F343" s="352">
        <v>218</v>
      </c>
      <c r="G343" s="353">
        <v>424</v>
      </c>
      <c r="H343" s="1523" t="s">
        <v>1309</v>
      </c>
      <c r="I343" s="1524"/>
      <c r="J343" s="1525"/>
      <c r="K343" s="948">
        <v>1200000</v>
      </c>
      <c r="L343" s="948">
        <v>233000.33000000002</v>
      </c>
      <c r="M343" s="948">
        <v>1200000</v>
      </c>
      <c r="N343" s="404">
        <v>0</v>
      </c>
      <c r="O343" s="354">
        <v>0</v>
      </c>
      <c r="P343" s="354">
        <v>0</v>
      </c>
      <c r="Q343" s="354">
        <v>0</v>
      </c>
      <c r="R343" s="354">
        <v>0</v>
      </c>
      <c r="S343" s="355">
        <v>0</v>
      </c>
      <c r="T343" s="355">
        <f t="shared" si="103"/>
        <v>0</v>
      </c>
      <c r="U343" s="844">
        <f t="shared" si="104"/>
        <v>1200000</v>
      </c>
      <c r="V343" s="766">
        <v>1200000</v>
      </c>
      <c r="W343" s="844">
        <v>1200000</v>
      </c>
    </row>
    <row r="344" spans="2:23" s="356" customFormat="1" ht="12.75">
      <c r="B344" s="350"/>
      <c r="C344" s="59"/>
      <c r="D344" s="358"/>
      <c r="E344" s="351"/>
      <c r="F344" s="368">
        <v>219</v>
      </c>
      <c r="G344" s="353">
        <v>424</v>
      </c>
      <c r="H344" s="1523" t="s">
        <v>1342</v>
      </c>
      <c r="I344" s="1524"/>
      <c r="J344" s="1525"/>
      <c r="K344" s="948">
        <v>240000</v>
      </c>
      <c r="L344" s="948">
        <v>0</v>
      </c>
      <c r="M344" s="948">
        <v>240000</v>
      </c>
      <c r="N344" s="404">
        <v>0</v>
      </c>
      <c r="O344" s="531">
        <v>0</v>
      </c>
      <c r="P344" s="421">
        <v>0</v>
      </c>
      <c r="Q344" s="421">
        <v>0</v>
      </c>
      <c r="R344" s="354">
        <v>0</v>
      </c>
      <c r="S344" s="355">
        <v>0</v>
      </c>
      <c r="T344" s="355">
        <f t="shared" si="103"/>
        <v>0</v>
      </c>
      <c r="U344" s="844">
        <f t="shared" si="104"/>
        <v>240000</v>
      </c>
      <c r="V344" s="766">
        <v>240000</v>
      </c>
      <c r="W344" s="844">
        <v>240000</v>
      </c>
    </row>
    <row r="345" spans="2:23" s="356" customFormat="1" ht="12.75">
      <c r="B345" s="350"/>
      <c r="C345" s="59"/>
      <c r="D345" s="358"/>
      <c r="E345" s="351"/>
      <c r="F345" s="368">
        <v>220</v>
      </c>
      <c r="G345" s="353">
        <v>424</v>
      </c>
      <c r="H345" s="1523" t="s">
        <v>1368</v>
      </c>
      <c r="I345" s="1524"/>
      <c r="J345" s="1525"/>
      <c r="K345" s="948">
        <v>500000</v>
      </c>
      <c r="L345" s="948">
        <v>0</v>
      </c>
      <c r="M345" s="948">
        <v>500000</v>
      </c>
      <c r="N345" s="404">
        <v>0</v>
      </c>
      <c r="O345" s="411">
        <v>0</v>
      </c>
      <c r="P345" s="411">
        <v>0</v>
      </c>
      <c r="Q345" s="411">
        <v>0</v>
      </c>
      <c r="R345" s="411">
        <v>0</v>
      </c>
      <c r="S345" s="411">
        <v>0</v>
      </c>
      <c r="T345" s="355">
        <f t="shared" si="103"/>
        <v>0</v>
      </c>
      <c r="U345" s="844">
        <f t="shared" si="104"/>
        <v>500000</v>
      </c>
      <c r="V345" s="766">
        <v>500000</v>
      </c>
      <c r="W345" s="844">
        <v>500000</v>
      </c>
    </row>
    <row r="346" spans="2:23" s="356" customFormat="1" ht="12.75">
      <c r="B346" s="350"/>
      <c r="C346" s="59"/>
      <c r="D346" s="358"/>
      <c r="E346" s="351"/>
      <c r="F346" s="368">
        <v>221</v>
      </c>
      <c r="G346" s="353">
        <v>424</v>
      </c>
      <c r="H346" s="1523" t="s">
        <v>1343</v>
      </c>
      <c r="I346" s="1524"/>
      <c r="J346" s="1525"/>
      <c r="K346" s="948">
        <v>150000</v>
      </c>
      <c r="L346" s="948">
        <v>3276</v>
      </c>
      <c r="M346" s="948">
        <v>150000</v>
      </c>
      <c r="N346" s="404">
        <v>0</v>
      </c>
      <c r="O346" s="411">
        <v>0</v>
      </c>
      <c r="P346" s="411">
        <v>0</v>
      </c>
      <c r="Q346" s="411">
        <v>0</v>
      </c>
      <c r="R346" s="411">
        <v>0</v>
      </c>
      <c r="S346" s="411">
        <v>0</v>
      </c>
      <c r="T346" s="355">
        <f t="shared" si="103"/>
        <v>0</v>
      </c>
      <c r="U346" s="844">
        <f t="shared" si="104"/>
        <v>150000</v>
      </c>
      <c r="V346" s="766">
        <v>150000</v>
      </c>
      <c r="W346" s="844">
        <v>150000</v>
      </c>
    </row>
    <row r="347" spans="2:23" s="356" customFormat="1" ht="12.75">
      <c r="B347" s="350"/>
      <c r="C347" s="59"/>
      <c r="D347" s="358"/>
      <c r="E347" s="351"/>
      <c r="F347" s="368">
        <v>222</v>
      </c>
      <c r="G347" s="353">
        <v>424</v>
      </c>
      <c r="H347" s="1523" t="s">
        <v>1499</v>
      </c>
      <c r="I347" s="1524"/>
      <c r="J347" s="1525"/>
      <c r="K347" s="948">
        <v>600000</v>
      </c>
      <c r="L347" s="948">
        <v>0</v>
      </c>
      <c r="M347" s="948">
        <v>600000</v>
      </c>
      <c r="N347" s="404">
        <v>0</v>
      </c>
      <c r="O347" s="531">
        <v>0</v>
      </c>
      <c r="P347" s="411">
        <v>0</v>
      </c>
      <c r="Q347" s="411">
        <v>0</v>
      </c>
      <c r="R347" s="404">
        <v>0</v>
      </c>
      <c r="S347" s="417">
        <v>0</v>
      </c>
      <c r="T347" s="355">
        <f t="shared" si="103"/>
        <v>0</v>
      </c>
      <c r="U347" s="844">
        <f t="shared" si="104"/>
        <v>600000</v>
      </c>
      <c r="V347" s="766">
        <v>600000</v>
      </c>
      <c r="W347" s="844">
        <v>600000</v>
      </c>
    </row>
    <row r="348" spans="2:23" s="356" customFormat="1" ht="12.75">
      <c r="B348" s="350"/>
      <c r="C348" s="59"/>
      <c r="D348" s="358"/>
      <c r="E348" s="351"/>
      <c r="F348" s="368">
        <v>223</v>
      </c>
      <c r="G348" s="353">
        <v>424</v>
      </c>
      <c r="H348" s="1523" t="s">
        <v>1310</v>
      </c>
      <c r="I348" s="1524"/>
      <c r="J348" s="1525"/>
      <c r="K348" s="948">
        <v>1000000</v>
      </c>
      <c r="L348" s="948">
        <v>424149</v>
      </c>
      <c r="M348" s="948">
        <v>1000000</v>
      </c>
      <c r="N348" s="607">
        <v>0</v>
      </c>
      <c r="O348" s="531">
        <v>0</v>
      </c>
      <c r="P348" s="721">
        <v>0</v>
      </c>
      <c r="Q348" s="721">
        <v>0</v>
      </c>
      <c r="R348" s="722">
        <v>0</v>
      </c>
      <c r="S348" s="704">
        <v>0</v>
      </c>
      <c r="T348" s="355">
        <f t="shared" si="103"/>
        <v>0</v>
      </c>
      <c r="U348" s="844">
        <f t="shared" si="104"/>
        <v>1000000</v>
      </c>
      <c r="V348" s="766">
        <v>1000000</v>
      </c>
      <c r="W348" s="844">
        <v>1000000</v>
      </c>
    </row>
    <row r="349" spans="2:23" s="356" customFormat="1" ht="12.75">
      <c r="B349" s="350"/>
      <c r="C349" s="59"/>
      <c r="D349" s="358"/>
      <c r="E349" s="351"/>
      <c r="F349" s="368">
        <v>224</v>
      </c>
      <c r="G349" s="353">
        <v>425</v>
      </c>
      <c r="H349" s="1523" t="s">
        <v>1345</v>
      </c>
      <c r="I349" s="1524"/>
      <c r="J349" s="1525"/>
      <c r="K349" s="948">
        <v>1000000</v>
      </c>
      <c r="L349" s="948">
        <v>0</v>
      </c>
      <c r="M349" s="948">
        <v>1000000</v>
      </c>
      <c r="N349" s="736">
        <v>0</v>
      </c>
      <c r="O349" s="457">
        <v>0</v>
      </c>
      <c r="P349" s="625">
        <v>0</v>
      </c>
      <c r="Q349" s="625">
        <v>0</v>
      </c>
      <c r="R349" s="625">
        <v>0</v>
      </c>
      <c r="S349" s="625">
        <v>0</v>
      </c>
      <c r="T349" s="355">
        <f t="shared" si="103"/>
        <v>0</v>
      </c>
      <c r="U349" s="844">
        <f t="shared" si="104"/>
        <v>1000000</v>
      </c>
      <c r="V349" s="766">
        <v>1000000</v>
      </c>
      <c r="W349" s="844">
        <v>1000000</v>
      </c>
    </row>
    <row r="350" spans="2:23" s="356" customFormat="1" ht="12.75">
      <c r="B350" s="350"/>
      <c r="C350" s="59"/>
      <c r="D350" s="358"/>
      <c r="E350" s="371"/>
      <c r="F350" s="368">
        <v>225</v>
      </c>
      <c r="G350" s="364">
        <v>425</v>
      </c>
      <c r="H350" s="1523" t="s">
        <v>1344</v>
      </c>
      <c r="I350" s="1524"/>
      <c r="J350" s="1525"/>
      <c r="K350" s="945">
        <v>4000000</v>
      </c>
      <c r="L350" s="945">
        <v>0</v>
      </c>
      <c r="M350" s="945">
        <v>3000000</v>
      </c>
      <c r="N350" s="645">
        <v>0</v>
      </c>
      <c r="O350" s="645">
        <v>0</v>
      </c>
      <c r="P350" s="764">
        <v>0</v>
      </c>
      <c r="Q350" s="764">
        <v>0</v>
      </c>
      <c r="R350" s="764">
        <v>0</v>
      </c>
      <c r="S350" s="764">
        <v>0</v>
      </c>
      <c r="T350" s="704">
        <f t="shared" si="103"/>
        <v>0</v>
      </c>
      <c r="U350" s="844">
        <f t="shared" si="104"/>
        <v>3000000</v>
      </c>
      <c r="V350" s="766">
        <v>3000000</v>
      </c>
      <c r="W350" s="844">
        <v>3000000</v>
      </c>
    </row>
    <row r="351" spans="2:23" s="356" customFormat="1" ht="12.75">
      <c r="B351" s="350"/>
      <c r="C351" s="59"/>
      <c r="D351" s="358"/>
      <c r="E351" s="371"/>
      <c r="F351" s="368">
        <v>226</v>
      </c>
      <c r="G351" s="364">
        <v>425</v>
      </c>
      <c r="H351" s="1523" t="s">
        <v>1539</v>
      </c>
      <c r="I351" s="1524"/>
      <c r="J351" s="1525"/>
      <c r="K351" s="948">
        <v>5000000</v>
      </c>
      <c r="L351" s="1086">
        <v>0</v>
      </c>
      <c r="M351" s="540">
        <v>7000000</v>
      </c>
      <c r="N351" s="736">
        <v>0</v>
      </c>
      <c r="O351" s="457">
        <v>0</v>
      </c>
      <c r="P351" s="625">
        <v>0</v>
      </c>
      <c r="Q351" s="625">
        <v>0</v>
      </c>
      <c r="R351" s="625">
        <v>0</v>
      </c>
      <c r="S351" s="625">
        <v>0</v>
      </c>
      <c r="T351" s="624">
        <f t="shared" si="103"/>
        <v>0</v>
      </c>
      <c r="U351" s="844">
        <f t="shared" si="104"/>
        <v>7000000</v>
      </c>
      <c r="V351" s="766">
        <v>7000000</v>
      </c>
      <c r="W351" s="844">
        <v>7000000</v>
      </c>
    </row>
    <row r="352" spans="2:23" s="356" customFormat="1" ht="12.75">
      <c r="B352" s="350"/>
      <c r="C352" s="59"/>
      <c r="D352" s="56"/>
      <c r="E352" s="536"/>
      <c r="F352" s="352">
        <v>227</v>
      </c>
      <c r="G352" s="364">
        <v>511</v>
      </c>
      <c r="H352" s="1548" t="s">
        <v>1428</v>
      </c>
      <c r="I352" s="1549"/>
      <c r="J352" s="1550"/>
      <c r="K352" s="945">
        <v>1000000</v>
      </c>
      <c r="L352" s="1087">
        <v>0</v>
      </c>
      <c r="M352" s="540">
        <v>1000000</v>
      </c>
      <c r="N352" s="736">
        <v>0</v>
      </c>
      <c r="O352" s="457">
        <v>0</v>
      </c>
      <c r="P352" s="614">
        <v>28286871.21</v>
      </c>
      <c r="Q352" s="614">
        <v>0</v>
      </c>
      <c r="R352" s="625">
        <v>0</v>
      </c>
      <c r="S352" s="614">
        <v>0</v>
      </c>
      <c r="T352" s="731">
        <f t="shared" si="103"/>
        <v>28286871.21</v>
      </c>
      <c r="U352" s="844">
        <f t="shared" si="104"/>
        <v>29286871.21</v>
      </c>
      <c r="V352" s="376">
        <v>29286871.21</v>
      </c>
      <c r="W352" s="844">
        <v>29286871.21</v>
      </c>
    </row>
    <row r="353" spans="2:23" ht="12.75" customHeight="1">
      <c r="B353" s="284"/>
      <c r="C353" s="285"/>
      <c r="D353" s="428"/>
      <c r="E353" s="346" t="s">
        <v>1521</v>
      </c>
      <c r="F353" s="428"/>
      <c r="G353" s="429"/>
      <c r="H353" s="1489" t="s">
        <v>1522</v>
      </c>
      <c r="I353" s="1490"/>
      <c r="J353" s="1491"/>
      <c r="K353" s="929">
        <f>K354</f>
        <v>2750000</v>
      </c>
      <c r="L353" s="929">
        <f>L354</f>
        <v>894461.46</v>
      </c>
      <c r="M353" s="929">
        <f>M354</f>
        <v>2750000</v>
      </c>
      <c r="N353" s="290">
        <f aca="true" t="shared" si="118" ref="N353:S353">N354</f>
        <v>0</v>
      </c>
      <c r="O353" s="290">
        <f t="shared" si="118"/>
        <v>0</v>
      </c>
      <c r="P353" s="290">
        <f t="shared" si="118"/>
        <v>0</v>
      </c>
      <c r="Q353" s="290">
        <f t="shared" si="118"/>
        <v>5500000</v>
      </c>
      <c r="R353" s="290">
        <f t="shared" si="118"/>
        <v>0</v>
      </c>
      <c r="S353" s="335">
        <f t="shared" si="118"/>
        <v>0</v>
      </c>
      <c r="T353" s="818">
        <f t="shared" si="103"/>
        <v>5500000</v>
      </c>
      <c r="U353" s="845">
        <f t="shared" si="104"/>
        <v>8250000</v>
      </c>
      <c r="V353" s="652">
        <v>8250000</v>
      </c>
      <c r="W353" s="652">
        <v>8250000</v>
      </c>
    </row>
    <row r="354" spans="2:23" s="42" customFormat="1" ht="12.75">
      <c r="B354" s="328"/>
      <c r="C354" s="329"/>
      <c r="D354" s="332">
        <v>451</v>
      </c>
      <c r="E354" s="329"/>
      <c r="F354" s="332"/>
      <c r="G354" s="1073"/>
      <c r="H354" s="1501" t="s">
        <v>383</v>
      </c>
      <c r="I354" s="1502"/>
      <c r="J354" s="1502"/>
      <c r="K354" s="1063">
        <f>SUM(K355:K357)</f>
        <v>2750000</v>
      </c>
      <c r="L354" s="1063">
        <f>SUM(L355:L357)</f>
        <v>894461.46</v>
      </c>
      <c r="M354" s="1063">
        <f>SUM(M355:M357)</f>
        <v>2750000</v>
      </c>
      <c r="N354" s="330">
        <f aca="true" t="shared" si="119" ref="N354:S354">SUM(N355:N357)</f>
        <v>0</v>
      </c>
      <c r="O354" s="330">
        <f t="shared" si="119"/>
        <v>0</v>
      </c>
      <c r="P354" s="330">
        <f t="shared" si="119"/>
        <v>0</v>
      </c>
      <c r="Q354" s="330">
        <f t="shared" si="119"/>
        <v>5500000</v>
      </c>
      <c r="R354" s="330">
        <f t="shared" si="119"/>
        <v>0</v>
      </c>
      <c r="S354" s="341">
        <f t="shared" si="119"/>
        <v>0</v>
      </c>
      <c r="T354" s="821">
        <f t="shared" si="103"/>
        <v>5500000</v>
      </c>
      <c r="U354" s="1175">
        <f t="shared" si="104"/>
        <v>8250000</v>
      </c>
      <c r="V354" s="375">
        <v>8250000</v>
      </c>
      <c r="W354" s="1175">
        <v>8250000</v>
      </c>
    </row>
    <row r="355" spans="2:23" s="356" customFormat="1" ht="12.75" customHeight="1">
      <c r="B355" s="361"/>
      <c r="C355" s="362"/>
      <c r="D355" s="363"/>
      <c r="E355" s="628"/>
      <c r="F355" s="351" t="s">
        <v>1568</v>
      </c>
      <c r="G355" s="641">
        <v>463</v>
      </c>
      <c r="H355" s="1503" t="s">
        <v>1382</v>
      </c>
      <c r="I355" s="1504"/>
      <c r="J355" s="1504"/>
      <c r="K355" s="1064">
        <v>150000</v>
      </c>
      <c r="L355" s="1064">
        <v>0</v>
      </c>
      <c r="M355" s="1064">
        <v>150000</v>
      </c>
      <c r="N355" s="405">
        <v>0</v>
      </c>
      <c r="O355" s="537">
        <v>0</v>
      </c>
      <c r="P355" s="537">
        <v>0</v>
      </c>
      <c r="Q355" s="537">
        <v>250000</v>
      </c>
      <c r="R355" s="615">
        <v>0</v>
      </c>
      <c r="S355" s="659">
        <v>0</v>
      </c>
      <c r="T355" s="822">
        <f t="shared" si="103"/>
        <v>250000</v>
      </c>
      <c r="U355" s="844">
        <f t="shared" si="104"/>
        <v>400000</v>
      </c>
      <c r="V355" s="376">
        <v>400000</v>
      </c>
      <c r="W355" s="844">
        <v>400000</v>
      </c>
    </row>
    <row r="356" spans="2:23" s="356" customFormat="1" ht="12.75" customHeight="1">
      <c r="B356" s="361"/>
      <c r="C356" s="362"/>
      <c r="D356" s="363"/>
      <c r="E356" s="357"/>
      <c r="F356" s="762" t="s">
        <v>1569</v>
      </c>
      <c r="G356" s="352">
        <v>511</v>
      </c>
      <c r="H356" s="1599" t="s">
        <v>1421</v>
      </c>
      <c r="I356" s="1599"/>
      <c r="J356" s="1498"/>
      <c r="K356" s="1064">
        <v>1300000</v>
      </c>
      <c r="L356" s="1064">
        <v>866400</v>
      </c>
      <c r="M356" s="1064">
        <v>1300000</v>
      </c>
      <c r="N356" s="405">
        <v>0</v>
      </c>
      <c r="O356" s="631">
        <v>0</v>
      </c>
      <c r="P356" s="631">
        <v>0</v>
      </c>
      <c r="Q356" s="631">
        <v>2750000</v>
      </c>
      <c r="R356" s="596">
        <v>0</v>
      </c>
      <c r="S356" s="657">
        <v>0</v>
      </c>
      <c r="T356" s="822">
        <f t="shared" si="103"/>
        <v>2750000</v>
      </c>
      <c r="U356" s="844">
        <f t="shared" si="104"/>
        <v>4050000</v>
      </c>
      <c r="V356" s="376">
        <v>4050000</v>
      </c>
      <c r="W356" s="844">
        <v>4050000</v>
      </c>
    </row>
    <row r="357" spans="2:23" s="356" customFormat="1" ht="12.75" customHeight="1">
      <c r="B357" s="361"/>
      <c r="C357" s="362"/>
      <c r="D357" s="363"/>
      <c r="E357" s="604"/>
      <c r="F357" s="763" t="s">
        <v>1570</v>
      </c>
      <c r="G357" s="642">
        <v>512</v>
      </c>
      <c r="H357" s="1546" t="s">
        <v>83</v>
      </c>
      <c r="I357" s="1547"/>
      <c r="J357" s="1547"/>
      <c r="K357" s="1064">
        <v>1300000</v>
      </c>
      <c r="L357" s="1064">
        <v>28061.46</v>
      </c>
      <c r="M357" s="1064">
        <v>1300000</v>
      </c>
      <c r="N357" s="405">
        <v>0</v>
      </c>
      <c r="O357" s="629">
        <v>0</v>
      </c>
      <c r="P357" s="629">
        <v>0</v>
      </c>
      <c r="Q357" s="629">
        <v>2500000</v>
      </c>
      <c r="R357" s="630">
        <v>0</v>
      </c>
      <c r="S357" s="658">
        <v>0</v>
      </c>
      <c r="T357" s="822">
        <f t="shared" si="103"/>
        <v>2500000</v>
      </c>
      <c r="U357" s="844">
        <f aca="true" t="shared" si="120" ref="U357:U388">M357+N357+O357+P357+Q357+R357+S357</f>
        <v>3800000</v>
      </c>
      <c r="V357" s="376">
        <v>3800000</v>
      </c>
      <c r="W357" s="844">
        <v>3800000</v>
      </c>
    </row>
    <row r="358" spans="2:23" s="356" customFormat="1" ht="12.75" customHeight="1">
      <c r="B358" s="51"/>
      <c r="C358" s="52" t="s">
        <v>1298</v>
      </c>
      <c r="D358" s="53"/>
      <c r="E358" s="282"/>
      <c r="F358" s="53"/>
      <c r="G358" s="66"/>
      <c r="H358" s="1597" t="s">
        <v>95</v>
      </c>
      <c r="I358" s="1598"/>
      <c r="J358" s="1598"/>
      <c r="K358" s="949">
        <f>K361</f>
        <v>60991686</v>
      </c>
      <c r="L358" s="949">
        <f>L361</f>
        <v>28414600.03</v>
      </c>
      <c r="M358" s="1088">
        <f>M361</f>
        <v>63094886</v>
      </c>
      <c r="N358" s="737">
        <f aca="true" t="shared" si="121" ref="N358:S358">N361</f>
        <v>0</v>
      </c>
      <c r="O358" s="737">
        <f t="shared" si="121"/>
        <v>0</v>
      </c>
      <c r="P358" s="737">
        <f t="shared" si="121"/>
        <v>5154200</v>
      </c>
      <c r="Q358" s="737">
        <f t="shared" si="121"/>
        <v>237725</v>
      </c>
      <c r="R358" s="737">
        <f t="shared" si="121"/>
        <v>0</v>
      </c>
      <c r="S358" s="737">
        <f t="shared" si="121"/>
        <v>427000</v>
      </c>
      <c r="T358" s="765">
        <f t="shared" si="103"/>
        <v>5818925</v>
      </c>
      <c r="U358" s="1177">
        <f t="shared" si="120"/>
        <v>68913811</v>
      </c>
      <c r="V358" s="846">
        <v>68913811</v>
      </c>
      <c r="W358" s="1109">
        <v>68913811</v>
      </c>
    </row>
    <row r="359" spans="2:23" ht="12.75" customHeight="1">
      <c r="B359" s="284"/>
      <c r="C359" s="285"/>
      <c r="D359" s="428"/>
      <c r="E359" s="610" t="s">
        <v>292</v>
      </c>
      <c r="F359" s="611"/>
      <c r="G359" s="612"/>
      <c r="H359" s="1590" t="s">
        <v>1269</v>
      </c>
      <c r="I359" s="1591"/>
      <c r="J359" s="1592"/>
      <c r="K359" s="933">
        <f aca="true" t="shared" si="122" ref="K359:S360">K360</f>
        <v>60991686</v>
      </c>
      <c r="L359" s="1074">
        <f t="shared" si="122"/>
        <v>28414600.03</v>
      </c>
      <c r="M359" s="1072">
        <f t="shared" si="122"/>
        <v>63094886</v>
      </c>
      <c r="N359" s="286">
        <f t="shared" si="122"/>
        <v>0</v>
      </c>
      <c r="O359" s="286">
        <f t="shared" si="122"/>
        <v>0</v>
      </c>
      <c r="P359" s="286">
        <f t="shared" si="122"/>
        <v>5154200</v>
      </c>
      <c r="Q359" s="286">
        <f t="shared" si="122"/>
        <v>237725</v>
      </c>
      <c r="R359" s="286">
        <f t="shared" si="122"/>
        <v>0</v>
      </c>
      <c r="S359" s="286">
        <f t="shared" si="122"/>
        <v>427000</v>
      </c>
      <c r="T359" s="334">
        <f t="shared" si="103"/>
        <v>5818925</v>
      </c>
      <c r="U359" s="845">
        <f t="shared" si="120"/>
        <v>68913811</v>
      </c>
      <c r="V359" s="652">
        <v>68913811</v>
      </c>
      <c r="W359" s="652">
        <v>68913811</v>
      </c>
    </row>
    <row r="360" spans="2:23" ht="12.75" customHeight="1">
      <c r="B360" s="284"/>
      <c r="C360" s="285"/>
      <c r="D360" s="428"/>
      <c r="E360" s="346" t="s">
        <v>288</v>
      </c>
      <c r="F360" s="428"/>
      <c r="G360" s="429"/>
      <c r="H360" s="1489" t="s">
        <v>1334</v>
      </c>
      <c r="I360" s="1564"/>
      <c r="J360" s="1565"/>
      <c r="K360" s="916">
        <f t="shared" si="122"/>
        <v>60991686</v>
      </c>
      <c r="L360" s="1054">
        <f t="shared" si="122"/>
        <v>28414600.03</v>
      </c>
      <c r="M360" s="1062">
        <f t="shared" si="122"/>
        <v>63094886</v>
      </c>
      <c r="N360" s="290">
        <f t="shared" si="122"/>
        <v>0</v>
      </c>
      <c r="O360" s="290">
        <f t="shared" si="122"/>
        <v>0</v>
      </c>
      <c r="P360" s="290">
        <f t="shared" si="122"/>
        <v>5154200</v>
      </c>
      <c r="Q360" s="290">
        <f t="shared" si="122"/>
        <v>237725</v>
      </c>
      <c r="R360" s="290">
        <f t="shared" si="122"/>
        <v>0</v>
      </c>
      <c r="S360" s="290">
        <f t="shared" si="122"/>
        <v>427000</v>
      </c>
      <c r="T360" s="335">
        <f t="shared" si="103"/>
        <v>5818925</v>
      </c>
      <c r="U360" s="845">
        <f t="shared" si="120"/>
        <v>68913811</v>
      </c>
      <c r="V360" s="652">
        <v>68913811</v>
      </c>
      <c r="W360" s="652">
        <v>68913811</v>
      </c>
    </row>
    <row r="361" spans="2:23" s="356" customFormat="1" ht="12.75" customHeight="1">
      <c r="B361" s="350"/>
      <c r="C361" s="357"/>
      <c r="D361" s="56">
        <v>911</v>
      </c>
      <c r="E361" s="180"/>
      <c r="F361" s="352"/>
      <c r="G361" s="353"/>
      <c r="H361" s="1526" t="s">
        <v>96</v>
      </c>
      <c r="I361" s="1527"/>
      <c r="J361" s="1528"/>
      <c r="K361" s="181">
        <f>SUM(K362:K379)</f>
        <v>60991686</v>
      </c>
      <c r="L361" s="336">
        <f>SUM(L362:L379)</f>
        <v>28414600.03</v>
      </c>
      <c r="M361" s="838">
        <f>SUM(M362:M379)</f>
        <v>63094886</v>
      </c>
      <c r="N361" s="181">
        <f aca="true" t="shared" si="123" ref="N361:S361">SUM(N362:N379)</f>
        <v>0</v>
      </c>
      <c r="O361" s="181">
        <f t="shared" si="123"/>
        <v>0</v>
      </c>
      <c r="P361" s="181">
        <f t="shared" si="123"/>
        <v>5154200</v>
      </c>
      <c r="Q361" s="181">
        <f t="shared" si="123"/>
        <v>237725</v>
      </c>
      <c r="R361" s="181">
        <f t="shared" si="123"/>
        <v>0</v>
      </c>
      <c r="S361" s="181">
        <f t="shared" si="123"/>
        <v>427000</v>
      </c>
      <c r="T361" s="336">
        <f t="shared" si="103"/>
        <v>5818925</v>
      </c>
      <c r="U361" s="1175">
        <f t="shared" si="120"/>
        <v>68913811</v>
      </c>
      <c r="V361" s="375">
        <v>68913811</v>
      </c>
      <c r="W361" s="1175">
        <v>68913811</v>
      </c>
    </row>
    <row r="362" spans="2:23" s="356" customFormat="1" ht="12.75" customHeight="1">
      <c r="B362" s="350"/>
      <c r="C362" s="357"/>
      <c r="D362" s="352"/>
      <c r="E362" s="357"/>
      <c r="F362" s="368">
        <v>231</v>
      </c>
      <c r="G362" s="444">
        <v>411</v>
      </c>
      <c r="H362" s="1508" t="s">
        <v>27</v>
      </c>
      <c r="I362" s="1509"/>
      <c r="J362" s="1510"/>
      <c r="K362" s="746">
        <v>39282252</v>
      </c>
      <c r="L362" s="746">
        <v>19647570.65</v>
      </c>
      <c r="M362" s="372">
        <v>40382252</v>
      </c>
      <c r="N362" s="411">
        <v>0</v>
      </c>
      <c r="O362" s="411">
        <v>0</v>
      </c>
      <c r="P362" s="411">
        <v>0</v>
      </c>
      <c r="Q362" s="414">
        <v>0</v>
      </c>
      <c r="R362" s="411">
        <v>0</v>
      </c>
      <c r="S362" s="414">
        <v>0</v>
      </c>
      <c r="T362" s="417">
        <f t="shared" si="103"/>
        <v>0</v>
      </c>
      <c r="U362" s="844">
        <f t="shared" si="120"/>
        <v>40382252</v>
      </c>
      <c r="V362" s="608">
        <v>40382252</v>
      </c>
      <c r="W362" s="844">
        <v>40382252</v>
      </c>
    </row>
    <row r="363" spans="2:23" s="356" customFormat="1" ht="12.75">
      <c r="B363" s="350"/>
      <c r="C363" s="357"/>
      <c r="D363" s="352"/>
      <c r="E363" s="357"/>
      <c r="F363" s="368">
        <v>232</v>
      </c>
      <c r="G363" s="444">
        <v>412</v>
      </c>
      <c r="H363" s="1508" t="s">
        <v>79</v>
      </c>
      <c r="I363" s="1509"/>
      <c r="J363" s="1510"/>
      <c r="K363" s="746">
        <v>6741444</v>
      </c>
      <c r="L363" s="746">
        <v>3276281.02</v>
      </c>
      <c r="M363" s="746">
        <v>7141444</v>
      </c>
      <c r="N363" s="411">
        <v>0</v>
      </c>
      <c r="O363" s="411">
        <v>0</v>
      </c>
      <c r="P363" s="411">
        <v>0</v>
      </c>
      <c r="Q363" s="414">
        <v>0</v>
      </c>
      <c r="R363" s="411">
        <v>0</v>
      </c>
      <c r="S363" s="414">
        <v>0</v>
      </c>
      <c r="T363" s="417">
        <f t="shared" si="103"/>
        <v>0</v>
      </c>
      <c r="U363" s="844">
        <f t="shared" si="120"/>
        <v>7141444</v>
      </c>
      <c r="V363" s="608">
        <v>7141444</v>
      </c>
      <c r="W363" s="844">
        <v>7141444</v>
      </c>
    </row>
    <row r="364" spans="2:23" s="356" customFormat="1" ht="12.75">
      <c r="B364" s="350"/>
      <c r="C364" s="357"/>
      <c r="D364" s="352"/>
      <c r="E364" s="357"/>
      <c r="F364" s="368">
        <v>233</v>
      </c>
      <c r="G364" s="444">
        <v>413</v>
      </c>
      <c r="H364" s="348" t="s">
        <v>29</v>
      </c>
      <c r="I364" s="442"/>
      <c r="J364" s="443"/>
      <c r="K364" s="746">
        <v>200000</v>
      </c>
      <c r="L364" s="746">
        <v>33651.01</v>
      </c>
      <c r="M364" s="746">
        <v>200000</v>
      </c>
      <c r="N364" s="411">
        <v>0</v>
      </c>
      <c r="O364" s="411">
        <v>0</v>
      </c>
      <c r="P364" s="411">
        <v>150000</v>
      </c>
      <c r="Q364" s="414">
        <v>10000</v>
      </c>
      <c r="R364" s="411">
        <v>0</v>
      </c>
      <c r="S364" s="414">
        <v>0</v>
      </c>
      <c r="T364" s="417">
        <f t="shared" si="103"/>
        <v>160000</v>
      </c>
      <c r="U364" s="844">
        <f t="shared" si="120"/>
        <v>360000</v>
      </c>
      <c r="V364" s="608">
        <v>360000</v>
      </c>
      <c r="W364" s="844">
        <v>360000</v>
      </c>
    </row>
    <row r="365" spans="2:23" s="356" customFormat="1" ht="12.75">
      <c r="B365" s="350"/>
      <c r="C365" s="357"/>
      <c r="D365" s="352"/>
      <c r="E365" s="357"/>
      <c r="F365" s="368">
        <v>234</v>
      </c>
      <c r="G365" s="444">
        <v>414</v>
      </c>
      <c r="H365" s="1508" t="s">
        <v>202</v>
      </c>
      <c r="I365" s="1509"/>
      <c r="J365" s="1510"/>
      <c r="K365" s="746">
        <v>500000</v>
      </c>
      <c r="L365" s="746">
        <v>410668.30000000005</v>
      </c>
      <c r="M365" s="746">
        <v>550000</v>
      </c>
      <c r="N365" s="411">
        <v>0</v>
      </c>
      <c r="O365" s="411">
        <v>0</v>
      </c>
      <c r="P365" s="411">
        <v>25000</v>
      </c>
      <c r="Q365" s="414">
        <v>0</v>
      </c>
      <c r="R365" s="411">
        <v>0</v>
      </c>
      <c r="S365" s="414">
        <v>0</v>
      </c>
      <c r="T365" s="417">
        <f t="shared" si="103"/>
        <v>25000</v>
      </c>
      <c r="U365" s="844">
        <f t="shared" si="120"/>
        <v>575000</v>
      </c>
      <c r="V365" s="608">
        <v>575000</v>
      </c>
      <c r="W365" s="844">
        <v>575000</v>
      </c>
    </row>
    <row r="366" spans="2:23" s="356" customFormat="1" ht="12.75">
      <c r="B366" s="350"/>
      <c r="C366" s="357"/>
      <c r="D366" s="352"/>
      <c r="E366" s="357"/>
      <c r="F366" s="368">
        <v>235</v>
      </c>
      <c r="G366" s="444">
        <v>415</v>
      </c>
      <c r="H366" s="1508" t="s">
        <v>31</v>
      </c>
      <c r="I366" s="1509"/>
      <c r="J366" s="1510"/>
      <c r="K366" s="746">
        <v>4128972</v>
      </c>
      <c r="L366" s="746">
        <v>2002129.33</v>
      </c>
      <c r="M366" s="746">
        <v>4128972</v>
      </c>
      <c r="N366" s="411">
        <v>0</v>
      </c>
      <c r="O366" s="411">
        <v>0</v>
      </c>
      <c r="P366" s="411">
        <v>600000</v>
      </c>
      <c r="Q366" s="414">
        <v>0</v>
      </c>
      <c r="R366" s="411">
        <v>0</v>
      </c>
      <c r="S366" s="414">
        <v>0</v>
      </c>
      <c r="T366" s="417">
        <f t="shared" si="103"/>
        <v>600000</v>
      </c>
      <c r="U366" s="844">
        <f t="shared" si="120"/>
        <v>4728972</v>
      </c>
      <c r="V366" s="608">
        <v>4728972</v>
      </c>
      <c r="W366" s="844">
        <v>4728972</v>
      </c>
    </row>
    <row r="367" spans="2:23" s="356" customFormat="1" ht="12.75">
      <c r="B367" s="350"/>
      <c r="C367" s="357"/>
      <c r="D367" s="352"/>
      <c r="E367" s="357"/>
      <c r="F367" s="368">
        <v>236</v>
      </c>
      <c r="G367" s="444">
        <v>416</v>
      </c>
      <c r="H367" s="1517" t="s">
        <v>200</v>
      </c>
      <c r="I367" s="1518"/>
      <c r="J367" s="1519"/>
      <c r="K367" s="746">
        <v>900000</v>
      </c>
      <c r="L367" s="746">
        <v>0</v>
      </c>
      <c r="M367" s="746">
        <v>1100000</v>
      </c>
      <c r="N367" s="411">
        <v>0</v>
      </c>
      <c r="O367" s="411">
        <v>0</v>
      </c>
      <c r="P367" s="411">
        <v>0</v>
      </c>
      <c r="Q367" s="414">
        <v>0</v>
      </c>
      <c r="R367" s="411">
        <v>0</v>
      </c>
      <c r="S367" s="414">
        <v>0</v>
      </c>
      <c r="T367" s="417">
        <f t="shared" si="103"/>
        <v>0</v>
      </c>
      <c r="U367" s="844">
        <f t="shared" si="120"/>
        <v>1100000</v>
      </c>
      <c r="V367" s="608">
        <v>1100000</v>
      </c>
      <c r="W367" s="844">
        <v>1100000</v>
      </c>
    </row>
    <row r="368" spans="2:23" s="356" customFormat="1" ht="12.75">
      <c r="B368" s="350"/>
      <c r="C368" s="357"/>
      <c r="D368" s="352"/>
      <c r="E368" s="357"/>
      <c r="F368" s="368">
        <v>237</v>
      </c>
      <c r="G368" s="444">
        <v>421</v>
      </c>
      <c r="H368" s="1517" t="s">
        <v>33</v>
      </c>
      <c r="I368" s="1518"/>
      <c r="J368" s="1519"/>
      <c r="K368" s="746">
        <v>1950500</v>
      </c>
      <c r="L368" s="746">
        <v>1152395.7699999998</v>
      </c>
      <c r="M368" s="746">
        <v>2184200</v>
      </c>
      <c r="N368" s="411">
        <v>0</v>
      </c>
      <c r="O368" s="411">
        <v>0</v>
      </c>
      <c r="P368" s="411">
        <v>1555200</v>
      </c>
      <c r="Q368" s="414">
        <v>116500</v>
      </c>
      <c r="R368" s="411">
        <v>0</v>
      </c>
      <c r="S368" s="414">
        <v>2000</v>
      </c>
      <c r="T368" s="417">
        <f t="shared" si="103"/>
        <v>1673700</v>
      </c>
      <c r="U368" s="844">
        <f t="shared" si="120"/>
        <v>3857900</v>
      </c>
      <c r="V368" s="608">
        <v>3857900</v>
      </c>
      <c r="W368" s="844">
        <v>3857900</v>
      </c>
    </row>
    <row r="369" spans="2:23" s="356" customFormat="1" ht="12.75">
      <c r="B369" s="350"/>
      <c r="C369" s="357"/>
      <c r="D369" s="352"/>
      <c r="E369" s="357"/>
      <c r="F369" s="368">
        <v>238</v>
      </c>
      <c r="G369" s="444">
        <v>422</v>
      </c>
      <c r="H369" s="1517" t="s">
        <v>34</v>
      </c>
      <c r="I369" s="1518"/>
      <c r="J369" s="1519"/>
      <c r="K369" s="746">
        <v>160000</v>
      </c>
      <c r="L369" s="746">
        <v>1306.5500000000002</v>
      </c>
      <c r="M369" s="746">
        <v>40000</v>
      </c>
      <c r="N369" s="411">
        <v>0</v>
      </c>
      <c r="O369" s="411">
        <v>0</v>
      </c>
      <c r="P369" s="411">
        <v>0</v>
      </c>
      <c r="Q369" s="414">
        <v>0</v>
      </c>
      <c r="R369" s="411">
        <v>0</v>
      </c>
      <c r="S369" s="414">
        <v>40000</v>
      </c>
      <c r="T369" s="414">
        <f t="shared" si="103"/>
        <v>40000</v>
      </c>
      <c r="U369" s="844">
        <f t="shared" si="120"/>
        <v>80000</v>
      </c>
      <c r="V369" s="608">
        <v>80000</v>
      </c>
      <c r="W369" s="844">
        <v>80000</v>
      </c>
    </row>
    <row r="370" spans="2:23" s="356" customFormat="1" ht="12.75">
      <c r="B370" s="350"/>
      <c r="C370" s="357"/>
      <c r="D370" s="352"/>
      <c r="E370" s="357"/>
      <c r="F370" s="368">
        <v>239</v>
      </c>
      <c r="G370" s="444">
        <v>423</v>
      </c>
      <c r="H370" s="1517" t="s">
        <v>35</v>
      </c>
      <c r="I370" s="1518"/>
      <c r="J370" s="1519"/>
      <c r="K370" s="746">
        <v>317500</v>
      </c>
      <c r="L370" s="746">
        <v>38692</v>
      </c>
      <c r="M370" s="746">
        <v>316000</v>
      </c>
      <c r="N370" s="411">
        <v>0</v>
      </c>
      <c r="O370" s="411">
        <v>0</v>
      </c>
      <c r="P370" s="411">
        <v>255500</v>
      </c>
      <c r="Q370" s="414">
        <v>12500</v>
      </c>
      <c r="R370" s="411">
        <v>0</v>
      </c>
      <c r="S370" s="414">
        <v>385000</v>
      </c>
      <c r="T370" s="414">
        <f t="shared" si="103"/>
        <v>653000</v>
      </c>
      <c r="U370" s="844">
        <f t="shared" si="120"/>
        <v>969000</v>
      </c>
      <c r="V370" s="608">
        <v>969000</v>
      </c>
      <c r="W370" s="844">
        <v>969000</v>
      </c>
    </row>
    <row r="371" spans="2:23" s="356" customFormat="1" ht="12.75">
      <c r="B371" s="350"/>
      <c r="C371" s="357"/>
      <c r="D371" s="352"/>
      <c r="E371" s="357"/>
      <c r="F371" s="368">
        <v>240</v>
      </c>
      <c r="G371" s="444">
        <v>424</v>
      </c>
      <c r="H371" s="1508" t="s">
        <v>36</v>
      </c>
      <c r="I371" s="1509"/>
      <c r="J371" s="1510"/>
      <c r="K371" s="746">
        <v>378000</v>
      </c>
      <c r="L371" s="746">
        <v>55710</v>
      </c>
      <c r="M371" s="746">
        <v>978000</v>
      </c>
      <c r="N371" s="411">
        <v>0</v>
      </c>
      <c r="O371" s="411">
        <v>0</v>
      </c>
      <c r="P371" s="411">
        <v>451000</v>
      </c>
      <c r="Q371" s="414">
        <v>30600</v>
      </c>
      <c r="R371" s="411">
        <v>0</v>
      </c>
      <c r="S371" s="414">
        <v>0</v>
      </c>
      <c r="T371" s="414">
        <f t="shared" si="103"/>
        <v>481600</v>
      </c>
      <c r="U371" s="844">
        <f t="shared" si="120"/>
        <v>1459600</v>
      </c>
      <c r="V371" s="608">
        <v>1459600</v>
      </c>
      <c r="W371" s="844">
        <v>1459600</v>
      </c>
    </row>
    <row r="372" spans="2:23" s="356" customFormat="1" ht="12.75">
      <c r="B372" s="350"/>
      <c r="C372" s="357"/>
      <c r="D372" s="352"/>
      <c r="E372" s="357"/>
      <c r="F372" s="368">
        <v>241</v>
      </c>
      <c r="G372" s="444">
        <v>425</v>
      </c>
      <c r="H372" s="1508" t="s">
        <v>91</v>
      </c>
      <c r="I372" s="1509"/>
      <c r="J372" s="1510"/>
      <c r="K372" s="746">
        <v>90000</v>
      </c>
      <c r="L372" s="746">
        <v>13600</v>
      </c>
      <c r="M372" s="746">
        <v>190000</v>
      </c>
      <c r="N372" s="411">
        <v>0</v>
      </c>
      <c r="O372" s="411">
        <v>0</v>
      </c>
      <c r="P372" s="411">
        <v>240000</v>
      </c>
      <c r="Q372" s="414">
        <v>0</v>
      </c>
      <c r="R372" s="411">
        <v>0</v>
      </c>
      <c r="S372" s="414">
        <v>0</v>
      </c>
      <c r="T372" s="414">
        <f t="shared" si="103"/>
        <v>240000</v>
      </c>
      <c r="U372" s="844">
        <f t="shared" si="120"/>
        <v>430000</v>
      </c>
      <c r="V372" s="608">
        <v>430000</v>
      </c>
      <c r="W372" s="844">
        <v>430000</v>
      </c>
    </row>
    <row r="373" spans="2:23" s="356" customFormat="1" ht="12.75">
      <c r="B373" s="350"/>
      <c r="C373" s="357"/>
      <c r="D373" s="352"/>
      <c r="E373" s="357"/>
      <c r="F373" s="368">
        <v>242</v>
      </c>
      <c r="G373" s="444">
        <v>426</v>
      </c>
      <c r="H373" s="1517" t="s">
        <v>38</v>
      </c>
      <c r="I373" s="1518"/>
      <c r="J373" s="1519"/>
      <c r="K373" s="746">
        <v>3816079</v>
      </c>
      <c r="L373" s="746">
        <v>1408360.7599999998</v>
      </c>
      <c r="M373" s="746">
        <v>3781079</v>
      </c>
      <c r="N373" s="411">
        <v>0</v>
      </c>
      <c r="O373" s="411">
        <v>0</v>
      </c>
      <c r="P373" s="411">
        <v>1872500</v>
      </c>
      <c r="Q373" s="414">
        <v>68125</v>
      </c>
      <c r="R373" s="411">
        <v>0</v>
      </c>
      <c r="S373" s="414">
        <v>0</v>
      </c>
      <c r="T373" s="414">
        <f t="shared" si="103"/>
        <v>1940625</v>
      </c>
      <c r="U373" s="844">
        <f t="shared" si="120"/>
        <v>5721704</v>
      </c>
      <c r="V373" s="608">
        <v>5721704</v>
      </c>
      <c r="W373" s="844">
        <v>5721704</v>
      </c>
    </row>
    <row r="374" spans="2:23" s="356" customFormat="1" ht="12.75">
      <c r="B374" s="350"/>
      <c r="C374" s="357"/>
      <c r="D374" s="352"/>
      <c r="E374" s="357"/>
      <c r="F374" s="368">
        <v>243</v>
      </c>
      <c r="G374" s="444">
        <v>444</v>
      </c>
      <c r="H374" s="1517" t="s">
        <v>1405</v>
      </c>
      <c r="I374" s="1518"/>
      <c r="J374" s="1519"/>
      <c r="K374" s="746">
        <v>1000</v>
      </c>
      <c r="L374" s="746">
        <v>192.76000000000002</v>
      </c>
      <c r="M374" s="746">
        <v>1000</v>
      </c>
      <c r="N374" s="411">
        <v>0</v>
      </c>
      <c r="O374" s="411">
        <v>0</v>
      </c>
      <c r="P374" s="411">
        <v>0</v>
      </c>
      <c r="Q374" s="414">
        <v>0</v>
      </c>
      <c r="R374" s="411">
        <v>0</v>
      </c>
      <c r="S374" s="414">
        <v>0</v>
      </c>
      <c r="T374" s="414">
        <f t="shared" si="103"/>
        <v>0</v>
      </c>
      <c r="U374" s="844">
        <f t="shared" si="120"/>
        <v>1000</v>
      </c>
      <c r="V374" s="608">
        <v>1000</v>
      </c>
      <c r="W374" s="844">
        <v>1000</v>
      </c>
    </row>
    <row r="375" spans="2:23" s="356" customFormat="1" ht="12.75">
      <c r="B375" s="350"/>
      <c r="C375" s="357"/>
      <c r="D375" s="352"/>
      <c r="E375" s="357"/>
      <c r="F375" s="368">
        <v>244</v>
      </c>
      <c r="G375" s="444">
        <v>465</v>
      </c>
      <c r="H375" s="1517" t="s">
        <v>213</v>
      </c>
      <c r="I375" s="1518"/>
      <c r="J375" s="1519"/>
      <c r="K375" s="746">
        <v>600000</v>
      </c>
      <c r="L375" s="746">
        <v>260511.88</v>
      </c>
      <c r="M375" s="746">
        <v>300000</v>
      </c>
      <c r="N375" s="411">
        <v>0</v>
      </c>
      <c r="O375" s="411">
        <v>0</v>
      </c>
      <c r="P375" s="411">
        <v>0</v>
      </c>
      <c r="Q375" s="414">
        <v>0</v>
      </c>
      <c r="R375" s="411">
        <v>0</v>
      </c>
      <c r="S375" s="414">
        <v>0</v>
      </c>
      <c r="T375" s="414">
        <f t="shared" si="103"/>
        <v>0</v>
      </c>
      <c r="U375" s="844">
        <f t="shared" si="120"/>
        <v>300000</v>
      </c>
      <c r="V375" s="608">
        <v>300000</v>
      </c>
      <c r="W375" s="844">
        <v>300000</v>
      </c>
    </row>
    <row r="376" spans="2:23" s="356" customFormat="1" ht="12.75">
      <c r="B376" s="350"/>
      <c r="C376" s="357"/>
      <c r="D376" s="352"/>
      <c r="E376" s="357"/>
      <c r="F376" s="368">
        <v>245</v>
      </c>
      <c r="G376" s="444">
        <v>482</v>
      </c>
      <c r="H376" s="1508" t="s">
        <v>82</v>
      </c>
      <c r="I376" s="1509"/>
      <c r="J376" s="1510"/>
      <c r="K376" s="746">
        <v>42939</v>
      </c>
      <c r="L376" s="746">
        <v>1570</v>
      </c>
      <c r="M376" s="746">
        <v>18939</v>
      </c>
      <c r="N376" s="411">
        <v>0</v>
      </c>
      <c r="O376" s="411">
        <v>0</v>
      </c>
      <c r="P376" s="411">
        <v>5000</v>
      </c>
      <c r="Q376" s="414">
        <v>0</v>
      </c>
      <c r="R376" s="411">
        <v>0</v>
      </c>
      <c r="S376" s="414">
        <v>0</v>
      </c>
      <c r="T376" s="414">
        <f t="shared" si="103"/>
        <v>5000</v>
      </c>
      <c r="U376" s="844">
        <f t="shared" si="120"/>
        <v>23939</v>
      </c>
      <c r="V376" s="608">
        <v>23939</v>
      </c>
      <c r="W376" s="844">
        <v>23939</v>
      </c>
    </row>
    <row r="377" spans="2:23" s="356" customFormat="1" ht="12.75">
      <c r="B377" s="563"/>
      <c r="C377" s="483"/>
      <c r="D377" s="564"/>
      <c r="E377" s="483"/>
      <c r="F377" s="368">
        <v>246</v>
      </c>
      <c r="G377" s="533">
        <v>511</v>
      </c>
      <c r="H377" s="541" t="s">
        <v>114</v>
      </c>
      <c r="I377" s="717"/>
      <c r="J377" s="718"/>
      <c r="K377" s="936">
        <v>300000</v>
      </c>
      <c r="L377" s="936">
        <v>0</v>
      </c>
      <c r="M377" s="936">
        <v>300000</v>
      </c>
      <c r="N377" s="411">
        <v>0</v>
      </c>
      <c r="O377" s="531">
        <v>0</v>
      </c>
      <c r="P377" s="531">
        <v>0</v>
      </c>
      <c r="Q377" s="451">
        <v>0</v>
      </c>
      <c r="R377" s="531">
        <v>0</v>
      </c>
      <c r="S377" s="451">
        <v>0</v>
      </c>
      <c r="T377" s="451">
        <f t="shared" si="103"/>
        <v>0</v>
      </c>
      <c r="U377" s="844">
        <f t="shared" si="120"/>
        <v>300000</v>
      </c>
      <c r="V377" s="608">
        <v>300000</v>
      </c>
      <c r="W377" s="844">
        <v>300000</v>
      </c>
    </row>
    <row r="378" spans="2:23" s="356" customFormat="1" ht="12.75">
      <c r="B378" s="563"/>
      <c r="C378" s="483"/>
      <c r="D378" s="564"/>
      <c r="E378" s="483"/>
      <c r="F378" s="368">
        <v>247</v>
      </c>
      <c r="G378" s="533">
        <v>512</v>
      </c>
      <c r="H378" s="1505" t="s">
        <v>83</v>
      </c>
      <c r="I378" s="1506"/>
      <c r="J378" s="1507"/>
      <c r="K378" s="936">
        <v>1533000</v>
      </c>
      <c r="L378" s="936">
        <v>111960</v>
      </c>
      <c r="M378" s="936">
        <v>1383000</v>
      </c>
      <c r="N378" s="411">
        <v>0</v>
      </c>
      <c r="O378" s="531">
        <v>0</v>
      </c>
      <c r="P378" s="531">
        <v>0</v>
      </c>
      <c r="Q378" s="451">
        <v>0</v>
      </c>
      <c r="R378" s="531">
        <v>0</v>
      </c>
      <c r="S378" s="451">
        <v>0</v>
      </c>
      <c r="T378" s="451">
        <f t="shared" si="103"/>
        <v>0</v>
      </c>
      <c r="U378" s="844">
        <f t="shared" si="120"/>
        <v>1383000</v>
      </c>
      <c r="V378" s="608">
        <v>1383000</v>
      </c>
      <c r="W378" s="844">
        <v>1383000</v>
      </c>
    </row>
    <row r="379" spans="2:23" s="356" customFormat="1" ht="12.75">
      <c r="B379" s="485"/>
      <c r="C379" s="485"/>
      <c r="D379" s="532"/>
      <c r="E379" s="485"/>
      <c r="F379" s="368">
        <v>248</v>
      </c>
      <c r="G379" s="482">
        <v>515</v>
      </c>
      <c r="H379" s="1523" t="s">
        <v>1173</v>
      </c>
      <c r="I379" s="1524"/>
      <c r="J379" s="1525"/>
      <c r="K379" s="948">
        <v>50000</v>
      </c>
      <c r="L379" s="948">
        <v>0</v>
      </c>
      <c r="M379" s="948">
        <v>100000</v>
      </c>
      <c r="N379" s="404">
        <v>0</v>
      </c>
      <c r="O379" s="457">
        <v>0</v>
      </c>
      <c r="P379" s="457">
        <v>0</v>
      </c>
      <c r="Q379" s="457">
        <v>0</v>
      </c>
      <c r="R379" s="457">
        <v>0</v>
      </c>
      <c r="S379" s="457">
        <v>0</v>
      </c>
      <c r="T379" s="733">
        <f t="shared" si="103"/>
        <v>0</v>
      </c>
      <c r="U379" s="844">
        <f t="shared" si="120"/>
        <v>100000</v>
      </c>
      <c r="V379" s="608">
        <v>100000</v>
      </c>
      <c r="W379" s="844">
        <v>100000</v>
      </c>
    </row>
    <row r="380" spans="2:23" ht="12.75">
      <c r="B380" s="51"/>
      <c r="C380" s="52" t="s">
        <v>1209</v>
      </c>
      <c r="D380" s="53"/>
      <c r="E380" s="282"/>
      <c r="F380" s="53"/>
      <c r="G380" s="66"/>
      <c r="H380" s="1587" t="s">
        <v>279</v>
      </c>
      <c r="I380" s="1588"/>
      <c r="J380" s="1588"/>
      <c r="K380" s="950">
        <f>K381</f>
        <v>13724453</v>
      </c>
      <c r="L380" s="950">
        <f>L381</f>
        <v>5693357.43</v>
      </c>
      <c r="M380" s="950">
        <f>M381</f>
        <v>14064711</v>
      </c>
      <c r="N380" s="67">
        <f aca="true" t="shared" si="124" ref="N380:S380">N381</f>
        <v>180000</v>
      </c>
      <c r="O380" s="67">
        <f t="shared" si="124"/>
        <v>400000</v>
      </c>
      <c r="P380" s="67">
        <f t="shared" si="124"/>
        <v>150000</v>
      </c>
      <c r="Q380" s="67">
        <f t="shared" si="124"/>
        <v>105549</v>
      </c>
      <c r="R380" s="67">
        <f t="shared" si="124"/>
        <v>0</v>
      </c>
      <c r="S380" s="67">
        <f t="shared" si="124"/>
        <v>0</v>
      </c>
      <c r="T380" s="337">
        <f t="shared" si="103"/>
        <v>835549</v>
      </c>
      <c r="U380" s="1109">
        <f t="shared" si="120"/>
        <v>14900260</v>
      </c>
      <c r="V380" s="846">
        <v>14900260</v>
      </c>
      <c r="W380" s="1109">
        <v>14900260</v>
      </c>
    </row>
    <row r="381" spans="2:23" ht="12.75">
      <c r="B381" s="284"/>
      <c r="C381" s="285"/>
      <c r="D381" s="428"/>
      <c r="E381" s="610" t="s">
        <v>294</v>
      </c>
      <c r="F381" s="611"/>
      <c r="G381" s="612"/>
      <c r="H381" s="1520" t="s">
        <v>1270</v>
      </c>
      <c r="I381" s="1521"/>
      <c r="J381" s="1522"/>
      <c r="K381" s="933">
        <f>K382+K399</f>
        <v>13724453</v>
      </c>
      <c r="L381" s="933">
        <f>L382+L399</f>
        <v>5693357.43</v>
      </c>
      <c r="M381" s="933">
        <f aca="true" t="shared" si="125" ref="M381:T381">M382+M399</f>
        <v>14064711</v>
      </c>
      <c r="N381" s="933">
        <f t="shared" si="125"/>
        <v>180000</v>
      </c>
      <c r="O381" s="933">
        <f t="shared" si="125"/>
        <v>400000</v>
      </c>
      <c r="P381" s="933">
        <f t="shared" si="125"/>
        <v>150000</v>
      </c>
      <c r="Q381" s="933">
        <f t="shared" si="125"/>
        <v>105549</v>
      </c>
      <c r="R381" s="933">
        <f t="shared" si="125"/>
        <v>0</v>
      </c>
      <c r="S381" s="933">
        <f t="shared" si="125"/>
        <v>0</v>
      </c>
      <c r="T381" s="933">
        <f t="shared" si="125"/>
        <v>835549</v>
      </c>
      <c r="U381" s="1107">
        <f t="shared" si="120"/>
        <v>14900260</v>
      </c>
      <c r="V381" s="652">
        <v>14900260</v>
      </c>
      <c r="W381" s="652">
        <v>14900260</v>
      </c>
    </row>
    <row r="382" spans="2:23" s="356" customFormat="1" ht="12.75" customHeight="1">
      <c r="B382" s="284"/>
      <c r="C382" s="285"/>
      <c r="D382" s="428"/>
      <c r="E382" s="346" t="s">
        <v>295</v>
      </c>
      <c r="F382" s="428"/>
      <c r="G382" s="429"/>
      <c r="H382" s="1489" t="s">
        <v>323</v>
      </c>
      <c r="I382" s="1490"/>
      <c r="J382" s="1491"/>
      <c r="K382" s="916">
        <f aca="true" t="shared" si="126" ref="K382:S382">K383</f>
        <v>11828453</v>
      </c>
      <c r="L382" s="916">
        <f t="shared" si="126"/>
        <v>5255226.4399999995</v>
      </c>
      <c r="M382" s="916">
        <f t="shared" si="126"/>
        <v>12278711</v>
      </c>
      <c r="N382" s="290">
        <f t="shared" si="126"/>
        <v>138000</v>
      </c>
      <c r="O382" s="290">
        <f t="shared" si="126"/>
        <v>400000</v>
      </c>
      <c r="P382" s="290">
        <f t="shared" si="126"/>
        <v>150000</v>
      </c>
      <c r="Q382" s="290">
        <f t="shared" si="126"/>
        <v>80549</v>
      </c>
      <c r="R382" s="290">
        <f t="shared" si="126"/>
        <v>0</v>
      </c>
      <c r="S382" s="290">
        <f t="shared" si="126"/>
        <v>0</v>
      </c>
      <c r="T382" s="335">
        <f t="shared" si="103"/>
        <v>768549</v>
      </c>
      <c r="U382" s="845">
        <f t="shared" si="120"/>
        <v>13047260</v>
      </c>
      <c r="V382" s="652">
        <v>13047260</v>
      </c>
      <c r="W382" s="652">
        <v>13047260</v>
      </c>
    </row>
    <row r="383" spans="2:23" s="356" customFormat="1" ht="12.75">
      <c r="B383" s="350"/>
      <c r="C383" s="357"/>
      <c r="D383" s="180" t="s">
        <v>551</v>
      </c>
      <c r="E383" s="180"/>
      <c r="F383" s="352"/>
      <c r="G383" s="353"/>
      <c r="H383" s="1526" t="s">
        <v>170</v>
      </c>
      <c r="I383" s="1527"/>
      <c r="J383" s="1528"/>
      <c r="K383" s="181">
        <f>SUM(K384:K398)</f>
        <v>11828453</v>
      </c>
      <c r="L383" s="181">
        <f>SUM(L384:L398)</f>
        <v>5255226.4399999995</v>
      </c>
      <c r="M383" s="181">
        <f>SUM(M384:M398)</f>
        <v>12278711</v>
      </c>
      <c r="N383" s="65">
        <f aca="true" t="shared" si="127" ref="N383:S383">SUM(N384:N398)</f>
        <v>138000</v>
      </c>
      <c r="O383" s="65">
        <f t="shared" si="127"/>
        <v>400000</v>
      </c>
      <c r="P383" s="65">
        <f t="shared" si="127"/>
        <v>150000</v>
      </c>
      <c r="Q383" s="65">
        <f t="shared" si="127"/>
        <v>80549</v>
      </c>
      <c r="R383" s="65">
        <f t="shared" si="127"/>
        <v>0</v>
      </c>
      <c r="S383" s="65">
        <f t="shared" si="127"/>
        <v>0</v>
      </c>
      <c r="T383" s="340">
        <f t="shared" si="103"/>
        <v>768549</v>
      </c>
      <c r="U383" s="1175">
        <f t="shared" si="120"/>
        <v>13047260</v>
      </c>
      <c r="V383" s="375">
        <v>13047260</v>
      </c>
      <c r="W383" s="1175">
        <v>13047260</v>
      </c>
    </row>
    <row r="384" spans="2:23" s="356" customFormat="1" ht="12.75">
      <c r="B384" s="350"/>
      <c r="C384" s="357"/>
      <c r="D384" s="352"/>
      <c r="E384" s="357"/>
      <c r="F384" s="368">
        <v>249</v>
      </c>
      <c r="G384" s="444">
        <v>411</v>
      </c>
      <c r="H384" s="1508" t="s">
        <v>27</v>
      </c>
      <c r="I384" s="1509"/>
      <c r="J384" s="1510"/>
      <c r="K384" s="746">
        <v>5808948</v>
      </c>
      <c r="L384" s="746">
        <v>3075734.96</v>
      </c>
      <c r="M384" s="746">
        <v>6099395</v>
      </c>
      <c r="N384" s="411">
        <v>0</v>
      </c>
      <c r="O384" s="411">
        <v>0</v>
      </c>
      <c r="P384" s="411">
        <v>0</v>
      </c>
      <c r="Q384" s="408">
        <v>0</v>
      </c>
      <c r="R384" s="411">
        <v>0</v>
      </c>
      <c r="S384" s="414">
        <v>0</v>
      </c>
      <c r="T384" s="414">
        <f t="shared" si="103"/>
        <v>0</v>
      </c>
      <c r="U384" s="844">
        <f t="shared" si="120"/>
        <v>6099395</v>
      </c>
      <c r="V384" s="376">
        <v>6099395</v>
      </c>
      <c r="W384" s="844">
        <v>6099395</v>
      </c>
    </row>
    <row r="385" spans="2:23" s="356" customFormat="1" ht="12.75" customHeight="1">
      <c r="B385" s="350"/>
      <c r="C385" s="357"/>
      <c r="D385" s="352"/>
      <c r="E385" s="357"/>
      <c r="F385" s="368">
        <v>250</v>
      </c>
      <c r="G385" s="444">
        <v>412</v>
      </c>
      <c r="H385" s="1508" t="s">
        <v>79</v>
      </c>
      <c r="I385" s="1509"/>
      <c r="J385" s="1510"/>
      <c r="K385" s="746">
        <v>996234</v>
      </c>
      <c r="L385" s="746">
        <v>512109.9</v>
      </c>
      <c r="M385" s="746">
        <v>1046045</v>
      </c>
      <c r="N385" s="411">
        <v>0</v>
      </c>
      <c r="O385" s="411">
        <v>0</v>
      </c>
      <c r="P385" s="411">
        <v>0</v>
      </c>
      <c r="Q385" s="408">
        <v>0</v>
      </c>
      <c r="R385" s="411">
        <v>0</v>
      </c>
      <c r="S385" s="414">
        <v>0</v>
      </c>
      <c r="T385" s="414">
        <f t="shared" si="103"/>
        <v>0</v>
      </c>
      <c r="U385" s="844">
        <f t="shared" si="120"/>
        <v>1046045</v>
      </c>
      <c r="V385" s="376">
        <v>1046045</v>
      </c>
      <c r="W385" s="844">
        <v>1046045</v>
      </c>
    </row>
    <row r="386" spans="2:23" s="356" customFormat="1" ht="12.75">
      <c r="B386" s="350"/>
      <c r="C386" s="357"/>
      <c r="D386" s="352"/>
      <c r="E386" s="357"/>
      <c r="F386" s="368">
        <v>251</v>
      </c>
      <c r="G386" s="444">
        <v>414</v>
      </c>
      <c r="H386" s="1508" t="s">
        <v>30</v>
      </c>
      <c r="I386" s="1509"/>
      <c r="J386" s="1510"/>
      <c r="K386" s="746">
        <v>200000</v>
      </c>
      <c r="L386" s="746">
        <v>17450</v>
      </c>
      <c r="M386" s="746">
        <v>200000</v>
      </c>
      <c r="N386" s="411">
        <v>0</v>
      </c>
      <c r="O386" s="411">
        <v>0</v>
      </c>
      <c r="P386" s="411">
        <v>0</v>
      </c>
      <c r="Q386" s="408">
        <v>0</v>
      </c>
      <c r="R386" s="411">
        <v>0</v>
      </c>
      <c r="S386" s="414">
        <v>0</v>
      </c>
      <c r="T386" s="414">
        <f t="shared" si="103"/>
        <v>0</v>
      </c>
      <c r="U386" s="844">
        <f t="shared" si="120"/>
        <v>200000</v>
      </c>
      <c r="V386" s="376">
        <v>200000</v>
      </c>
      <c r="W386" s="844">
        <v>200000</v>
      </c>
    </row>
    <row r="387" spans="2:23" s="356" customFormat="1" ht="12.75">
      <c r="B387" s="350"/>
      <c r="C387" s="357"/>
      <c r="D387" s="352"/>
      <c r="E387" s="357"/>
      <c r="F387" s="368">
        <v>252</v>
      </c>
      <c r="G387" s="444">
        <v>415</v>
      </c>
      <c r="H387" s="1508" t="s">
        <v>31</v>
      </c>
      <c r="I387" s="1509"/>
      <c r="J387" s="1510"/>
      <c r="K387" s="746">
        <v>870000</v>
      </c>
      <c r="L387" s="746">
        <v>355769</v>
      </c>
      <c r="M387" s="746">
        <v>870000</v>
      </c>
      <c r="N387" s="411">
        <v>0</v>
      </c>
      <c r="O387" s="411">
        <v>0</v>
      </c>
      <c r="P387" s="411">
        <v>0</v>
      </c>
      <c r="Q387" s="408">
        <v>0</v>
      </c>
      <c r="R387" s="411">
        <v>0</v>
      </c>
      <c r="S387" s="414">
        <v>0</v>
      </c>
      <c r="T387" s="414">
        <f t="shared" si="103"/>
        <v>0</v>
      </c>
      <c r="U387" s="844">
        <f t="shared" si="120"/>
        <v>870000</v>
      </c>
      <c r="V387" s="376">
        <v>870000</v>
      </c>
      <c r="W387" s="844">
        <v>870000</v>
      </c>
    </row>
    <row r="388" spans="2:23" s="356" customFormat="1" ht="12.75">
      <c r="B388" s="350"/>
      <c r="C388" s="357"/>
      <c r="D388" s="352"/>
      <c r="E388" s="357"/>
      <c r="F388" s="368">
        <v>253</v>
      </c>
      <c r="G388" s="444">
        <v>416</v>
      </c>
      <c r="H388" s="348" t="s">
        <v>200</v>
      </c>
      <c r="I388" s="442"/>
      <c r="J388" s="443"/>
      <c r="K388" s="746">
        <v>200000</v>
      </c>
      <c r="L388" s="746">
        <v>191218</v>
      </c>
      <c r="M388" s="746">
        <v>400000</v>
      </c>
      <c r="N388" s="411">
        <v>0</v>
      </c>
      <c r="O388" s="411">
        <v>0</v>
      </c>
      <c r="P388" s="411">
        <v>0</v>
      </c>
      <c r="Q388" s="408">
        <v>0</v>
      </c>
      <c r="R388" s="411">
        <v>0</v>
      </c>
      <c r="S388" s="414">
        <v>0</v>
      </c>
      <c r="T388" s="414">
        <f t="shared" si="103"/>
        <v>0</v>
      </c>
      <c r="U388" s="844">
        <f t="shared" si="120"/>
        <v>400000</v>
      </c>
      <c r="V388" s="376">
        <v>400000</v>
      </c>
      <c r="W388" s="844">
        <v>400000</v>
      </c>
    </row>
    <row r="389" spans="2:23" s="356" customFormat="1" ht="12.75">
      <c r="B389" s="350"/>
      <c r="C389" s="357"/>
      <c r="D389" s="352"/>
      <c r="E389" s="357"/>
      <c r="F389" s="368">
        <v>254</v>
      </c>
      <c r="G389" s="444">
        <v>421</v>
      </c>
      <c r="H389" s="1508" t="s">
        <v>33</v>
      </c>
      <c r="I389" s="1509"/>
      <c r="J389" s="1510"/>
      <c r="K389" s="746">
        <v>1937606</v>
      </c>
      <c r="L389" s="746">
        <v>741804.4500000001</v>
      </c>
      <c r="M389" s="746">
        <v>1837606</v>
      </c>
      <c r="N389" s="411">
        <v>23000</v>
      </c>
      <c r="O389" s="411">
        <v>0</v>
      </c>
      <c r="P389" s="411">
        <v>0</v>
      </c>
      <c r="Q389" s="408">
        <v>0</v>
      </c>
      <c r="R389" s="411">
        <v>0</v>
      </c>
      <c r="S389" s="414">
        <v>0</v>
      </c>
      <c r="T389" s="414">
        <f t="shared" si="103"/>
        <v>23000</v>
      </c>
      <c r="U389" s="844">
        <f aca="true" t="shared" si="128" ref="U389:U420">M389+N389+O389+P389+Q389+R389+S389</f>
        <v>1860606</v>
      </c>
      <c r="V389" s="376">
        <v>1860606</v>
      </c>
      <c r="W389" s="844">
        <v>1860606</v>
      </c>
    </row>
    <row r="390" spans="2:23" s="356" customFormat="1" ht="12.75">
      <c r="B390" s="350"/>
      <c r="C390" s="357"/>
      <c r="D390" s="352"/>
      <c r="E390" s="357"/>
      <c r="F390" s="368">
        <v>255</v>
      </c>
      <c r="G390" s="444">
        <v>422</v>
      </c>
      <c r="H390" s="1508" t="s">
        <v>34</v>
      </c>
      <c r="I390" s="1509"/>
      <c r="J390" s="1510"/>
      <c r="K390" s="746">
        <v>50000</v>
      </c>
      <c r="L390" s="746">
        <v>2425</v>
      </c>
      <c r="M390" s="746">
        <v>50000</v>
      </c>
      <c r="N390" s="411">
        <v>10000</v>
      </c>
      <c r="O390" s="411">
        <v>0</v>
      </c>
      <c r="P390" s="411">
        <v>0</v>
      </c>
      <c r="Q390" s="408">
        <v>0</v>
      </c>
      <c r="R390" s="411">
        <v>0</v>
      </c>
      <c r="S390" s="414">
        <v>0</v>
      </c>
      <c r="T390" s="414">
        <f t="shared" si="103"/>
        <v>10000</v>
      </c>
      <c r="U390" s="844">
        <f t="shared" si="128"/>
        <v>60000</v>
      </c>
      <c r="V390" s="376">
        <v>60000</v>
      </c>
      <c r="W390" s="844">
        <v>60000</v>
      </c>
    </row>
    <row r="391" spans="2:23" s="356" customFormat="1" ht="12.75">
      <c r="B391" s="350"/>
      <c r="C391" s="357"/>
      <c r="D391" s="352"/>
      <c r="E391" s="357"/>
      <c r="F391" s="368">
        <v>256</v>
      </c>
      <c r="G391" s="444">
        <v>423</v>
      </c>
      <c r="H391" s="1517" t="s">
        <v>35</v>
      </c>
      <c r="I391" s="1518"/>
      <c r="J391" s="1519"/>
      <c r="K391" s="746">
        <v>630500</v>
      </c>
      <c r="L391" s="746">
        <v>108249</v>
      </c>
      <c r="M391" s="746">
        <v>530500</v>
      </c>
      <c r="N391" s="411">
        <v>10000</v>
      </c>
      <c r="O391" s="411">
        <v>0</v>
      </c>
      <c r="P391" s="411">
        <v>0</v>
      </c>
      <c r="Q391" s="408">
        <v>20549</v>
      </c>
      <c r="R391" s="411">
        <v>0</v>
      </c>
      <c r="S391" s="414">
        <v>0</v>
      </c>
      <c r="T391" s="414">
        <f aca="true" t="shared" si="129" ref="T391:T451">SUM(N391:S391)</f>
        <v>30549</v>
      </c>
      <c r="U391" s="844">
        <f t="shared" si="128"/>
        <v>561049</v>
      </c>
      <c r="V391" s="376">
        <v>561049</v>
      </c>
      <c r="W391" s="844">
        <v>561049</v>
      </c>
    </row>
    <row r="392" spans="2:23" s="356" customFormat="1" ht="12.75">
      <c r="B392" s="350"/>
      <c r="C392" s="357"/>
      <c r="D392" s="352"/>
      <c r="E392" s="357"/>
      <c r="F392" s="368">
        <v>257</v>
      </c>
      <c r="G392" s="444">
        <v>423</v>
      </c>
      <c r="H392" s="1517" t="s">
        <v>1406</v>
      </c>
      <c r="I392" s="1518"/>
      <c r="J392" s="1519"/>
      <c r="K392" s="746">
        <v>10534</v>
      </c>
      <c r="L392" s="746">
        <v>0</v>
      </c>
      <c r="M392" s="746">
        <v>10534</v>
      </c>
      <c r="N392" s="411">
        <v>0</v>
      </c>
      <c r="O392" s="411">
        <v>0</v>
      </c>
      <c r="P392" s="411">
        <v>0</v>
      </c>
      <c r="Q392" s="408">
        <v>0</v>
      </c>
      <c r="R392" s="411">
        <v>0</v>
      </c>
      <c r="S392" s="414">
        <v>0</v>
      </c>
      <c r="T392" s="414">
        <f t="shared" si="129"/>
        <v>0</v>
      </c>
      <c r="U392" s="844">
        <f t="shared" si="128"/>
        <v>10534</v>
      </c>
      <c r="V392" s="376">
        <v>10534</v>
      </c>
      <c r="W392" s="844">
        <v>10534</v>
      </c>
    </row>
    <row r="393" spans="2:23" s="356" customFormat="1" ht="12.75">
      <c r="B393" s="350"/>
      <c r="C393" s="357"/>
      <c r="D393" s="352"/>
      <c r="E393" s="357"/>
      <c r="F393" s="368">
        <v>258</v>
      </c>
      <c r="G393" s="444">
        <v>424</v>
      </c>
      <c r="H393" s="1508" t="s">
        <v>36</v>
      </c>
      <c r="I393" s="1509"/>
      <c r="J393" s="1510"/>
      <c r="K393" s="746">
        <v>107000</v>
      </c>
      <c r="L393" s="746">
        <v>5280</v>
      </c>
      <c r="M393" s="746">
        <v>107000</v>
      </c>
      <c r="N393" s="411">
        <v>20000</v>
      </c>
      <c r="O393" s="411">
        <v>0</v>
      </c>
      <c r="P393" s="411">
        <v>60000</v>
      </c>
      <c r="Q393" s="408">
        <v>0</v>
      </c>
      <c r="R393" s="411">
        <v>0</v>
      </c>
      <c r="S393" s="414">
        <v>0</v>
      </c>
      <c r="T393" s="414">
        <f t="shared" si="129"/>
        <v>80000</v>
      </c>
      <c r="U393" s="844">
        <f t="shared" si="128"/>
        <v>187000</v>
      </c>
      <c r="V393" s="376">
        <v>187000</v>
      </c>
      <c r="W393" s="844">
        <v>187000</v>
      </c>
    </row>
    <row r="394" spans="2:23" s="356" customFormat="1" ht="12.75">
      <c r="B394" s="350"/>
      <c r="C394" s="357"/>
      <c r="D394" s="352"/>
      <c r="E394" s="357"/>
      <c r="F394" s="368">
        <v>259</v>
      </c>
      <c r="G394" s="444">
        <v>425</v>
      </c>
      <c r="H394" s="1508" t="s">
        <v>91</v>
      </c>
      <c r="I394" s="1509"/>
      <c r="J394" s="1510"/>
      <c r="K394" s="746">
        <v>160000</v>
      </c>
      <c r="L394" s="746">
        <v>38680.2</v>
      </c>
      <c r="M394" s="746">
        <v>160000</v>
      </c>
      <c r="N394" s="411">
        <v>5000</v>
      </c>
      <c r="O394" s="411">
        <v>0</v>
      </c>
      <c r="P394" s="411">
        <v>0</v>
      </c>
      <c r="Q394" s="408">
        <v>0</v>
      </c>
      <c r="R394" s="411">
        <v>0</v>
      </c>
      <c r="S394" s="414">
        <v>0</v>
      </c>
      <c r="T394" s="414">
        <f t="shared" si="129"/>
        <v>5000</v>
      </c>
      <c r="U394" s="844">
        <f t="shared" si="128"/>
        <v>165000</v>
      </c>
      <c r="V394" s="376">
        <v>165000</v>
      </c>
      <c r="W394" s="844">
        <v>165000</v>
      </c>
    </row>
    <row r="395" spans="2:23" s="356" customFormat="1" ht="12.75">
      <c r="B395" s="350"/>
      <c r="C395" s="357"/>
      <c r="D395" s="352"/>
      <c r="E395" s="357"/>
      <c r="F395" s="368">
        <v>260</v>
      </c>
      <c r="G395" s="444">
        <v>426</v>
      </c>
      <c r="H395" s="1508" t="s">
        <v>38</v>
      </c>
      <c r="I395" s="1509"/>
      <c r="J395" s="1510"/>
      <c r="K395" s="746">
        <v>516131</v>
      </c>
      <c r="L395" s="746">
        <v>118107</v>
      </c>
      <c r="M395" s="746">
        <v>426131</v>
      </c>
      <c r="N395" s="411">
        <v>39500</v>
      </c>
      <c r="O395" s="411">
        <v>0</v>
      </c>
      <c r="P395" s="411">
        <v>0</v>
      </c>
      <c r="Q395" s="408">
        <v>0</v>
      </c>
      <c r="R395" s="411">
        <v>0</v>
      </c>
      <c r="S395" s="414">
        <v>0</v>
      </c>
      <c r="T395" s="414">
        <f t="shared" si="129"/>
        <v>39500</v>
      </c>
      <c r="U395" s="844">
        <f t="shared" si="128"/>
        <v>465631</v>
      </c>
      <c r="V395" s="376">
        <v>465631</v>
      </c>
      <c r="W395" s="844">
        <v>465631</v>
      </c>
    </row>
    <row r="396" spans="2:23" s="356" customFormat="1" ht="12.75">
      <c r="B396" s="350"/>
      <c r="C396" s="357"/>
      <c r="D396" s="352"/>
      <c r="E396" s="357"/>
      <c r="F396" s="368">
        <v>261</v>
      </c>
      <c r="G396" s="444">
        <v>482</v>
      </c>
      <c r="H396" s="1508" t="s">
        <v>82</v>
      </c>
      <c r="I396" s="1509"/>
      <c r="J396" s="1510"/>
      <c r="K396" s="746">
        <v>41500</v>
      </c>
      <c r="L396" s="746">
        <v>2586</v>
      </c>
      <c r="M396" s="746">
        <v>41500</v>
      </c>
      <c r="N396" s="411">
        <v>1500</v>
      </c>
      <c r="O396" s="411">
        <v>0</v>
      </c>
      <c r="P396" s="411">
        <v>0</v>
      </c>
      <c r="Q396" s="408">
        <v>0</v>
      </c>
      <c r="R396" s="411">
        <v>0</v>
      </c>
      <c r="S396" s="414">
        <v>0</v>
      </c>
      <c r="T396" s="414">
        <f t="shared" si="129"/>
        <v>1500</v>
      </c>
      <c r="U396" s="844">
        <f t="shared" si="128"/>
        <v>43000</v>
      </c>
      <c r="V396" s="376">
        <v>43000</v>
      </c>
      <c r="W396" s="844">
        <v>43000</v>
      </c>
    </row>
    <row r="397" spans="2:23" s="356" customFormat="1" ht="12.75">
      <c r="B397" s="350"/>
      <c r="C397" s="357"/>
      <c r="D397" s="352"/>
      <c r="E397" s="357"/>
      <c r="F397" s="368">
        <v>262</v>
      </c>
      <c r="G397" s="444">
        <v>512</v>
      </c>
      <c r="H397" s="1508" t="s">
        <v>83</v>
      </c>
      <c r="I397" s="1509"/>
      <c r="J397" s="1510"/>
      <c r="K397" s="746">
        <v>150000</v>
      </c>
      <c r="L397" s="746">
        <v>0</v>
      </c>
      <c r="M397" s="746">
        <v>350000</v>
      </c>
      <c r="N397" s="411">
        <v>9000</v>
      </c>
      <c r="O397" s="411">
        <v>400000</v>
      </c>
      <c r="P397" s="411">
        <v>0</v>
      </c>
      <c r="Q397" s="408">
        <v>30000</v>
      </c>
      <c r="R397" s="411">
        <v>0</v>
      </c>
      <c r="S397" s="414">
        <v>0</v>
      </c>
      <c r="T397" s="417">
        <f t="shared" si="129"/>
        <v>439000</v>
      </c>
      <c r="U397" s="844">
        <f t="shared" si="128"/>
        <v>789000</v>
      </c>
      <c r="V397" s="376">
        <v>789000</v>
      </c>
      <c r="W397" s="844">
        <v>789000</v>
      </c>
    </row>
    <row r="398" spans="2:23" s="356" customFormat="1" ht="12.75">
      <c r="B398" s="350"/>
      <c r="C398" s="357"/>
      <c r="D398" s="352"/>
      <c r="E398" s="357"/>
      <c r="F398" s="368">
        <v>263</v>
      </c>
      <c r="G398" s="444">
        <v>515</v>
      </c>
      <c r="H398" s="1508" t="s">
        <v>209</v>
      </c>
      <c r="I398" s="1509"/>
      <c r="J398" s="1510"/>
      <c r="K398" s="746">
        <v>150000</v>
      </c>
      <c r="L398" s="746">
        <v>85812.93</v>
      </c>
      <c r="M398" s="746">
        <v>150000</v>
      </c>
      <c r="N398" s="411">
        <v>20000</v>
      </c>
      <c r="O398" s="411">
        <v>0</v>
      </c>
      <c r="P398" s="411">
        <v>90000</v>
      </c>
      <c r="Q398" s="408">
        <v>30000</v>
      </c>
      <c r="R398" s="411">
        <v>0</v>
      </c>
      <c r="S398" s="414">
        <v>0</v>
      </c>
      <c r="T398" s="417">
        <f t="shared" si="129"/>
        <v>140000</v>
      </c>
      <c r="U398" s="844">
        <f t="shared" si="128"/>
        <v>290000</v>
      </c>
      <c r="V398" s="376">
        <v>290000</v>
      </c>
      <c r="W398" s="844">
        <v>290000</v>
      </c>
    </row>
    <row r="399" spans="2:27" s="356" customFormat="1" ht="15" customHeight="1">
      <c r="B399" s="284"/>
      <c r="C399" s="285"/>
      <c r="D399" s="428"/>
      <c r="E399" s="346" t="s">
        <v>309</v>
      </c>
      <c r="F399" s="428"/>
      <c r="G399" s="429"/>
      <c r="H399" s="1625" t="s">
        <v>1336</v>
      </c>
      <c r="I399" s="1626"/>
      <c r="J399" s="1627"/>
      <c r="K399" s="946">
        <f>SUM(K401:K403)</f>
        <v>1896000</v>
      </c>
      <c r="L399" s="946">
        <f>SUM(L401:L403)</f>
        <v>438130.99</v>
      </c>
      <c r="M399" s="946">
        <f>SUM(M401:M403)</f>
        <v>1786000</v>
      </c>
      <c r="N399" s="290">
        <f aca="true" t="shared" si="130" ref="N399:S399">SUM(N401:N403)</f>
        <v>42000</v>
      </c>
      <c r="O399" s="290">
        <f t="shared" si="130"/>
        <v>0</v>
      </c>
      <c r="P399" s="290">
        <f t="shared" si="130"/>
        <v>0</v>
      </c>
      <c r="Q399" s="290">
        <f t="shared" si="130"/>
        <v>25000</v>
      </c>
      <c r="R399" s="290">
        <f t="shared" si="130"/>
        <v>0</v>
      </c>
      <c r="S399" s="335">
        <f t="shared" si="130"/>
        <v>0</v>
      </c>
      <c r="T399" s="335">
        <f t="shared" si="129"/>
        <v>67000</v>
      </c>
      <c r="U399" s="845">
        <f t="shared" si="128"/>
        <v>1853000</v>
      </c>
      <c r="V399" s="1438">
        <v>1853000</v>
      </c>
      <c r="W399" s="652">
        <v>1853000</v>
      </c>
      <c r="AA399" s="806"/>
    </row>
    <row r="400" spans="2:28" s="356" customFormat="1" ht="12.75">
      <c r="B400" s="350"/>
      <c r="C400" s="357"/>
      <c r="D400" s="180" t="s">
        <v>551</v>
      </c>
      <c r="E400" s="180"/>
      <c r="F400" s="352"/>
      <c r="G400" s="353"/>
      <c r="H400" s="73" t="s">
        <v>170</v>
      </c>
      <c r="I400" s="74"/>
      <c r="J400" s="707"/>
      <c r="K400" s="181">
        <f>SUM(K401:K403)</f>
        <v>1896000</v>
      </c>
      <c r="L400" s="181">
        <f>SUM(L401:L403)</f>
        <v>438130.99</v>
      </c>
      <c r="M400" s="181">
        <f>SUM(M401:M403)</f>
        <v>1786000</v>
      </c>
      <c r="N400" s="65">
        <f aca="true" t="shared" si="131" ref="N400:S400">SUM(N401:N403)</f>
        <v>42000</v>
      </c>
      <c r="O400" s="65">
        <f t="shared" si="131"/>
        <v>0</v>
      </c>
      <c r="P400" s="65">
        <f t="shared" si="131"/>
        <v>0</v>
      </c>
      <c r="Q400" s="65">
        <f t="shared" si="131"/>
        <v>25000</v>
      </c>
      <c r="R400" s="65">
        <f t="shared" si="131"/>
        <v>0</v>
      </c>
      <c r="S400" s="339">
        <f t="shared" si="131"/>
        <v>0</v>
      </c>
      <c r="T400" s="339">
        <f t="shared" si="129"/>
        <v>67000</v>
      </c>
      <c r="U400" s="1175">
        <f t="shared" si="128"/>
        <v>1853000</v>
      </c>
      <c r="V400" s="375">
        <v>1853000</v>
      </c>
      <c r="W400" s="1175">
        <v>1853000</v>
      </c>
      <c r="Z400" s="456"/>
      <c r="AA400" s="802"/>
      <c r="AB400" s="456"/>
    </row>
    <row r="401" spans="2:27" s="356" customFormat="1" ht="12.75">
      <c r="B401" s="350"/>
      <c r="C401" s="357"/>
      <c r="D401" s="352"/>
      <c r="E401" s="357"/>
      <c r="F401" s="368">
        <v>264</v>
      </c>
      <c r="G401" s="444">
        <v>423</v>
      </c>
      <c r="H401" s="1508" t="s">
        <v>35</v>
      </c>
      <c r="I401" s="1509"/>
      <c r="J401" s="1510"/>
      <c r="K401" s="746">
        <v>1035000</v>
      </c>
      <c r="L401" s="746">
        <v>28477</v>
      </c>
      <c r="M401" s="746">
        <v>825000</v>
      </c>
      <c r="N401" s="411">
        <v>20000</v>
      </c>
      <c r="O401" s="411">
        <v>0</v>
      </c>
      <c r="P401" s="411">
        <v>0</v>
      </c>
      <c r="Q401" s="408">
        <v>3000</v>
      </c>
      <c r="R401" s="411">
        <v>0</v>
      </c>
      <c r="S401" s="414">
        <v>0</v>
      </c>
      <c r="T401" s="417">
        <f t="shared" si="129"/>
        <v>23000</v>
      </c>
      <c r="U401" s="844">
        <f t="shared" si="128"/>
        <v>848000</v>
      </c>
      <c r="V401" s="608">
        <v>848000</v>
      </c>
      <c r="W401" s="844">
        <v>848000</v>
      </c>
      <c r="Z401" s="456"/>
      <c r="AA401" s="802"/>
    </row>
    <row r="402" spans="2:28" s="356" customFormat="1" ht="12.75">
      <c r="B402" s="350"/>
      <c r="C402" s="357"/>
      <c r="D402" s="352"/>
      <c r="E402" s="357"/>
      <c r="F402" s="368">
        <v>265</v>
      </c>
      <c r="G402" s="444">
        <v>424</v>
      </c>
      <c r="H402" s="348" t="s">
        <v>36</v>
      </c>
      <c r="I402" s="442"/>
      <c r="J402" s="443"/>
      <c r="K402" s="746">
        <v>630000</v>
      </c>
      <c r="L402" s="746">
        <v>390500</v>
      </c>
      <c r="M402" s="746">
        <v>730000</v>
      </c>
      <c r="N402" s="411">
        <v>10000</v>
      </c>
      <c r="O402" s="411">
        <v>0</v>
      </c>
      <c r="P402" s="411">
        <v>0</v>
      </c>
      <c r="Q402" s="411">
        <v>0</v>
      </c>
      <c r="R402" s="411">
        <v>0</v>
      </c>
      <c r="S402" s="414">
        <v>0</v>
      </c>
      <c r="T402" s="417">
        <f t="shared" si="129"/>
        <v>10000</v>
      </c>
      <c r="U402" s="844">
        <f t="shared" si="128"/>
        <v>740000</v>
      </c>
      <c r="V402" s="608">
        <v>740000</v>
      </c>
      <c r="W402" s="844">
        <v>740000</v>
      </c>
      <c r="Z402" s="456"/>
      <c r="AA402" s="801"/>
      <c r="AB402" s="456"/>
    </row>
    <row r="403" spans="2:28" s="356" customFormat="1" ht="15.75">
      <c r="B403" s="350"/>
      <c r="C403" s="357"/>
      <c r="D403" s="352"/>
      <c r="E403" s="357"/>
      <c r="F403" s="368">
        <v>266</v>
      </c>
      <c r="G403" s="444">
        <v>426</v>
      </c>
      <c r="H403" s="348" t="s">
        <v>38</v>
      </c>
      <c r="I403" s="442"/>
      <c r="J403" s="443"/>
      <c r="K403" s="746">
        <v>231000</v>
      </c>
      <c r="L403" s="746">
        <v>19153.99</v>
      </c>
      <c r="M403" s="936">
        <v>231000</v>
      </c>
      <c r="N403" s="411">
        <v>12000</v>
      </c>
      <c r="O403" s="411">
        <v>0</v>
      </c>
      <c r="P403" s="411">
        <v>0</v>
      </c>
      <c r="Q403" s="411">
        <v>22000</v>
      </c>
      <c r="R403" s="411">
        <v>0</v>
      </c>
      <c r="S403" s="414">
        <v>0</v>
      </c>
      <c r="T403" s="417">
        <f t="shared" si="129"/>
        <v>34000</v>
      </c>
      <c r="U403" s="844">
        <f t="shared" si="128"/>
        <v>265000</v>
      </c>
      <c r="V403" s="608">
        <v>265000</v>
      </c>
      <c r="W403" s="844">
        <v>265000</v>
      </c>
      <c r="Z403" s="456"/>
      <c r="AA403" s="803"/>
      <c r="AB403" s="456"/>
    </row>
    <row r="404" spans="2:27" s="356" customFormat="1" ht="12.75">
      <c r="B404" s="51"/>
      <c r="C404" s="52" t="s">
        <v>1299</v>
      </c>
      <c r="D404" s="53"/>
      <c r="E404" s="282"/>
      <c r="F404" s="527"/>
      <c r="G404" s="528"/>
      <c r="H404" s="1632" t="s">
        <v>117</v>
      </c>
      <c r="I404" s="1633"/>
      <c r="J404" s="1634"/>
      <c r="K404" s="951">
        <f aca="true" t="shared" si="132" ref="K404:S404">K405+K416+K434+K447+K461+K478+K493</f>
        <v>14612140</v>
      </c>
      <c r="L404" s="1084">
        <f t="shared" si="132"/>
        <v>4479141.85</v>
      </c>
      <c r="M404" s="1085">
        <f t="shared" si="132"/>
        <v>17678781</v>
      </c>
      <c r="N404" s="67">
        <f t="shared" si="132"/>
        <v>0</v>
      </c>
      <c r="O404" s="67">
        <f t="shared" si="132"/>
        <v>0</v>
      </c>
      <c r="P404" s="67">
        <f t="shared" si="132"/>
        <v>1484366</v>
      </c>
      <c r="Q404" s="67">
        <f t="shared" si="132"/>
        <v>2200349</v>
      </c>
      <c r="R404" s="67">
        <f t="shared" si="132"/>
        <v>0</v>
      </c>
      <c r="S404" s="337">
        <f t="shared" si="132"/>
        <v>0</v>
      </c>
      <c r="T404" s="337">
        <f t="shared" si="129"/>
        <v>3684715</v>
      </c>
      <c r="U404" s="1439">
        <f t="shared" si="128"/>
        <v>21363496</v>
      </c>
      <c r="V404" s="846">
        <v>21363496</v>
      </c>
      <c r="W404" s="1109">
        <v>21363496</v>
      </c>
      <c r="Z404" s="456"/>
      <c r="AA404" s="801"/>
    </row>
    <row r="405" spans="2:27" s="356" customFormat="1" ht="12.75">
      <c r="B405" s="458"/>
      <c r="C405" s="465" t="s">
        <v>1300</v>
      </c>
      <c r="D405" s="466"/>
      <c r="E405" s="467"/>
      <c r="F405" s="466"/>
      <c r="G405" s="468"/>
      <c r="H405" s="1514" t="s">
        <v>118</v>
      </c>
      <c r="I405" s="1515"/>
      <c r="J405" s="1516"/>
      <c r="K405" s="952">
        <f aca="true" t="shared" si="133" ref="K405:S407">K406</f>
        <v>2400020</v>
      </c>
      <c r="L405" s="952">
        <f t="shared" si="133"/>
        <v>236186.13</v>
      </c>
      <c r="M405" s="1082">
        <f t="shared" si="133"/>
        <v>2765030</v>
      </c>
      <c r="N405" s="1081">
        <f t="shared" si="133"/>
        <v>0</v>
      </c>
      <c r="O405" s="410">
        <f t="shared" si="133"/>
        <v>0</v>
      </c>
      <c r="P405" s="410">
        <f t="shared" si="133"/>
        <v>0</v>
      </c>
      <c r="Q405" s="410">
        <f t="shared" si="133"/>
        <v>155000</v>
      </c>
      <c r="R405" s="410">
        <f t="shared" si="133"/>
        <v>0</v>
      </c>
      <c r="S405" s="469">
        <f t="shared" si="133"/>
        <v>0</v>
      </c>
      <c r="T405" s="470">
        <f t="shared" si="129"/>
        <v>155000</v>
      </c>
      <c r="U405" s="1178">
        <f t="shared" si="128"/>
        <v>2920030</v>
      </c>
      <c r="V405" s="847">
        <v>2920030</v>
      </c>
      <c r="W405" s="1176">
        <v>2920030</v>
      </c>
      <c r="Z405" s="456"/>
      <c r="AA405" s="804"/>
    </row>
    <row r="406" spans="2:27" s="638" customFormat="1" ht="12.75">
      <c r="B406" s="634"/>
      <c r="C406" s="635"/>
      <c r="D406" s="611"/>
      <c r="E406" s="610" t="s">
        <v>284</v>
      </c>
      <c r="F406" s="611"/>
      <c r="G406" s="612"/>
      <c r="H406" s="1529" t="s">
        <v>1338</v>
      </c>
      <c r="I406" s="1530"/>
      <c r="J406" s="1531"/>
      <c r="K406" s="933">
        <f t="shared" si="133"/>
        <v>2400020</v>
      </c>
      <c r="L406" s="1074">
        <f t="shared" si="133"/>
        <v>236186.13</v>
      </c>
      <c r="M406" s="1072">
        <f t="shared" si="133"/>
        <v>2765030</v>
      </c>
      <c r="N406" s="636">
        <f t="shared" si="133"/>
        <v>0</v>
      </c>
      <c r="O406" s="636">
        <f t="shared" si="133"/>
        <v>0</v>
      </c>
      <c r="P406" s="636">
        <f t="shared" si="133"/>
        <v>0</v>
      </c>
      <c r="Q406" s="636">
        <f t="shared" si="133"/>
        <v>155000</v>
      </c>
      <c r="R406" s="636">
        <f t="shared" si="133"/>
        <v>0</v>
      </c>
      <c r="S406" s="637">
        <f t="shared" si="133"/>
        <v>0</v>
      </c>
      <c r="T406" s="637">
        <f t="shared" si="129"/>
        <v>155000</v>
      </c>
      <c r="U406" s="845">
        <f t="shared" si="128"/>
        <v>2920030</v>
      </c>
      <c r="V406" s="848">
        <v>2920030</v>
      </c>
      <c r="W406" s="848">
        <v>2920030</v>
      </c>
      <c r="Z406" s="805"/>
      <c r="AA406" s="804"/>
    </row>
    <row r="407" spans="2:27" s="356" customFormat="1" ht="12.75">
      <c r="B407" s="284"/>
      <c r="C407" s="285"/>
      <c r="D407" s="428"/>
      <c r="E407" s="346" t="s">
        <v>302</v>
      </c>
      <c r="F407" s="428"/>
      <c r="G407" s="429"/>
      <c r="H407" s="1537" t="s">
        <v>1337</v>
      </c>
      <c r="I407" s="1538"/>
      <c r="J407" s="1539"/>
      <c r="K407" s="937">
        <f t="shared" si="133"/>
        <v>2400020</v>
      </c>
      <c r="L407" s="1080">
        <f t="shared" si="133"/>
        <v>236186.13</v>
      </c>
      <c r="M407" s="1083">
        <f t="shared" si="133"/>
        <v>2765030</v>
      </c>
      <c r="N407" s="290">
        <f aca="true" t="shared" si="134" ref="N407:S407">N408</f>
        <v>0</v>
      </c>
      <c r="O407" s="290">
        <f t="shared" si="134"/>
        <v>0</v>
      </c>
      <c r="P407" s="290">
        <f t="shared" si="134"/>
        <v>0</v>
      </c>
      <c r="Q407" s="290">
        <f t="shared" si="134"/>
        <v>155000</v>
      </c>
      <c r="R407" s="290">
        <f t="shared" si="134"/>
        <v>0</v>
      </c>
      <c r="S407" s="335">
        <f t="shared" si="134"/>
        <v>0</v>
      </c>
      <c r="T407" s="335">
        <f t="shared" si="129"/>
        <v>155000</v>
      </c>
      <c r="U407" s="845">
        <f t="shared" si="128"/>
        <v>2920030</v>
      </c>
      <c r="V407" s="652">
        <v>2920030</v>
      </c>
      <c r="W407" s="652">
        <v>2920030</v>
      </c>
      <c r="Z407" s="456"/>
      <c r="AA407" s="804"/>
    </row>
    <row r="408" spans="2:27" s="42" customFormat="1" ht="12.75">
      <c r="B408" s="546"/>
      <c r="C408" s="547"/>
      <c r="D408" s="180" t="s">
        <v>278</v>
      </c>
      <c r="E408" s="58"/>
      <c r="F408" s="548"/>
      <c r="G408" s="549"/>
      <c r="H408" s="1526" t="s">
        <v>119</v>
      </c>
      <c r="I408" s="1527"/>
      <c r="J408" s="729"/>
      <c r="K408" s="539">
        <f aca="true" t="shared" si="135" ref="K408:S408">SUM(K409:K415)</f>
        <v>2400020</v>
      </c>
      <c r="L408" s="825">
        <f t="shared" si="135"/>
        <v>236186.13</v>
      </c>
      <c r="M408" s="734">
        <f t="shared" si="135"/>
        <v>2765030</v>
      </c>
      <c r="N408" s="734">
        <f t="shared" si="135"/>
        <v>0</v>
      </c>
      <c r="O408" s="734">
        <f t="shared" si="135"/>
        <v>0</v>
      </c>
      <c r="P408" s="734">
        <f t="shared" si="135"/>
        <v>0</v>
      </c>
      <c r="Q408" s="734">
        <f t="shared" si="135"/>
        <v>155000</v>
      </c>
      <c r="R408" s="734">
        <f t="shared" si="135"/>
        <v>0</v>
      </c>
      <c r="S408" s="734">
        <f t="shared" si="135"/>
        <v>0</v>
      </c>
      <c r="T408" s="338">
        <f t="shared" si="129"/>
        <v>155000</v>
      </c>
      <c r="U408" s="1175">
        <f t="shared" si="128"/>
        <v>2920030</v>
      </c>
      <c r="V408" s="837">
        <v>2920030</v>
      </c>
      <c r="W408" s="1175">
        <v>2920030</v>
      </c>
      <c r="Z408" s="1453"/>
      <c r="AA408" s="804"/>
    </row>
    <row r="409" spans="2:27" s="356" customFormat="1" ht="12.75">
      <c r="B409" s="350"/>
      <c r="C409" s="357"/>
      <c r="D409" s="352"/>
      <c r="E409" s="357"/>
      <c r="F409" s="368">
        <v>267</v>
      </c>
      <c r="G409" s="444">
        <v>421</v>
      </c>
      <c r="H409" s="1495" t="s">
        <v>33</v>
      </c>
      <c r="I409" s="1496"/>
      <c r="J409" s="1497"/>
      <c r="K409" s="914">
        <v>184000</v>
      </c>
      <c r="L409" s="917">
        <v>99117.84</v>
      </c>
      <c r="M409" s="955">
        <v>229000</v>
      </c>
      <c r="N409" s="404">
        <v>0</v>
      </c>
      <c r="O409" s="411">
        <v>0</v>
      </c>
      <c r="P409" s="414">
        <v>0</v>
      </c>
      <c r="Q409" s="457">
        <v>0</v>
      </c>
      <c r="R409" s="409">
        <v>0</v>
      </c>
      <c r="S409" s="414">
        <v>0</v>
      </c>
      <c r="T409" s="417">
        <f t="shared" si="129"/>
        <v>0</v>
      </c>
      <c r="U409" s="844">
        <f t="shared" si="128"/>
        <v>229000</v>
      </c>
      <c r="V409" s="608">
        <v>229000</v>
      </c>
      <c r="W409" s="844">
        <v>229000</v>
      </c>
      <c r="AA409" s="807"/>
    </row>
    <row r="410" spans="2:23" ht="12.75" customHeight="1">
      <c r="B410" s="350"/>
      <c r="C410" s="357"/>
      <c r="D410" s="352"/>
      <c r="E410" s="357"/>
      <c r="F410" s="368">
        <v>268</v>
      </c>
      <c r="G410" s="444">
        <v>423</v>
      </c>
      <c r="H410" s="1495" t="s">
        <v>35</v>
      </c>
      <c r="I410" s="1496"/>
      <c r="J410" s="1497"/>
      <c r="K410" s="914">
        <v>915000</v>
      </c>
      <c r="L410" s="917">
        <v>87300.61</v>
      </c>
      <c r="M410" s="955">
        <v>887010</v>
      </c>
      <c r="N410" s="404">
        <v>0</v>
      </c>
      <c r="O410" s="411">
        <v>0</v>
      </c>
      <c r="P410" s="414">
        <v>0</v>
      </c>
      <c r="Q410" s="457">
        <v>55000</v>
      </c>
      <c r="R410" s="409">
        <v>0</v>
      </c>
      <c r="S410" s="414">
        <v>0</v>
      </c>
      <c r="T410" s="417">
        <f t="shared" si="129"/>
        <v>55000</v>
      </c>
      <c r="U410" s="844">
        <f t="shared" si="128"/>
        <v>942010</v>
      </c>
      <c r="V410" s="608">
        <v>942010</v>
      </c>
      <c r="W410" s="844">
        <v>942010</v>
      </c>
    </row>
    <row r="411" spans="1:23" ht="12.75" customHeight="1">
      <c r="A411" s="349" t="s">
        <v>1533</v>
      </c>
      <c r="B411" s="350"/>
      <c r="C411" s="357"/>
      <c r="D411" s="352"/>
      <c r="E411" s="357"/>
      <c r="F411" s="368">
        <v>269</v>
      </c>
      <c r="G411" s="444">
        <v>423</v>
      </c>
      <c r="H411" s="367" t="s">
        <v>1532</v>
      </c>
      <c r="I411" s="437"/>
      <c r="J411" s="438"/>
      <c r="K411" s="914">
        <v>10</v>
      </c>
      <c r="L411" s="917">
        <v>0</v>
      </c>
      <c r="M411" s="955">
        <v>10</v>
      </c>
      <c r="N411" s="955">
        <v>0</v>
      </c>
      <c r="O411" s="955">
        <v>0</v>
      </c>
      <c r="P411" s="955">
        <v>0</v>
      </c>
      <c r="Q411" s="955">
        <v>0</v>
      </c>
      <c r="R411" s="955">
        <v>0</v>
      </c>
      <c r="S411" s="955">
        <v>0</v>
      </c>
      <c r="T411" s="417"/>
      <c r="U411" s="844">
        <f t="shared" si="128"/>
        <v>10</v>
      </c>
      <c r="V411" s="608">
        <v>10</v>
      </c>
      <c r="W411" s="844">
        <v>10</v>
      </c>
    </row>
    <row r="412" spans="2:23" s="356" customFormat="1" ht="12.75">
      <c r="B412" s="350"/>
      <c r="C412" s="357"/>
      <c r="D412" s="352"/>
      <c r="E412" s="357"/>
      <c r="F412" s="368">
        <v>270</v>
      </c>
      <c r="G412" s="444">
        <v>425</v>
      </c>
      <c r="H412" s="1492" t="s">
        <v>91</v>
      </c>
      <c r="I412" s="1493"/>
      <c r="J412" s="1494"/>
      <c r="K412" s="914">
        <v>1020000</v>
      </c>
      <c r="L412" s="917">
        <v>46776</v>
      </c>
      <c r="M412" s="955">
        <v>1326000</v>
      </c>
      <c r="N412" s="404">
        <v>0</v>
      </c>
      <c r="O412" s="411">
        <v>0</v>
      </c>
      <c r="P412" s="414">
        <v>0</v>
      </c>
      <c r="Q412" s="457">
        <v>0</v>
      </c>
      <c r="R412" s="409">
        <v>0</v>
      </c>
      <c r="S412" s="414">
        <v>0</v>
      </c>
      <c r="T412" s="417">
        <f t="shared" si="129"/>
        <v>0</v>
      </c>
      <c r="U412" s="844">
        <f t="shared" si="128"/>
        <v>1326000</v>
      </c>
      <c r="V412" s="608">
        <v>1326000</v>
      </c>
      <c r="W412" s="844">
        <v>1326000</v>
      </c>
    </row>
    <row r="413" spans="2:23" s="356" customFormat="1" ht="12.75">
      <c r="B413" s="350"/>
      <c r="C413" s="357"/>
      <c r="D413" s="352"/>
      <c r="E413" s="357"/>
      <c r="F413" s="368">
        <v>271</v>
      </c>
      <c r="G413" s="444">
        <v>426</v>
      </c>
      <c r="H413" s="1495" t="s">
        <v>38</v>
      </c>
      <c r="I413" s="1496"/>
      <c r="J413" s="1497"/>
      <c r="K413" s="914">
        <v>243000</v>
      </c>
      <c r="L413" s="917">
        <v>2589.21</v>
      </c>
      <c r="M413" s="955">
        <v>280000</v>
      </c>
      <c r="N413" s="404">
        <v>0</v>
      </c>
      <c r="O413" s="411">
        <v>0</v>
      </c>
      <c r="P413" s="451">
        <v>0</v>
      </c>
      <c r="Q413" s="457">
        <v>100000</v>
      </c>
      <c r="R413" s="409">
        <v>0</v>
      </c>
      <c r="S413" s="414">
        <v>0</v>
      </c>
      <c r="T413" s="417">
        <f t="shared" si="129"/>
        <v>100000</v>
      </c>
      <c r="U413" s="844">
        <f t="shared" si="128"/>
        <v>380000</v>
      </c>
      <c r="V413" s="608">
        <v>380000</v>
      </c>
      <c r="W413" s="844">
        <v>380000</v>
      </c>
    </row>
    <row r="414" spans="2:23" s="356" customFormat="1" ht="12.75">
      <c r="B414" s="350"/>
      <c r="C414" s="357"/>
      <c r="D414" s="352"/>
      <c r="E414" s="357"/>
      <c r="F414" s="368">
        <v>272</v>
      </c>
      <c r="G414" s="444">
        <v>426</v>
      </c>
      <c r="H414" s="1181" t="s">
        <v>1531</v>
      </c>
      <c r="I414" s="1182"/>
      <c r="J414" s="1184"/>
      <c r="K414" s="915">
        <v>10</v>
      </c>
      <c r="L414" s="918">
        <v>0</v>
      </c>
      <c r="M414" s="955">
        <v>10</v>
      </c>
      <c r="N414" s="955">
        <v>0</v>
      </c>
      <c r="O414" s="955">
        <v>0</v>
      </c>
      <c r="P414" s="955">
        <v>0</v>
      </c>
      <c r="Q414" s="955">
        <v>0</v>
      </c>
      <c r="R414" s="955">
        <v>0</v>
      </c>
      <c r="S414" s="955">
        <v>0</v>
      </c>
      <c r="T414" s="417"/>
      <c r="U414" s="844">
        <f t="shared" si="128"/>
        <v>10</v>
      </c>
      <c r="V414" s="608">
        <v>10</v>
      </c>
      <c r="W414" s="844">
        <v>10</v>
      </c>
    </row>
    <row r="415" spans="2:23" s="356" customFormat="1" ht="12.75">
      <c r="B415" s="350"/>
      <c r="C415" s="357"/>
      <c r="D415" s="352"/>
      <c r="E415" s="357"/>
      <c r="F415" s="368">
        <v>273</v>
      </c>
      <c r="G415" s="444">
        <v>482</v>
      </c>
      <c r="H415" s="705" t="s">
        <v>82</v>
      </c>
      <c r="I415" s="477"/>
      <c r="J415" s="706"/>
      <c r="K415" s="915">
        <v>38000</v>
      </c>
      <c r="L415" s="918">
        <v>402.47</v>
      </c>
      <c r="M415" s="955">
        <v>43000</v>
      </c>
      <c r="N415" s="404">
        <v>0</v>
      </c>
      <c r="O415" s="414">
        <v>0</v>
      </c>
      <c r="P415" s="457">
        <v>0</v>
      </c>
      <c r="Q415" s="457">
        <v>0</v>
      </c>
      <c r="R415" s="409">
        <v>0</v>
      </c>
      <c r="S415" s="414">
        <v>0</v>
      </c>
      <c r="T415" s="417">
        <f t="shared" si="129"/>
        <v>0</v>
      </c>
      <c r="U415" s="844">
        <f t="shared" si="128"/>
        <v>43000</v>
      </c>
      <c r="V415" s="608">
        <v>43000</v>
      </c>
      <c r="W415" s="844">
        <v>43000</v>
      </c>
    </row>
    <row r="416" spans="2:23" s="356" customFormat="1" ht="12.75">
      <c r="B416" s="458"/>
      <c r="C416" s="465" t="s">
        <v>1301</v>
      </c>
      <c r="D416" s="466"/>
      <c r="E416" s="467"/>
      <c r="F416" s="466"/>
      <c r="G416" s="468"/>
      <c r="H416" s="1514" t="s">
        <v>120</v>
      </c>
      <c r="I416" s="1515"/>
      <c r="J416" s="1515"/>
      <c r="K416" s="952">
        <f>K419</f>
        <v>4020020</v>
      </c>
      <c r="L416" s="952">
        <f>L419</f>
        <v>1961557.2899999998</v>
      </c>
      <c r="M416" s="1082">
        <f>M419</f>
        <v>5398651</v>
      </c>
      <c r="N416" s="1081">
        <f aca="true" t="shared" si="136" ref="N416:S416">N419</f>
        <v>0</v>
      </c>
      <c r="O416" s="423">
        <f>O419</f>
        <v>0</v>
      </c>
      <c r="P416" s="593">
        <f t="shared" si="136"/>
        <v>0</v>
      </c>
      <c r="Q416" s="593">
        <f t="shared" si="136"/>
        <v>751349</v>
      </c>
      <c r="R416" s="423">
        <f>R419</f>
        <v>0</v>
      </c>
      <c r="S416" s="471">
        <f t="shared" si="136"/>
        <v>0</v>
      </c>
      <c r="T416" s="470">
        <f t="shared" si="129"/>
        <v>751349</v>
      </c>
      <c r="U416" s="1176">
        <f t="shared" si="128"/>
        <v>6150000</v>
      </c>
      <c r="V416" s="847">
        <v>6150000</v>
      </c>
      <c r="W416" s="1176">
        <v>6150000</v>
      </c>
    </row>
    <row r="417" spans="2:23" s="638" customFormat="1" ht="12.75">
      <c r="B417" s="634"/>
      <c r="C417" s="635"/>
      <c r="D417" s="611"/>
      <c r="E417" s="610" t="s">
        <v>284</v>
      </c>
      <c r="F417" s="611"/>
      <c r="G417" s="612"/>
      <c r="H417" s="1529" t="s">
        <v>285</v>
      </c>
      <c r="I417" s="1530"/>
      <c r="J417" s="1531"/>
      <c r="K417" s="933">
        <f aca="true" t="shared" si="137" ref="K417:S418">K418</f>
        <v>4020020</v>
      </c>
      <c r="L417" s="1074">
        <f t="shared" si="137"/>
        <v>1961557.2899999998</v>
      </c>
      <c r="M417" s="1072">
        <f t="shared" si="137"/>
        <v>5398651</v>
      </c>
      <c r="N417" s="636">
        <f t="shared" si="137"/>
        <v>0</v>
      </c>
      <c r="O417" s="636">
        <f t="shared" si="137"/>
        <v>0</v>
      </c>
      <c r="P417" s="636">
        <f t="shared" si="137"/>
        <v>0</v>
      </c>
      <c r="Q417" s="636">
        <f t="shared" si="137"/>
        <v>751349</v>
      </c>
      <c r="R417" s="636">
        <f t="shared" si="137"/>
        <v>0</v>
      </c>
      <c r="S417" s="637">
        <f t="shared" si="137"/>
        <v>0</v>
      </c>
      <c r="T417" s="637">
        <f t="shared" si="129"/>
        <v>751349</v>
      </c>
      <c r="U417" s="845">
        <f t="shared" si="128"/>
        <v>6150000</v>
      </c>
      <c r="V417" s="848">
        <v>6150000</v>
      </c>
      <c r="W417" s="848">
        <v>6150000</v>
      </c>
    </row>
    <row r="418" spans="2:23" ht="12.75" customHeight="1">
      <c r="B418" s="284"/>
      <c r="C418" s="285"/>
      <c r="D418" s="428"/>
      <c r="E418" s="346" t="s">
        <v>302</v>
      </c>
      <c r="F418" s="428"/>
      <c r="G418" s="429"/>
      <c r="H418" s="1537" t="s">
        <v>1337</v>
      </c>
      <c r="I418" s="1538"/>
      <c r="J418" s="1539"/>
      <c r="K418" s="937">
        <f t="shared" si="137"/>
        <v>4020020</v>
      </c>
      <c r="L418" s="1080">
        <f t="shared" si="137"/>
        <v>1961557.2899999998</v>
      </c>
      <c r="M418" s="1083">
        <f t="shared" si="137"/>
        <v>5398651</v>
      </c>
      <c r="N418" s="290">
        <f t="shared" si="137"/>
        <v>0</v>
      </c>
      <c r="O418" s="290">
        <f t="shared" si="137"/>
        <v>0</v>
      </c>
      <c r="P418" s="290">
        <f t="shared" si="137"/>
        <v>0</v>
      </c>
      <c r="Q418" s="290">
        <f t="shared" si="137"/>
        <v>751349</v>
      </c>
      <c r="R418" s="290">
        <f t="shared" si="137"/>
        <v>0</v>
      </c>
      <c r="S418" s="335">
        <f t="shared" si="137"/>
        <v>0</v>
      </c>
      <c r="T418" s="335">
        <f t="shared" si="129"/>
        <v>751349</v>
      </c>
      <c r="U418" s="845">
        <f t="shared" si="128"/>
        <v>6150000</v>
      </c>
      <c r="V418" s="652">
        <v>6150000</v>
      </c>
      <c r="W418" s="652">
        <v>6150000</v>
      </c>
    </row>
    <row r="419" spans="2:23" ht="12.75" customHeight="1">
      <c r="B419" s="430"/>
      <c r="C419" s="431"/>
      <c r="D419" s="180" t="s">
        <v>278</v>
      </c>
      <c r="E419" s="58"/>
      <c r="F419" s="432"/>
      <c r="G419" s="433"/>
      <c r="H419" s="1526" t="s">
        <v>119</v>
      </c>
      <c r="I419" s="1527"/>
      <c r="J419" s="445"/>
      <c r="K419" s="927">
        <f aca="true" t="shared" si="138" ref="K419:S419">SUM(K420:K433)</f>
        <v>4020020</v>
      </c>
      <c r="L419" s="953">
        <f t="shared" si="138"/>
        <v>1961557.2899999998</v>
      </c>
      <c r="M419" s="726">
        <f t="shared" si="138"/>
        <v>5398651</v>
      </c>
      <c r="N419" s="68">
        <f t="shared" si="138"/>
        <v>0</v>
      </c>
      <c r="O419" s="68">
        <f t="shared" si="138"/>
        <v>0</v>
      </c>
      <c r="P419" s="68">
        <f t="shared" si="138"/>
        <v>0</v>
      </c>
      <c r="Q419" s="68">
        <f t="shared" si="138"/>
        <v>751349</v>
      </c>
      <c r="R419" s="68">
        <f t="shared" si="138"/>
        <v>0</v>
      </c>
      <c r="S419" s="68">
        <f t="shared" si="138"/>
        <v>0</v>
      </c>
      <c r="T419" s="338">
        <f t="shared" si="129"/>
        <v>751349</v>
      </c>
      <c r="U419" s="1175">
        <f t="shared" si="128"/>
        <v>6150000</v>
      </c>
      <c r="V419" s="837">
        <v>6150000</v>
      </c>
      <c r="W419" s="1175">
        <v>6150000</v>
      </c>
    </row>
    <row r="420" spans="2:23" ht="12.75">
      <c r="B420" s="350"/>
      <c r="C420" s="357"/>
      <c r="D420" s="352"/>
      <c r="E420" s="357"/>
      <c r="F420" s="368">
        <v>274</v>
      </c>
      <c r="G420" s="444">
        <v>411</v>
      </c>
      <c r="H420" s="1492" t="s">
        <v>27</v>
      </c>
      <c r="I420" s="1493"/>
      <c r="J420" s="1494"/>
      <c r="K420" s="914">
        <v>600000</v>
      </c>
      <c r="L420" s="914">
        <v>272593.93999999994</v>
      </c>
      <c r="M420" s="922">
        <v>600000</v>
      </c>
      <c r="N420" s="411">
        <v>0</v>
      </c>
      <c r="O420" s="411">
        <v>0</v>
      </c>
      <c r="P420" s="411">
        <v>0</v>
      </c>
      <c r="Q420" s="414">
        <v>0</v>
      </c>
      <c r="R420" s="408">
        <v>0</v>
      </c>
      <c r="S420" s="414">
        <v>0</v>
      </c>
      <c r="T420" s="417">
        <f t="shared" si="129"/>
        <v>0</v>
      </c>
      <c r="U420" s="844">
        <f t="shared" si="128"/>
        <v>600000</v>
      </c>
      <c r="V420" s="608">
        <v>600000</v>
      </c>
      <c r="W420" s="844">
        <v>600000</v>
      </c>
    </row>
    <row r="421" spans="2:23" ht="12.75">
      <c r="B421" s="350"/>
      <c r="C421" s="357"/>
      <c r="D421" s="352"/>
      <c r="E421" s="357"/>
      <c r="F421" s="368">
        <v>275</v>
      </c>
      <c r="G421" s="444">
        <v>412</v>
      </c>
      <c r="H421" s="1492" t="s">
        <v>79</v>
      </c>
      <c r="I421" s="1493"/>
      <c r="J421" s="1494"/>
      <c r="K421" s="914">
        <v>101000</v>
      </c>
      <c r="L421" s="914">
        <v>45386.880000000005</v>
      </c>
      <c r="M421" s="914">
        <v>101000</v>
      </c>
      <c r="N421" s="411">
        <v>0</v>
      </c>
      <c r="O421" s="411">
        <v>0</v>
      </c>
      <c r="P421" s="411">
        <v>0</v>
      </c>
      <c r="Q421" s="414">
        <v>0</v>
      </c>
      <c r="R421" s="408">
        <v>0</v>
      </c>
      <c r="S421" s="414">
        <v>0</v>
      </c>
      <c r="T421" s="417">
        <f t="shared" si="129"/>
        <v>0</v>
      </c>
      <c r="U421" s="844">
        <f aca="true" t="shared" si="139" ref="U421:U452">M421+N421+O421+P421+Q421+R421+S421</f>
        <v>101000</v>
      </c>
      <c r="V421" s="608">
        <v>101000</v>
      </c>
      <c r="W421" s="844">
        <v>101000</v>
      </c>
    </row>
    <row r="422" spans="2:23" ht="12.75">
      <c r="B422" s="350"/>
      <c r="C422" s="357"/>
      <c r="D422" s="352"/>
      <c r="E422" s="357"/>
      <c r="F422" s="368">
        <v>276</v>
      </c>
      <c r="G422" s="444">
        <v>416</v>
      </c>
      <c r="H422" s="348" t="s">
        <v>200</v>
      </c>
      <c r="I422" s="442"/>
      <c r="J422" s="443"/>
      <c r="K422" s="746">
        <v>100000</v>
      </c>
      <c r="L422" s="746">
        <v>89550.22</v>
      </c>
      <c r="M422" s="746">
        <v>100000</v>
      </c>
      <c r="N422" s="746">
        <v>0</v>
      </c>
      <c r="O422" s="746">
        <v>0</v>
      </c>
      <c r="P422" s="746">
        <v>0</v>
      </c>
      <c r="Q422" s="746">
        <v>0</v>
      </c>
      <c r="R422" s="746">
        <v>0</v>
      </c>
      <c r="S422" s="746">
        <v>0</v>
      </c>
      <c r="T422" s="417"/>
      <c r="U422" s="844">
        <f t="shared" si="139"/>
        <v>100000</v>
      </c>
      <c r="V422" s="608">
        <v>100000</v>
      </c>
      <c r="W422" s="844">
        <v>100000</v>
      </c>
    </row>
    <row r="423" spans="2:23" s="356" customFormat="1" ht="12.75">
      <c r="B423" s="350"/>
      <c r="C423" s="357"/>
      <c r="D423" s="352"/>
      <c r="E423" s="357"/>
      <c r="F423" s="368">
        <v>277</v>
      </c>
      <c r="G423" s="444">
        <v>421</v>
      </c>
      <c r="H423" s="1495" t="s">
        <v>33</v>
      </c>
      <c r="I423" s="1496"/>
      <c r="J423" s="1497"/>
      <c r="K423" s="914">
        <v>380000</v>
      </c>
      <c r="L423" s="914">
        <v>125501.61999999998</v>
      </c>
      <c r="M423" s="914">
        <v>380000</v>
      </c>
      <c r="N423" s="411">
        <v>0</v>
      </c>
      <c r="O423" s="411">
        <v>0</v>
      </c>
      <c r="P423" s="411">
        <v>0</v>
      </c>
      <c r="Q423" s="414">
        <v>0</v>
      </c>
      <c r="R423" s="408">
        <v>0</v>
      </c>
      <c r="S423" s="414">
        <v>0</v>
      </c>
      <c r="T423" s="417">
        <f t="shared" si="129"/>
        <v>0</v>
      </c>
      <c r="U423" s="844">
        <f t="shared" si="139"/>
        <v>380000</v>
      </c>
      <c r="V423" s="608">
        <v>380000</v>
      </c>
      <c r="W423" s="844">
        <v>380000</v>
      </c>
    </row>
    <row r="424" spans="2:23" s="356" customFormat="1" ht="12.75">
      <c r="B424" s="350"/>
      <c r="C424" s="357"/>
      <c r="D424" s="352"/>
      <c r="E424" s="357"/>
      <c r="F424" s="368">
        <v>278</v>
      </c>
      <c r="G424" s="444">
        <v>422</v>
      </c>
      <c r="H424" s="1495" t="s">
        <v>34</v>
      </c>
      <c r="I424" s="1496"/>
      <c r="J424" s="1497"/>
      <c r="K424" s="914">
        <v>50000</v>
      </c>
      <c r="L424" s="914">
        <v>0</v>
      </c>
      <c r="M424" s="915">
        <v>50000</v>
      </c>
      <c r="N424" s="411">
        <v>0</v>
      </c>
      <c r="O424" s="411">
        <v>0</v>
      </c>
      <c r="P424" s="411">
        <v>0</v>
      </c>
      <c r="Q424" s="414">
        <v>0</v>
      </c>
      <c r="R424" s="414">
        <v>0</v>
      </c>
      <c r="S424" s="414">
        <v>0</v>
      </c>
      <c r="T424" s="417">
        <f t="shared" si="129"/>
        <v>0</v>
      </c>
      <c r="U424" s="844">
        <f t="shared" si="139"/>
        <v>50000</v>
      </c>
      <c r="V424" s="608">
        <v>50000</v>
      </c>
      <c r="W424" s="844">
        <v>50000</v>
      </c>
    </row>
    <row r="425" spans="2:23" s="356" customFormat="1" ht="12.75">
      <c r="B425" s="350"/>
      <c r="C425" s="357"/>
      <c r="D425" s="352"/>
      <c r="E425" s="357"/>
      <c r="F425" s="368">
        <v>279</v>
      </c>
      <c r="G425" s="444">
        <v>423</v>
      </c>
      <c r="H425" s="1495" t="s">
        <v>35</v>
      </c>
      <c r="I425" s="1496"/>
      <c r="J425" s="1497"/>
      <c r="K425" s="914">
        <v>810000</v>
      </c>
      <c r="L425" s="917">
        <v>395823.07</v>
      </c>
      <c r="M425" s="1144">
        <v>815000</v>
      </c>
      <c r="N425" s="607">
        <v>0</v>
      </c>
      <c r="O425" s="411">
        <v>0</v>
      </c>
      <c r="P425" s="531">
        <v>0</v>
      </c>
      <c r="Q425" s="531">
        <v>538560</v>
      </c>
      <c r="R425" s="531">
        <v>0</v>
      </c>
      <c r="S425" s="531">
        <v>0</v>
      </c>
      <c r="T425" s="417">
        <f t="shared" si="129"/>
        <v>538560</v>
      </c>
      <c r="U425" s="844">
        <f t="shared" si="139"/>
        <v>1353560</v>
      </c>
      <c r="V425" s="608">
        <v>1353560</v>
      </c>
      <c r="W425" s="844">
        <v>1353560</v>
      </c>
    </row>
    <row r="426" spans="2:23" s="356" customFormat="1" ht="12.75">
      <c r="B426" s="350"/>
      <c r="C426" s="357"/>
      <c r="D426" s="352"/>
      <c r="E426" s="357"/>
      <c r="F426" s="368">
        <v>280</v>
      </c>
      <c r="G426" s="444">
        <v>423</v>
      </c>
      <c r="H426" s="367" t="s">
        <v>1532</v>
      </c>
      <c r="I426" s="437"/>
      <c r="J426" s="438"/>
      <c r="K426" s="914">
        <v>10</v>
      </c>
      <c r="L426" s="917">
        <v>0</v>
      </c>
      <c r="M426" s="955">
        <v>10</v>
      </c>
      <c r="N426" s="955">
        <v>0</v>
      </c>
      <c r="O426" s="1125">
        <v>0</v>
      </c>
      <c r="P426" s="955">
        <v>0</v>
      </c>
      <c r="Q426" s="955">
        <v>0</v>
      </c>
      <c r="R426" s="955">
        <v>0</v>
      </c>
      <c r="S426" s="955">
        <v>0</v>
      </c>
      <c r="T426" s="417"/>
      <c r="U426" s="844">
        <f t="shared" si="139"/>
        <v>10</v>
      </c>
      <c r="V426" s="608">
        <v>10</v>
      </c>
      <c r="W426" s="844">
        <v>10</v>
      </c>
    </row>
    <row r="427" spans="2:23" s="356" customFormat="1" ht="12.75">
      <c r="B427" s="350"/>
      <c r="C427" s="357"/>
      <c r="D427" s="352"/>
      <c r="E427" s="357"/>
      <c r="F427" s="368">
        <v>281</v>
      </c>
      <c r="G427" s="444">
        <v>424</v>
      </c>
      <c r="H427" s="1492" t="s">
        <v>36</v>
      </c>
      <c r="I427" s="1493"/>
      <c r="J427" s="1494"/>
      <c r="K427" s="914">
        <v>50000</v>
      </c>
      <c r="L427" s="917">
        <v>0</v>
      </c>
      <c r="M427" s="1456">
        <v>50000</v>
      </c>
      <c r="N427" s="405">
        <v>0</v>
      </c>
      <c r="O427" s="411">
        <v>0</v>
      </c>
      <c r="P427" s="441">
        <v>0</v>
      </c>
      <c r="Q427" s="441">
        <v>0</v>
      </c>
      <c r="R427" s="441">
        <v>0</v>
      </c>
      <c r="S427" s="441">
        <v>0</v>
      </c>
      <c r="T427" s="417">
        <f t="shared" si="129"/>
        <v>0</v>
      </c>
      <c r="U427" s="844">
        <f t="shared" si="139"/>
        <v>50000</v>
      </c>
      <c r="V427" s="608">
        <v>50000</v>
      </c>
      <c r="W427" s="844">
        <v>50000</v>
      </c>
    </row>
    <row r="428" spans="2:23" s="356" customFormat="1" ht="12.75">
      <c r="B428" s="350"/>
      <c r="C428" s="357"/>
      <c r="D428" s="352"/>
      <c r="E428" s="357"/>
      <c r="F428" s="397">
        <v>282</v>
      </c>
      <c r="G428" s="444">
        <v>425</v>
      </c>
      <c r="H428" s="1492" t="s">
        <v>121</v>
      </c>
      <c r="I428" s="1493"/>
      <c r="J428" s="1494"/>
      <c r="K428" s="914">
        <v>750000</v>
      </c>
      <c r="L428" s="917">
        <v>275700.9</v>
      </c>
      <c r="M428" s="955">
        <v>2000000</v>
      </c>
      <c r="N428" s="404">
        <v>0</v>
      </c>
      <c r="O428" s="411">
        <v>0</v>
      </c>
      <c r="P428" s="411">
        <v>0</v>
      </c>
      <c r="Q428" s="411">
        <v>212789</v>
      </c>
      <c r="R428" s="411">
        <v>0</v>
      </c>
      <c r="S428" s="411">
        <v>0</v>
      </c>
      <c r="T428" s="417">
        <f t="shared" si="129"/>
        <v>212789</v>
      </c>
      <c r="U428" s="844">
        <f t="shared" si="139"/>
        <v>2212789</v>
      </c>
      <c r="V428" s="608">
        <v>2212789</v>
      </c>
      <c r="W428" s="844">
        <v>2212789</v>
      </c>
    </row>
    <row r="429" spans="2:23" s="356" customFormat="1" ht="12.75">
      <c r="B429" s="350"/>
      <c r="C429" s="357"/>
      <c r="D429" s="352"/>
      <c r="E429" s="357"/>
      <c r="F429" s="397">
        <v>283</v>
      </c>
      <c r="G429" s="444">
        <v>426</v>
      </c>
      <c r="H429" s="1492" t="s">
        <v>38</v>
      </c>
      <c r="I429" s="1493"/>
      <c r="J429" s="1494"/>
      <c r="K429" s="914">
        <v>474000</v>
      </c>
      <c r="L429" s="917">
        <v>156960.44</v>
      </c>
      <c r="M429" s="955">
        <v>597631</v>
      </c>
      <c r="N429" s="404">
        <v>0</v>
      </c>
      <c r="O429" s="411">
        <v>0</v>
      </c>
      <c r="P429" s="411">
        <v>0</v>
      </c>
      <c r="Q429" s="411">
        <v>0</v>
      </c>
      <c r="R429" s="411">
        <v>0</v>
      </c>
      <c r="S429" s="411">
        <v>0</v>
      </c>
      <c r="T429" s="417">
        <f t="shared" si="129"/>
        <v>0</v>
      </c>
      <c r="U429" s="844">
        <f t="shared" si="139"/>
        <v>597631</v>
      </c>
      <c r="V429" s="608">
        <v>597631</v>
      </c>
      <c r="W429" s="844">
        <v>597631</v>
      </c>
    </row>
    <row r="430" spans="2:23" s="356" customFormat="1" ht="12.75">
      <c r="B430" s="350"/>
      <c r="C430" s="357"/>
      <c r="D430" s="352"/>
      <c r="E430" s="357"/>
      <c r="F430" s="397">
        <v>284</v>
      </c>
      <c r="G430" s="444">
        <v>426</v>
      </c>
      <c r="H430" s="380" t="s">
        <v>1531</v>
      </c>
      <c r="I430" s="435"/>
      <c r="J430" s="436"/>
      <c r="K430" s="914">
        <v>10</v>
      </c>
      <c r="L430" s="917">
        <v>0</v>
      </c>
      <c r="M430" s="955">
        <v>10</v>
      </c>
      <c r="N430" s="955">
        <v>0</v>
      </c>
      <c r="O430" s="955">
        <v>0</v>
      </c>
      <c r="P430" s="955">
        <v>0</v>
      </c>
      <c r="Q430" s="955">
        <v>0</v>
      </c>
      <c r="R430" s="955">
        <v>0</v>
      </c>
      <c r="S430" s="955">
        <v>0</v>
      </c>
      <c r="T430" s="417"/>
      <c r="U430" s="844">
        <f t="shared" si="139"/>
        <v>10</v>
      </c>
      <c r="V430" s="608">
        <v>10</v>
      </c>
      <c r="W430" s="844">
        <v>10</v>
      </c>
    </row>
    <row r="431" spans="2:23" s="356" customFormat="1" ht="12.75">
      <c r="B431" s="350"/>
      <c r="C431" s="357"/>
      <c r="D431" s="352"/>
      <c r="E431" s="357"/>
      <c r="F431" s="397">
        <v>285</v>
      </c>
      <c r="G431" s="444">
        <v>441</v>
      </c>
      <c r="H431" s="1495" t="s">
        <v>1430</v>
      </c>
      <c r="I431" s="1496"/>
      <c r="J431" s="1497"/>
      <c r="K431" s="914">
        <v>5000</v>
      </c>
      <c r="L431" s="917">
        <v>40.22</v>
      </c>
      <c r="M431" s="955">
        <v>5000</v>
      </c>
      <c r="N431" s="404">
        <v>0</v>
      </c>
      <c r="O431" s="411">
        <v>0</v>
      </c>
      <c r="P431" s="411">
        <v>0</v>
      </c>
      <c r="Q431" s="414">
        <v>0</v>
      </c>
      <c r="R431" s="414">
        <v>0</v>
      </c>
      <c r="S431" s="414">
        <v>0</v>
      </c>
      <c r="T431" s="417">
        <f t="shared" si="129"/>
        <v>0</v>
      </c>
      <c r="U431" s="844">
        <f t="shared" si="139"/>
        <v>5000</v>
      </c>
      <c r="V431" s="608">
        <v>5000</v>
      </c>
      <c r="W431" s="844">
        <v>5000</v>
      </c>
    </row>
    <row r="432" spans="2:23" s="356" customFormat="1" ht="12.75">
      <c r="B432" s="350"/>
      <c r="C432" s="357"/>
      <c r="D432" s="352"/>
      <c r="E432" s="357"/>
      <c r="F432" s="397">
        <v>286</v>
      </c>
      <c r="G432" s="444">
        <v>481</v>
      </c>
      <c r="H432" s="1492" t="s">
        <v>122</v>
      </c>
      <c r="I432" s="1493"/>
      <c r="J432" s="1494"/>
      <c r="K432" s="914">
        <v>600000</v>
      </c>
      <c r="L432" s="917">
        <v>600000</v>
      </c>
      <c r="M432" s="955">
        <v>600000</v>
      </c>
      <c r="N432" s="404">
        <v>0</v>
      </c>
      <c r="O432" s="411">
        <v>0</v>
      </c>
      <c r="P432" s="411">
        <v>0</v>
      </c>
      <c r="Q432" s="414">
        <v>0</v>
      </c>
      <c r="R432" s="408">
        <v>0</v>
      </c>
      <c r="S432" s="414">
        <v>0</v>
      </c>
      <c r="T432" s="417">
        <f t="shared" si="129"/>
        <v>0</v>
      </c>
      <c r="U432" s="844">
        <f t="shared" si="139"/>
        <v>600000</v>
      </c>
      <c r="V432" s="608">
        <v>600000</v>
      </c>
      <c r="W432" s="844">
        <v>600000</v>
      </c>
    </row>
    <row r="433" spans="2:23" ht="12.75">
      <c r="B433" s="350"/>
      <c r="C433" s="357"/>
      <c r="D433" s="352"/>
      <c r="E433" s="357"/>
      <c r="F433" s="397">
        <v>287</v>
      </c>
      <c r="G433" s="444">
        <v>512</v>
      </c>
      <c r="H433" s="367" t="s">
        <v>83</v>
      </c>
      <c r="I433" s="437"/>
      <c r="J433" s="438"/>
      <c r="K433" s="914">
        <v>100000</v>
      </c>
      <c r="L433" s="917">
        <v>0</v>
      </c>
      <c r="M433" s="955">
        <v>100000</v>
      </c>
      <c r="N433" s="404">
        <v>0</v>
      </c>
      <c r="O433" s="411">
        <v>0</v>
      </c>
      <c r="P433" s="411">
        <v>0</v>
      </c>
      <c r="Q433" s="411">
        <v>0</v>
      </c>
      <c r="R433" s="408">
        <v>0</v>
      </c>
      <c r="S433" s="411">
        <v>0</v>
      </c>
      <c r="T433" s="417">
        <f t="shared" si="129"/>
        <v>0</v>
      </c>
      <c r="U433" s="844">
        <f t="shared" si="139"/>
        <v>100000</v>
      </c>
      <c r="V433" s="608">
        <v>100000</v>
      </c>
      <c r="W433" s="844">
        <v>100000</v>
      </c>
    </row>
    <row r="434" spans="2:23" s="356" customFormat="1" ht="12.75">
      <c r="B434" s="458"/>
      <c r="C434" s="465" t="s">
        <v>1302</v>
      </c>
      <c r="D434" s="681"/>
      <c r="E434" s="467"/>
      <c r="F434" s="466"/>
      <c r="G434" s="468"/>
      <c r="H434" s="1514" t="s">
        <v>123</v>
      </c>
      <c r="I434" s="1515"/>
      <c r="J434" s="1515"/>
      <c r="K434" s="952">
        <f>K437</f>
        <v>1760020</v>
      </c>
      <c r="L434" s="952">
        <f>L437</f>
        <v>638215.06</v>
      </c>
      <c r="M434" s="1082">
        <f>M437</f>
        <v>2581020</v>
      </c>
      <c r="N434" s="1081">
        <f aca="true" t="shared" si="140" ref="N434:S434">N437</f>
        <v>0</v>
      </c>
      <c r="O434" s="423">
        <f>O437</f>
        <v>0</v>
      </c>
      <c r="P434" s="423">
        <f t="shared" si="140"/>
        <v>0</v>
      </c>
      <c r="Q434" s="423">
        <f t="shared" si="140"/>
        <v>200000</v>
      </c>
      <c r="R434" s="423">
        <f>R437</f>
        <v>0</v>
      </c>
      <c r="S434" s="471">
        <f t="shared" si="140"/>
        <v>0</v>
      </c>
      <c r="T434" s="470">
        <f t="shared" si="129"/>
        <v>200000</v>
      </c>
      <c r="U434" s="1176">
        <f t="shared" si="139"/>
        <v>2781020</v>
      </c>
      <c r="V434" s="847">
        <v>2781020</v>
      </c>
      <c r="W434" s="1176">
        <v>2781020</v>
      </c>
    </row>
    <row r="435" spans="2:23" s="638" customFormat="1" ht="12.75">
      <c r="B435" s="634"/>
      <c r="C435" s="635"/>
      <c r="D435" s="611"/>
      <c r="E435" s="610" t="s">
        <v>284</v>
      </c>
      <c r="F435" s="611"/>
      <c r="G435" s="612"/>
      <c r="H435" s="1511" t="s">
        <v>285</v>
      </c>
      <c r="I435" s="1512"/>
      <c r="J435" s="1513"/>
      <c r="K435" s="912">
        <f aca="true" t="shared" si="141" ref="K435:S436">K436</f>
        <v>1760020</v>
      </c>
      <c r="L435" s="1079">
        <f t="shared" si="141"/>
        <v>638215.06</v>
      </c>
      <c r="M435" s="957">
        <f t="shared" si="141"/>
        <v>2581020</v>
      </c>
      <c r="N435" s="636">
        <f t="shared" si="141"/>
        <v>0</v>
      </c>
      <c r="O435" s="636">
        <f t="shared" si="141"/>
        <v>0</v>
      </c>
      <c r="P435" s="636">
        <f t="shared" si="141"/>
        <v>0</v>
      </c>
      <c r="Q435" s="636">
        <f t="shared" si="141"/>
        <v>200000</v>
      </c>
      <c r="R435" s="636">
        <f t="shared" si="141"/>
        <v>0</v>
      </c>
      <c r="S435" s="637">
        <f t="shared" si="141"/>
        <v>0</v>
      </c>
      <c r="T435" s="637">
        <f t="shared" si="129"/>
        <v>200000</v>
      </c>
      <c r="U435" s="845">
        <f t="shared" si="139"/>
        <v>2781020</v>
      </c>
      <c r="V435" s="848">
        <v>2781020</v>
      </c>
      <c r="W435" s="652">
        <v>2781020</v>
      </c>
    </row>
    <row r="436" spans="2:23" s="356" customFormat="1" ht="12.75" customHeight="1">
      <c r="B436" s="284"/>
      <c r="C436" s="285"/>
      <c r="D436" s="428"/>
      <c r="E436" s="346" t="s">
        <v>302</v>
      </c>
      <c r="F436" s="428"/>
      <c r="G436" s="429"/>
      <c r="H436" s="1537" t="s">
        <v>1337</v>
      </c>
      <c r="I436" s="1538"/>
      <c r="J436" s="1539"/>
      <c r="K436" s="937">
        <f t="shared" si="141"/>
        <v>1760020</v>
      </c>
      <c r="L436" s="1080">
        <f t="shared" si="141"/>
        <v>638215.06</v>
      </c>
      <c r="M436" s="1083">
        <f t="shared" si="141"/>
        <v>2581020</v>
      </c>
      <c r="N436" s="290">
        <f t="shared" si="141"/>
        <v>0</v>
      </c>
      <c r="O436" s="290">
        <f t="shared" si="141"/>
        <v>0</v>
      </c>
      <c r="P436" s="290">
        <f t="shared" si="141"/>
        <v>0</v>
      </c>
      <c r="Q436" s="290">
        <f t="shared" si="141"/>
        <v>200000</v>
      </c>
      <c r="R436" s="290">
        <f t="shared" si="141"/>
        <v>0</v>
      </c>
      <c r="S436" s="335">
        <f t="shared" si="141"/>
        <v>0</v>
      </c>
      <c r="T436" s="335">
        <f t="shared" si="129"/>
        <v>200000</v>
      </c>
      <c r="U436" s="845">
        <f t="shared" si="139"/>
        <v>2781020</v>
      </c>
      <c r="V436" s="652">
        <v>2781020</v>
      </c>
      <c r="W436" s="652">
        <v>2781020</v>
      </c>
    </row>
    <row r="437" spans="2:23" s="42" customFormat="1" ht="12.75">
      <c r="B437" s="546"/>
      <c r="C437" s="547"/>
      <c r="D437" s="180" t="s">
        <v>278</v>
      </c>
      <c r="E437" s="58"/>
      <c r="F437" s="548"/>
      <c r="G437" s="549"/>
      <c r="H437" s="1526" t="s">
        <v>119</v>
      </c>
      <c r="I437" s="1527"/>
      <c r="J437" s="729"/>
      <c r="K437" s="539">
        <f aca="true" t="shared" si="142" ref="K437:T437">SUM(K438:K446)</f>
        <v>1760020</v>
      </c>
      <c r="L437" s="539">
        <f t="shared" si="142"/>
        <v>638215.06</v>
      </c>
      <c r="M437" s="379">
        <f t="shared" si="142"/>
        <v>2581020</v>
      </c>
      <c r="N437" s="68">
        <f t="shared" si="142"/>
        <v>0</v>
      </c>
      <c r="O437" s="68">
        <f t="shared" si="142"/>
        <v>0</v>
      </c>
      <c r="P437" s="68">
        <f t="shared" si="142"/>
        <v>0</v>
      </c>
      <c r="Q437" s="68">
        <f t="shared" si="142"/>
        <v>200000</v>
      </c>
      <c r="R437" s="68">
        <f t="shared" si="142"/>
        <v>0</v>
      </c>
      <c r="S437" s="68">
        <f t="shared" si="142"/>
        <v>0</v>
      </c>
      <c r="T437" s="68">
        <f t="shared" si="142"/>
        <v>200000</v>
      </c>
      <c r="U437" s="1175">
        <f t="shared" si="139"/>
        <v>2781020</v>
      </c>
      <c r="V437" s="837">
        <v>2781020</v>
      </c>
      <c r="W437" s="1175">
        <v>2781020</v>
      </c>
    </row>
    <row r="438" spans="2:23" s="356" customFormat="1" ht="12.75">
      <c r="B438" s="472"/>
      <c r="C438" s="473"/>
      <c r="D438" s="474"/>
      <c r="E438" s="473"/>
      <c r="F438" s="432">
        <v>288</v>
      </c>
      <c r="G438" s="475">
        <v>411</v>
      </c>
      <c r="H438" s="1492" t="s">
        <v>27</v>
      </c>
      <c r="I438" s="1493"/>
      <c r="J438" s="1494"/>
      <c r="K438" s="914">
        <v>540000</v>
      </c>
      <c r="L438" s="914">
        <v>271506.18</v>
      </c>
      <c r="M438" s="914">
        <v>540000</v>
      </c>
      <c r="N438" s="411">
        <v>0</v>
      </c>
      <c r="O438" s="411">
        <v>0</v>
      </c>
      <c r="P438" s="411">
        <v>0</v>
      </c>
      <c r="Q438" s="414">
        <v>0</v>
      </c>
      <c r="R438" s="408">
        <v>0</v>
      </c>
      <c r="S438" s="414">
        <v>0</v>
      </c>
      <c r="T438" s="417">
        <f t="shared" si="129"/>
        <v>0</v>
      </c>
      <c r="U438" s="844">
        <f t="shared" si="139"/>
        <v>540000</v>
      </c>
      <c r="V438" s="608">
        <v>540000</v>
      </c>
      <c r="W438" s="844">
        <v>540000</v>
      </c>
    </row>
    <row r="439" spans="2:23" s="356" customFormat="1" ht="12.75">
      <c r="B439" s="350"/>
      <c r="C439" s="357"/>
      <c r="D439" s="352"/>
      <c r="E439" s="362"/>
      <c r="F439" s="432">
        <v>289</v>
      </c>
      <c r="G439" s="444">
        <v>412</v>
      </c>
      <c r="H439" s="1492" t="s">
        <v>79</v>
      </c>
      <c r="I439" s="1493"/>
      <c r="J439" s="1494"/>
      <c r="K439" s="914">
        <v>100000</v>
      </c>
      <c r="L439" s="914">
        <v>45205.78</v>
      </c>
      <c r="M439" s="914">
        <v>100000</v>
      </c>
      <c r="N439" s="411">
        <v>0</v>
      </c>
      <c r="O439" s="411">
        <v>0</v>
      </c>
      <c r="P439" s="411">
        <v>0</v>
      </c>
      <c r="Q439" s="414">
        <v>0</v>
      </c>
      <c r="R439" s="408">
        <v>0</v>
      </c>
      <c r="S439" s="414">
        <v>0</v>
      </c>
      <c r="T439" s="417">
        <f t="shared" si="129"/>
        <v>0</v>
      </c>
      <c r="U439" s="844">
        <f t="shared" si="139"/>
        <v>100000</v>
      </c>
      <c r="V439" s="608">
        <v>100000</v>
      </c>
      <c r="W439" s="844">
        <v>100000</v>
      </c>
    </row>
    <row r="440" spans="2:23" s="356" customFormat="1" ht="12.75">
      <c r="B440" s="350"/>
      <c r="C440" s="357"/>
      <c r="D440" s="352"/>
      <c r="E440" s="362"/>
      <c r="F440" s="432">
        <v>290</v>
      </c>
      <c r="G440" s="444">
        <v>421</v>
      </c>
      <c r="H440" s="1492" t="s">
        <v>33</v>
      </c>
      <c r="I440" s="1493"/>
      <c r="J440" s="453"/>
      <c r="K440" s="935">
        <v>297000</v>
      </c>
      <c r="L440" s="935">
        <v>161430.10000000003</v>
      </c>
      <c r="M440" s="935">
        <v>297000</v>
      </c>
      <c r="N440" s="411">
        <v>0</v>
      </c>
      <c r="O440" s="411">
        <v>0</v>
      </c>
      <c r="P440" s="411">
        <v>0</v>
      </c>
      <c r="Q440" s="414">
        <v>50000</v>
      </c>
      <c r="R440" s="408">
        <v>0</v>
      </c>
      <c r="S440" s="414">
        <v>0</v>
      </c>
      <c r="T440" s="417">
        <f t="shared" si="129"/>
        <v>50000</v>
      </c>
      <c r="U440" s="844">
        <f t="shared" si="139"/>
        <v>347000</v>
      </c>
      <c r="V440" s="608">
        <v>347000</v>
      </c>
      <c r="W440" s="844">
        <v>347000</v>
      </c>
    </row>
    <row r="441" spans="2:23" s="356" customFormat="1" ht="12.75">
      <c r="B441" s="350"/>
      <c r="C441" s="357"/>
      <c r="D441" s="352"/>
      <c r="E441" s="362"/>
      <c r="F441" s="432">
        <v>291</v>
      </c>
      <c r="G441" s="444">
        <v>423</v>
      </c>
      <c r="H441" s="1495" t="s">
        <v>35</v>
      </c>
      <c r="I441" s="1496"/>
      <c r="J441" s="1497"/>
      <c r="K441" s="914">
        <v>200000</v>
      </c>
      <c r="L441" s="914">
        <v>32593</v>
      </c>
      <c r="M441" s="914">
        <v>200000</v>
      </c>
      <c r="N441" s="411">
        <v>0</v>
      </c>
      <c r="O441" s="411">
        <v>0</v>
      </c>
      <c r="P441" s="411">
        <v>0</v>
      </c>
      <c r="Q441" s="414">
        <v>150000</v>
      </c>
      <c r="R441" s="408">
        <v>0</v>
      </c>
      <c r="S441" s="414">
        <v>0</v>
      </c>
      <c r="T441" s="417">
        <f t="shared" si="129"/>
        <v>150000</v>
      </c>
      <c r="U441" s="844">
        <f t="shared" si="139"/>
        <v>350000</v>
      </c>
      <c r="V441" s="608">
        <v>350000</v>
      </c>
      <c r="W441" s="844">
        <v>350000</v>
      </c>
    </row>
    <row r="442" spans="2:23" s="356" customFormat="1" ht="12.75">
      <c r="B442" s="350"/>
      <c r="C442" s="357"/>
      <c r="D442" s="352"/>
      <c r="E442" s="362"/>
      <c r="F442" s="432">
        <v>292</v>
      </c>
      <c r="G442" s="444">
        <v>423</v>
      </c>
      <c r="H442" s="367" t="s">
        <v>1532</v>
      </c>
      <c r="I442" s="437"/>
      <c r="J442" s="438"/>
      <c r="K442" s="914">
        <v>10</v>
      </c>
      <c r="L442" s="914">
        <v>0</v>
      </c>
      <c r="M442" s="914">
        <v>10</v>
      </c>
      <c r="N442" s="914">
        <v>0</v>
      </c>
      <c r="O442" s="914">
        <v>0</v>
      </c>
      <c r="P442" s="914">
        <v>0</v>
      </c>
      <c r="Q442" s="914">
        <v>0</v>
      </c>
      <c r="R442" s="914">
        <v>0</v>
      </c>
      <c r="S442" s="914">
        <v>0</v>
      </c>
      <c r="T442" s="417"/>
      <c r="U442" s="844">
        <f t="shared" si="139"/>
        <v>10</v>
      </c>
      <c r="V442" s="608">
        <v>10</v>
      </c>
      <c r="W442" s="844">
        <v>10</v>
      </c>
    </row>
    <row r="443" spans="2:23" ht="12.75" customHeight="1">
      <c r="B443" s="350"/>
      <c r="C443" s="357"/>
      <c r="D443" s="352"/>
      <c r="E443" s="362"/>
      <c r="F443" s="432">
        <v>293</v>
      </c>
      <c r="G443" s="444">
        <v>425</v>
      </c>
      <c r="H443" s="1492" t="s">
        <v>91</v>
      </c>
      <c r="I443" s="1493"/>
      <c r="J443" s="1494"/>
      <c r="K443" s="914">
        <v>134000</v>
      </c>
      <c r="L443" s="914">
        <v>28000</v>
      </c>
      <c r="M443" s="914">
        <v>134000</v>
      </c>
      <c r="N443" s="411">
        <v>0</v>
      </c>
      <c r="O443" s="411">
        <v>0</v>
      </c>
      <c r="P443" s="411">
        <v>0</v>
      </c>
      <c r="Q443" s="414">
        <v>0</v>
      </c>
      <c r="R443" s="408">
        <v>0</v>
      </c>
      <c r="S443" s="414">
        <v>0</v>
      </c>
      <c r="T443" s="417">
        <f t="shared" si="129"/>
        <v>0</v>
      </c>
      <c r="U443" s="844">
        <f t="shared" si="139"/>
        <v>134000</v>
      </c>
      <c r="V443" s="608">
        <v>134000</v>
      </c>
      <c r="W443" s="844">
        <v>134000</v>
      </c>
    </row>
    <row r="444" spans="2:23" ht="12.75">
      <c r="B444" s="350"/>
      <c r="C444" s="357"/>
      <c r="D444" s="352"/>
      <c r="E444" s="362"/>
      <c r="F444" s="432">
        <v>294</v>
      </c>
      <c r="G444" s="444">
        <v>426</v>
      </c>
      <c r="H444" s="380" t="s">
        <v>38</v>
      </c>
      <c r="I444" s="476"/>
      <c r="J444" s="453"/>
      <c r="K444" s="935">
        <v>259000</v>
      </c>
      <c r="L444" s="935">
        <v>99480</v>
      </c>
      <c r="M444" s="935">
        <v>259000</v>
      </c>
      <c r="N444" s="411">
        <v>0</v>
      </c>
      <c r="O444" s="411">
        <v>0</v>
      </c>
      <c r="P444" s="411">
        <v>0</v>
      </c>
      <c r="Q444" s="414">
        <v>0</v>
      </c>
      <c r="R444" s="408">
        <v>0</v>
      </c>
      <c r="S444" s="414">
        <v>0</v>
      </c>
      <c r="T444" s="417">
        <f t="shared" si="129"/>
        <v>0</v>
      </c>
      <c r="U444" s="844">
        <f t="shared" si="139"/>
        <v>259000</v>
      </c>
      <c r="V444" s="608">
        <v>259000</v>
      </c>
      <c r="W444" s="844">
        <v>259000</v>
      </c>
    </row>
    <row r="445" spans="1:23" ht="12.75">
      <c r="A445" s="349">
        <v>426</v>
      </c>
      <c r="B445" s="350"/>
      <c r="C445" s="357"/>
      <c r="D445" s="352"/>
      <c r="E445" s="362"/>
      <c r="F445" s="432">
        <v>295</v>
      </c>
      <c r="G445" s="444">
        <v>426</v>
      </c>
      <c r="H445" s="380" t="s">
        <v>1531</v>
      </c>
      <c r="I445" s="476"/>
      <c r="J445" s="453"/>
      <c r="K445" s="954">
        <v>10</v>
      </c>
      <c r="L445" s="954">
        <v>0</v>
      </c>
      <c r="M445" s="954">
        <v>10</v>
      </c>
      <c r="N445" s="954">
        <v>0</v>
      </c>
      <c r="O445" s="954">
        <v>0</v>
      </c>
      <c r="P445" s="954">
        <v>0</v>
      </c>
      <c r="Q445" s="954">
        <v>0</v>
      </c>
      <c r="R445" s="954">
        <v>0</v>
      </c>
      <c r="S445" s="954">
        <v>0</v>
      </c>
      <c r="T445" s="417"/>
      <c r="U445" s="844">
        <f t="shared" si="139"/>
        <v>10</v>
      </c>
      <c r="V445" s="608">
        <v>10</v>
      </c>
      <c r="W445" s="844">
        <v>10</v>
      </c>
    </row>
    <row r="446" spans="2:23" s="356" customFormat="1" ht="12.75">
      <c r="B446" s="350"/>
      <c r="C446" s="357"/>
      <c r="D446" s="352"/>
      <c r="E446" s="362"/>
      <c r="F446" s="432">
        <v>296</v>
      </c>
      <c r="G446" s="444">
        <v>482</v>
      </c>
      <c r="H446" s="1492" t="s">
        <v>82</v>
      </c>
      <c r="I446" s="1493"/>
      <c r="J446" s="1493"/>
      <c r="K446" s="955">
        <v>230000</v>
      </c>
      <c r="L446" s="955">
        <v>0</v>
      </c>
      <c r="M446" s="955">
        <v>1051000</v>
      </c>
      <c r="N446" s="404">
        <v>0</v>
      </c>
      <c r="O446" s="411">
        <v>0</v>
      </c>
      <c r="P446" s="411">
        <v>0</v>
      </c>
      <c r="Q446" s="414">
        <v>0</v>
      </c>
      <c r="R446" s="408">
        <v>0</v>
      </c>
      <c r="S446" s="414">
        <v>0</v>
      </c>
      <c r="T446" s="417">
        <f t="shared" si="129"/>
        <v>0</v>
      </c>
      <c r="U446" s="844">
        <f t="shared" si="139"/>
        <v>1051000</v>
      </c>
      <c r="V446" s="608">
        <v>1051000</v>
      </c>
      <c r="W446" s="844">
        <v>1051000</v>
      </c>
    </row>
    <row r="447" spans="2:23" s="356" customFormat="1" ht="12.75">
      <c r="B447" s="458"/>
      <c r="C447" s="465" t="s">
        <v>1303</v>
      </c>
      <c r="D447" s="466"/>
      <c r="E447" s="467"/>
      <c r="F447" s="466"/>
      <c r="G447" s="468"/>
      <c r="H447" s="1514" t="s">
        <v>124</v>
      </c>
      <c r="I447" s="1515"/>
      <c r="J447" s="1515"/>
      <c r="K447" s="1098">
        <f>K450</f>
        <v>2191020</v>
      </c>
      <c r="L447" s="1098">
        <f>L450</f>
        <v>433479.55</v>
      </c>
      <c r="M447" s="1098">
        <f>M450</f>
        <v>2220020</v>
      </c>
      <c r="N447" s="423">
        <f aca="true" t="shared" si="143" ref="N447:S447">N450</f>
        <v>0</v>
      </c>
      <c r="O447" s="423">
        <f>O450</f>
        <v>0</v>
      </c>
      <c r="P447" s="423">
        <f t="shared" si="143"/>
        <v>742183</v>
      </c>
      <c r="Q447" s="423">
        <f t="shared" si="143"/>
        <v>27000</v>
      </c>
      <c r="R447" s="423">
        <f>R450</f>
        <v>0</v>
      </c>
      <c r="S447" s="471">
        <f t="shared" si="143"/>
        <v>0</v>
      </c>
      <c r="T447" s="470">
        <f t="shared" si="129"/>
        <v>769183</v>
      </c>
      <c r="U447" s="1176">
        <f t="shared" si="139"/>
        <v>2989203</v>
      </c>
      <c r="V447" s="847">
        <v>2989203</v>
      </c>
      <c r="W447" s="1176">
        <v>2989203</v>
      </c>
    </row>
    <row r="448" spans="2:23" s="638" customFormat="1" ht="12.75">
      <c r="B448" s="634"/>
      <c r="C448" s="635"/>
      <c r="D448" s="611"/>
      <c r="E448" s="610" t="s">
        <v>284</v>
      </c>
      <c r="F448" s="611"/>
      <c r="G448" s="612"/>
      <c r="H448" s="1511" t="s">
        <v>285</v>
      </c>
      <c r="I448" s="1512"/>
      <c r="J448" s="1513"/>
      <c r="K448" s="912">
        <f aca="true" t="shared" si="144" ref="K448:S449">K449</f>
        <v>2191020</v>
      </c>
      <c r="L448" s="912">
        <f t="shared" si="144"/>
        <v>433479.55</v>
      </c>
      <c r="M448" s="912">
        <f t="shared" si="144"/>
        <v>2220020</v>
      </c>
      <c r="N448" s="636">
        <f t="shared" si="144"/>
        <v>0</v>
      </c>
      <c r="O448" s="636">
        <f t="shared" si="144"/>
        <v>0</v>
      </c>
      <c r="P448" s="636">
        <f t="shared" si="144"/>
        <v>742183</v>
      </c>
      <c r="Q448" s="636">
        <f t="shared" si="144"/>
        <v>27000</v>
      </c>
      <c r="R448" s="636">
        <f t="shared" si="144"/>
        <v>0</v>
      </c>
      <c r="S448" s="637">
        <f t="shared" si="144"/>
        <v>0</v>
      </c>
      <c r="T448" s="637">
        <f t="shared" si="129"/>
        <v>769183</v>
      </c>
      <c r="U448" s="845">
        <f t="shared" si="139"/>
        <v>2989203</v>
      </c>
      <c r="V448" s="848">
        <v>2989203</v>
      </c>
      <c r="W448" s="848">
        <v>2989203</v>
      </c>
    </row>
    <row r="449" spans="2:23" ht="12.75" customHeight="1">
      <c r="B449" s="284"/>
      <c r="C449" s="285"/>
      <c r="D449" s="428"/>
      <c r="E449" s="346" t="s">
        <v>302</v>
      </c>
      <c r="F449" s="428"/>
      <c r="G449" s="429"/>
      <c r="H449" s="1537" t="s">
        <v>1337</v>
      </c>
      <c r="I449" s="1538"/>
      <c r="J449" s="1539"/>
      <c r="K449" s="937">
        <f t="shared" si="144"/>
        <v>2191020</v>
      </c>
      <c r="L449" s="937">
        <f t="shared" si="144"/>
        <v>433479.55</v>
      </c>
      <c r="M449" s="937">
        <f t="shared" si="144"/>
        <v>2220020</v>
      </c>
      <c r="N449" s="290">
        <f t="shared" si="144"/>
        <v>0</v>
      </c>
      <c r="O449" s="290">
        <f t="shared" si="144"/>
        <v>0</v>
      </c>
      <c r="P449" s="290">
        <f t="shared" si="144"/>
        <v>742183</v>
      </c>
      <c r="Q449" s="290">
        <f t="shared" si="144"/>
        <v>27000</v>
      </c>
      <c r="R449" s="290">
        <f t="shared" si="144"/>
        <v>0</v>
      </c>
      <c r="S449" s="335">
        <f t="shared" si="144"/>
        <v>0</v>
      </c>
      <c r="T449" s="335">
        <f t="shared" si="129"/>
        <v>769183</v>
      </c>
      <c r="U449" s="845">
        <f t="shared" si="139"/>
        <v>2989203</v>
      </c>
      <c r="V449" s="652">
        <v>2989203</v>
      </c>
      <c r="W449" s="652">
        <v>2989203</v>
      </c>
    </row>
    <row r="450" spans="2:23" ht="12" customHeight="1">
      <c r="B450" s="430"/>
      <c r="C450" s="431"/>
      <c r="D450" s="180" t="s">
        <v>278</v>
      </c>
      <c r="E450" s="58"/>
      <c r="F450" s="432"/>
      <c r="G450" s="433"/>
      <c r="H450" s="1610" t="s">
        <v>119</v>
      </c>
      <c r="I450" s="1611"/>
      <c r="J450" s="449"/>
      <c r="K450" s="958">
        <f aca="true" t="shared" si="145" ref="K450:S450">SUM(K451:K460)</f>
        <v>2191020</v>
      </c>
      <c r="L450" s="958">
        <f t="shared" si="145"/>
        <v>433479.55</v>
      </c>
      <c r="M450" s="958">
        <f t="shared" si="145"/>
        <v>2220020</v>
      </c>
      <c r="N450" s="703">
        <f t="shared" si="145"/>
        <v>0</v>
      </c>
      <c r="O450" s="703">
        <f t="shared" si="145"/>
        <v>0</v>
      </c>
      <c r="P450" s="703">
        <f t="shared" si="145"/>
        <v>742183</v>
      </c>
      <c r="Q450" s="703">
        <f t="shared" si="145"/>
        <v>27000</v>
      </c>
      <c r="R450" s="703">
        <f t="shared" si="145"/>
        <v>0</v>
      </c>
      <c r="S450" s="703">
        <f t="shared" si="145"/>
        <v>0</v>
      </c>
      <c r="T450" s="338">
        <f t="shared" si="129"/>
        <v>769183</v>
      </c>
      <c r="U450" s="1175">
        <f t="shared" si="139"/>
        <v>2989203</v>
      </c>
      <c r="V450" s="837">
        <v>2989203</v>
      </c>
      <c r="W450" s="1175">
        <v>2989203</v>
      </c>
    </row>
    <row r="451" spans="2:23" ht="12.75">
      <c r="B451" s="430"/>
      <c r="C451" s="431"/>
      <c r="D451" s="58"/>
      <c r="E451" s="58"/>
      <c r="F451" s="481">
        <v>297</v>
      </c>
      <c r="G451" s="353">
        <v>411</v>
      </c>
      <c r="H451" s="1621" t="s">
        <v>27</v>
      </c>
      <c r="I451" s="1622"/>
      <c r="J451" s="477"/>
      <c r="K451" s="955">
        <v>550000</v>
      </c>
      <c r="L451" s="955">
        <v>258036.14999999997</v>
      </c>
      <c r="M451" s="955">
        <v>550000</v>
      </c>
      <c r="N451" s="404">
        <v>0</v>
      </c>
      <c r="O451" s="404">
        <v>0</v>
      </c>
      <c r="P451" s="404">
        <v>0</v>
      </c>
      <c r="Q451" s="404">
        <v>0</v>
      </c>
      <c r="R451" s="408">
        <v>0</v>
      </c>
      <c r="S451" s="417">
        <v>0</v>
      </c>
      <c r="T451" s="417">
        <f t="shared" si="129"/>
        <v>0</v>
      </c>
      <c r="U451" s="844">
        <f t="shared" si="139"/>
        <v>550000</v>
      </c>
      <c r="V451" s="787">
        <v>550000</v>
      </c>
      <c r="W451" s="844">
        <v>550000</v>
      </c>
    </row>
    <row r="452" spans="2:23" s="356" customFormat="1" ht="12.75">
      <c r="B452" s="430"/>
      <c r="C452" s="431"/>
      <c r="D452" s="58"/>
      <c r="E452" s="58"/>
      <c r="F452" s="481">
        <v>298</v>
      </c>
      <c r="G452" s="353">
        <v>412</v>
      </c>
      <c r="H452" s="1619" t="s">
        <v>79</v>
      </c>
      <c r="I452" s="1541"/>
      <c r="J452" s="1541"/>
      <c r="K452" s="955">
        <v>92000</v>
      </c>
      <c r="L452" s="955">
        <v>42963.02</v>
      </c>
      <c r="M452" s="955">
        <v>92000</v>
      </c>
      <c r="N452" s="404">
        <v>0</v>
      </c>
      <c r="O452" s="404">
        <v>0</v>
      </c>
      <c r="P452" s="404">
        <v>0</v>
      </c>
      <c r="Q452" s="404">
        <v>0</v>
      </c>
      <c r="R452" s="408">
        <v>0</v>
      </c>
      <c r="S452" s="417">
        <v>0</v>
      </c>
      <c r="T452" s="417">
        <f aca="true" t="shared" si="146" ref="T452:T507">SUM(N452:S452)</f>
        <v>0</v>
      </c>
      <c r="U452" s="844">
        <f t="shared" si="139"/>
        <v>92000</v>
      </c>
      <c r="V452" s="787">
        <v>92000</v>
      </c>
      <c r="W452" s="844">
        <v>92000</v>
      </c>
    </row>
    <row r="453" spans="2:23" s="356" customFormat="1" ht="12.75">
      <c r="B453" s="350"/>
      <c r="C453" s="357"/>
      <c r="D453" s="352"/>
      <c r="E453" s="357"/>
      <c r="F453" s="481">
        <v>299</v>
      </c>
      <c r="G453" s="444">
        <v>421</v>
      </c>
      <c r="H453" s="1608" t="s">
        <v>33</v>
      </c>
      <c r="I453" s="1609"/>
      <c r="J453" s="478"/>
      <c r="K453" s="1071">
        <v>285000</v>
      </c>
      <c r="L453" s="1071">
        <v>63159.39</v>
      </c>
      <c r="M453" s="1071">
        <v>285000</v>
      </c>
      <c r="N453" s="404">
        <v>0</v>
      </c>
      <c r="O453" s="404">
        <v>0</v>
      </c>
      <c r="P453" s="411">
        <v>0</v>
      </c>
      <c r="Q453" s="414">
        <v>0</v>
      </c>
      <c r="R453" s="408">
        <v>0</v>
      </c>
      <c r="S453" s="414">
        <v>0</v>
      </c>
      <c r="T453" s="417">
        <f t="shared" si="146"/>
        <v>0</v>
      </c>
      <c r="U453" s="844">
        <f aca="true" t="shared" si="147" ref="U453:U464">M453+N453+O453+P453+Q453+R453+S453</f>
        <v>285000</v>
      </c>
      <c r="V453" s="608">
        <v>285000</v>
      </c>
      <c r="W453" s="844">
        <v>285000</v>
      </c>
    </row>
    <row r="454" spans="2:23" s="356" customFormat="1" ht="12.75">
      <c r="B454" s="350"/>
      <c r="C454" s="357"/>
      <c r="D454" s="352"/>
      <c r="E454" s="357"/>
      <c r="F454" s="481">
        <v>300</v>
      </c>
      <c r="G454" s="444">
        <v>423</v>
      </c>
      <c r="H454" s="380" t="s">
        <v>35</v>
      </c>
      <c r="I454" s="435"/>
      <c r="J454" s="453"/>
      <c r="K454" s="930">
        <v>425000</v>
      </c>
      <c r="L454" s="930">
        <v>50495.990000000005</v>
      </c>
      <c r="M454" s="930">
        <v>442000</v>
      </c>
      <c r="N454" s="404">
        <v>0</v>
      </c>
      <c r="O454" s="404">
        <v>0</v>
      </c>
      <c r="P454" s="411">
        <v>732183</v>
      </c>
      <c r="Q454" s="414">
        <v>0</v>
      </c>
      <c r="R454" s="408">
        <v>0</v>
      </c>
      <c r="S454" s="414">
        <v>0</v>
      </c>
      <c r="T454" s="417">
        <f t="shared" si="146"/>
        <v>732183</v>
      </c>
      <c r="U454" s="844">
        <f t="shared" si="147"/>
        <v>1174183</v>
      </c>
      <c r="V454" s="608">
        <v>1174183</v>
      </c>
      <c r="W454" s="844">
        <v>1174183</v>
      </c>
    </row>
    <row r="455" spans="2:23" s="356" customFormat="1" ht="12.75">
      <c r="B455" s="350"/>
      <c r="C455" s="357"/>
      <c r="D455" s="352"/>
      <c r="E455" s="357"/>
      <c r="F455" s="481">
        <v>301</v>
      </c>
      <c r="G455" s="444">
        <v>423</v>
      </c>
      <c r="H455" s="380" t="s">
        <v>1532</v>
      </c>
      <c r="I455" s="435"/>
      <c r="J455" s="453"/>
      <c r="K455" s="930">
        <v>10</v>
      </c>
      <c r="L455" s="930">
        <v>0</v>
      </c>
      <c r="M455" s="930">
        <v>10</v>
      </c>
      <c r="N455" s="930">
        <v>0</v>
      </c>
      <c r="O455" s="930">
        <v>0</v>
      </c>
      <c r="P455" s="930">
        <v>0</v>
      </c>
      <c r="Q455" s="930">
        <v>0</v>
      </c>
      <c r="R455" s="930">
        <v>0</v>
      </c>
      <c r="S455" s="930">
        <v>0</v>
      </c>
      <c r="T455" s="417"/>
      <c r="U455" s="844">
        <f t="shared" si="147"/>
        <v>10</v>
      </c>
      <c r="V455" s="608">
        <v>10</v>
      </c>
      <c r="W455" s="844">
        <v>10</v>
      </c>
    </row>
    <row r="456" spans="2:23" s="356" customFormat="1" ht="12.75">
      <c r="B456" s="563"/>
      <c r="C456" s="483"/>
      <c r="D456" s="564"/>
      <c r="E456" s="483"/>
      <c r="F456" s="1185">
        <v>302</v>
      </c>
      <c r="G456" s="533">
        <v>425</v>
      </c>
      <c r="H456" s="1673" t="s">
        <v>91</v>
      </c>
      <c r="I456" s="1648"/>
      <c r="J456" s="1580"/>
      <c r="K456" s="915">
        <v>505000</v>
      </c>
      <c r="L456" s="915">
        <v>5704</v>
      </c>
      <c r="M456" s="915">
        <v>515000</v>
      </c>
      <c r="N456" s="531">
        <v>0</v>
      </c>
      <c r="O456" s="531">
        <v>0</v>
      </c>
      <c r="P456" s="531">
        <v>0</v>
      </c>
      <c r="Q456" s="451">
        <v>0</v>
      </c>
      <c r="R456" s="742">
        <v>0</v>
      </c>
      <c r="S456" s="414">
        <v>0</v>
      </c>
      <c r="T456" s="417">
        <f t="shared" si="146"/>
        <v>0</v>
      </c>
      <c r="U456" s="844">
        <f t="shared" si="147"/>
        <v>515000</v>
      </c>
      <c r="V456" s="608">
        <v>515000</v>
      </c>
      <c r="W456" s="844">
        <v>515000</v>
      </c>
    </row>
    <row r="457" spans="2:23" s="356" customFormat="1" ht="12.75">
      <c r="B457" s="485"/>
      <c r="C457" s="485"/>
      <c r="D457" s="532"/>
      <c r="E457" s="485"/>
      <c r="F457" s="481">
        <v>303</v>
      </c>
      <c r="G457" s="482">
        <v>426</v>
      </c>
      <c r="H457" s="1614" t="s">
        <v>38</v>
      </c>
      <c r="I457" s="1614"/>
      <c r="J457" s="1614"/>
      <c r="K457" s="1071">
        <v>109000</v>
      </c>
      <c r="L457" s="1071">
        <v>13121</v>
      </c>
      <c r="M457" s="1071">
        <v>109000</v>
      </c>
      <c r="N457" s="457">
        <v>0</v>
      </c>
      <c r="O457" s="457">
        <v>0</v>
      </c>
      <c r="P457" s="457">
        <v>10000</v>
      </c>
      <c r="Q457" s="457">
        <v>27000</v>
      </c>
      <c r="R457" s="614">
        <v>0</v>
      </c>
      <c r="S457" s="656">
        <v>0</v>
      </c>
      <c r="T457" s="656">
        <f t="shared" si="146"/>
        <v>37000</v>
      </c>
      <c r="U457" s="844">
        <f t="shared" si="147"/>
        <v>146000</v>
      </c>
      <c r="V457" s="608">
        <v>146000</v>
      </c>
      <c r="W457" s="844">
        <v>146000</v>
      </c>
    </row>
    <row r="458" spans="2:23" s="356" customFormat="1" ht="12.75">
      <c r="B458" s="485"/>
      <c r="C458" s="485"/>
      <c r="D458" s="532"/>
      <c r="E458" s="485"/>
      <c r="F458" s="481">
        <v>304</v>
      </c>
      <c r="G458" s="482">
        <v>426</v>
      </c>
      <c r="H458" s="1540" t="s">
        <v>1531</v>
      </c>
      <c r="I458" s="1541"/>
      <c r="J458" s="1542"/>
      <c r="K458" s="1071">
        <v>10</v>
      </c>
      <c r="L458" s="1071">
        <v>0</v>
      </c>
      <c r="M458" s="1071">
        <v>10</v>
      </c>
      <c r="N458" s="1071">
        <v>0</v>
      </c>
      <c r="O458" s="1071">
        <v>0</v>
      </c>
      <c r="P458" s="1071">
        <v>0</v>
      </c>
      <c r="Q458" s="1071">
        <v>0</v>
      </c>
      <c r="R458" s="1071">
        <v>0</v>
      </c>
      <c r="S458" s="1071">
        <v>0</v>
      </c>
      <c r="T458" s="644"/>
      <c r="U458" s="844">
        <f t="shared" si="147"/>
        <v>10</v>
      </c>
      <c r="V458" s="608">
        <v>10</v>
      </c>
      <c r="W458" s="844">
        <v>10</v>
      </c>
    </row>
    <row r="459" spans="2:23" s="356" customFormat="1" ht="12.75">
      <c r="B459" s="485"/>
      <c r="C459" s="485"/>
      <c r="D459" s="532"/>
      <c r="E459" s="485"/>
      <c r="F459" s="481">
        <v>305</v>
      </c>
      <c r="G459" s="482">
        <v>482</v>
      </c>
      <c r="H459" s="1620" t="s">
        <v>82</v>
      </c>
      <c r="I459" s="1620"/>
      <c r="J459" s="1620"/>
      <c r="K459" s="955">
        <v>25000</v>
      </c>
      <c r="L459" s="955">
        <v>0</v>
      </c>
      <c r="M459" s="955">
        <v>27000</v>
      </c>
      <c r="N459" s="457">
        <v>0</v>
      </c>
      <c r="O459" s="457">
        <v>0</v>
      </c>
      <c r="P459" s="457">
        <v>0</v>
      </c>
      <c r="Q459" s="457">
        <v>0</v>
      </c>
      <c r="R459" s="614">
        <v>0</v>
      </c>
      <c r="S459" s="736">
        <v>0</v>
      </c>
      <c r="T459" s="733">
        <f t="shared" si="146"/>
        <v>0</v>
      </c>
      <c r="U459" s="844">
        <f t="shared" si="147"/>
        <v>27000</v>
      </c>
      <c r="V459" s="608">
        <v>27000</v>
      </c>
      <c r="W459" s="844">
        <v>27000</v>
      </c>
    </row>
    <row r="460" spans="2:23" s="356" customFormat="1" ht="12.75">
      <c r="B460" s="485"/>
      <c r="C460" s="485"/>
      <c r="D460" s="532"/>
      <c r="E460" s="485"/>
      <c r="F460" s="481">
        <v>306</v>
      </c>
      <c r="G460" s="482">
        <v>513</v>
      </c>
      <c r="H460" s="1614" t="s">
        <v>1507</v>
      </c>
      <c r="I460" s="1614"/>
      <c r="J460" s="1614"/>
      <c r="K460" s="955">
        <v>200000</v>
      </c>
      <c r="L460" s="955">
        <v>0</v>
      </c>
      <c r="M460" s="955">
        <v>200000</v>
      </c>
      <c r="N460" s="457">
        <v>0</v>
      </c>
      <c r="O460" s="457">
        <v>0</v>
      </c>
      <c r="P460" s="457">
        <v>0</v>
      </c>
      <c r="Q460" s="457">
        <v>0</v>
      </c>
      <c r="R460" s="457">
        <v>0</v>
      </c>
      <c r="S460" s="736">
        <v>0</v>
      </c>
      <c r="T460" s="733">
        <f t="shared" si="146"/>
        <v>0</v>
      </c>
      <c r="U460" s="844">
        <f t="shared" si="147"/>
        <v>200000</v>
      </c>
      <c r="V460" s="608">
        <v>200000</v>
      </c>
      <c r="W460" s="844">
        <v>200000</v>
      </c>
    </row>
    <row r="461" spans="2:23" s="356" customFormat="1" ht="12.75">
      <c r="B461" s="695"/>
      <c r="C461" s="696" t="s">
        <v>1304</v>
      </c>
      <c r="D461" s="697"/>
      <c r="E461" s="695"/>
      <c r="F461" s="697"/>
      <c r="G461" s="697"/>
      <c r="H461" s="1616" t="s">
        <v>125</v>
      </c>
      <c r="I461" s="1617"/>
      <c r="J461" s="1618"/>
      <c r="K461" s="956">
        <f>K464</f>
        <v>1916020</v>
      </c>
      <c r="L461" s="956">
        <f>L464</f>
        <v>437503.89</v>
      </c>
      <c r="M461" s="956">
        <f>M464</f>
        <v>1989020</v>
      </c>
      <c r="N461" s="698">
        <f aca="true" t="shared" si="148" ref="N461:S461">N464</f>
        <v>0</v>
      </c>
      <c r="O461" s="699">
        <f>O464</f>
        <v>0</v>
      </c>
      <c r="P461" s="700">
        <f t="shared" si="148"/>
        <v>0</v>
      </c>
      <c r="Q461" s="700">
        <f t="shared" si="148"/>
        <v>197000</v>
      </c>
      <c r="R461" s="700">
        <f>R464</f>
        <v>0</v>
      </c>
      <c r="S461" s="701">
        <f t="shared" si="148"/>
        <v>0</v>
      </c>
      <c r="T461" s="702">
        <f t="shared" si="146"/>
        <v>197000</v>
      </c>
      <c r="U461" s="1176">
        <f t="shared" si="147"/>
        <v>2186020</v>
      </c>
      <c r="V461" s="847">
        <v>2186020</v>
      </c>
      <c r="W461" s="1176">
        <v>2186020</v>
      </c>
    </row>
    <row r="462" spans="2:23" s="638" customFormat="1" ht="12.75">
      <c r="B462" s="682"/>
      <c r="C462" s="683"/>
      <c r="D462" s="684"/>
      <c r="E462" s="685" t="s">
        <v>284</v>
      </c>
      <c r="F462" s="684"/>
      <c r="G462" s="684"/>
      <c r="H462" s="1623" t="s">
        <v>285</v>
      </c>
      <c r="I462" s="1624"/>
      <c r="J462" s="1624"/>
      <c r="K462" s="957">
        <f aca="true" t="shared" si="149" ref="K462:S463">K463</f>
        <v>1916020</v>
      </c>
      <c r="L462" s="957">
        <f t="shared" si="149"/>
        <v>437503.89</v>
      </c>
      <c r="M462" s="957">
        <f t="shared" si="149"/>
        <v>1989020</v>
      </c>
      <c r="N462" s="686">
        <f t="shared" si="149"/>
        <v>0</v>
      </c>
      <c r="O462" s="636">
        <f t="shared" si="149"/>
        <v>0</v>
      </c>
      <c r="P462" s="636">
        <f t="shared" si="149"/>
        <v>0</v>
      </c>
      <c r="Q462" s="636">
        <f t="shared" si="149"/>
        <v>197000</v>
      </c>
      <c r="R462" s="636">
        <f t="shared" si="149"/>
        <v>0</v>
      </c>
      <c r="S462" s="637">
        <f t="shared" si="149"/>
        <v>0</v>
      </c>
      <c r="T462" s="637">
        <f t="shared" si="146"/>
        <v>197000</v>
      </c>
      <c r="U462" s="845">
        <f t="shared" si="147"/>
        <v>2186020</v>
      </c>
      <c r="V462" s="848">
        <v>2186020</v>
      </c>
      <c r="W462" s="848">
        <v>2186020</v>
      </c>
    </row>
    <row r="463" spans="2:23" s="356" customFormat="1" ht="12.75" customHeight="1">
      <c r="B463" s="284"/>
      <c r="C463" s="285"/>
      <c r="D463" s="428"/>
      <c r="E463" s="346" t="s">
        <v>302</v>
      </c>
      <c r="F463" s="428"/>
      <c r="G463" s="429"/>
      <c r="H463" s="1537" t="s">
        <v>1337</v>
      </c>
      <c r="I463" s="1538"/>
      <c r="J463" s="1539"/>
      <c r="K463" s="1095">
        <f t="shared" si="149"/>
        <v>1916020</v>
      </c>
      <c r="L463" s="1095">
        <f t="shared" si="149"/>
        <v>437503.89</v>
      </c>
      <c r="M463" s="1095">
        <f t="shared" si="149"/>
        <v>1989020</v>
      </c>
      <c r="N463" s="290">
        <f t="shared" si="149"/>
        <v>0</v>
      </c>
      <c r="O463" s="290">
        <f t="shared" si="149"/>
        <v>0</v>
      </c>
      <c r="P463" s="290">
        <f t="shared" si="149"/>
        <v>0</v>
      </c>
      <c r="Q463" s="290">
        <f t="shared" si="149"/>
        <v>197000</v>
      </c>
      <c r="R463" s="290">
        <f t="shared" si="149"/>
        <v>0</v>
      </c>
      <c r="S463" s="335">
        <f t="shared" si="149"/>
        <v>0</v>
      </c>
      <c r="T463" s="335">
        <f t="shared" si="146"/>
        <v>197000</v>
      </c>
      <c r="U463" s="845">
        <f t="shared" si="147"/>
        <v>2186020</v>
      </c>
      <c r="V463" s="652">
        <v>2186020</v>
      </c>
      <c r="W463" s="652">
        <v>2186020</v>
      </c>
    </row>
    <row r="464" spans="2:23" s="356" customFormat="1" ht="12.75">
      <c r="B464" s="479"/>
      <c r="C464" s="480"/>
      <c r="D464" s="180" t="s">
        <v>278</v>
      </c>
      <c r="E464" s="287"/>
      <c r="F464" s="1185"/>
      <c r="G464" s="1466"/>
      <c r="H464" s="1612" t="s">
        <v>119</v>
      </c>
      <c r="I464" s="1613"/>
      <c r="J464" s="1613"/>
      <c r="K464" s="838">
        <f>SUM(K467:K477)</f>
        <v>1916020</v>
      </c>
      <c r="L464" s="838">
        <f>SUM(L467:L477)</f>
        <v>437503.89</v>
      </c>
      <c r="M464" s="838">
        <f>SUM(M465:M477)</f>
        <v>1989020</v>
      </c>
      <c r="N464" s="838">
        <f aca="true" t="shared" si="150" ref="N464:S464">SUM(N465:N477)</f>
        <v>0</v>
      </c>
      <c r="O464" s="838">
        <f t="shared" si="150"/>
        <v>0</v>
      </c>
      <c r="P464" s="838">
        <f t="shared" si="150"/>
        <v>0</v>
      </c>
      <c r="Q464" s="838">
        <f t="shared" si="150"/>
        <v>197000</v>
      </c>
      <c r="R464" s="838">
        <f t="shared" si="150"/>
        <v>0</v>
      </c>
      <c r="S464" s="838">
        <f t="shared" si="150"/>
        <v>0</v>
      </c>
      <c r="T464" s="374">
        <f t="shared" si="146"/>
        <v>197000</v>
      </c>
      <c r="U464" s="1175">
        <f t="shared" si="147"/>
        <v>2186020</v>
      </c>
      <c r="V464" s="837">
        <v>2186020</v>
      </c>
      <c r="W464" s="1175">
        <v>2186020</v>
      </c>
    </row>
    <row r="465" spans="2:23" s="356" customFormat="1" ht="12.75">
      <c r="B465" s="480"/>
      <c r="C465" s="480"/>
      <c r="D465" s="1444"/>
      <c r="E465" s="287"/>
      <c r="F465" s="481" t="s">
        <v>1574</v>
      </c>
      <c r="G465" s="481">
        <v>411</v>
      </c>
      <c r="H465" s="1465" t="s">
        <v>27</v>
      </c>
      <c r="I465" s="1465"/>
      <c r="J465" s="1467"/>
      <c r="K465" s="540">
        <v>0</v>
      </c>
      <c r="L465" s="540">
        <v>0</v>
      </c>
      <c r="M465" s="540">
        <v>270000</v>
      </c>
      <c r="N465" s="1450">
        <v>0</v>
      </c>
      <c r="O465" s="1450">
        <v>0</v>
      </c>
      <c r="P465" s="1450">
        <v>0</v>
      </c>
      <c r="Q465" s="1450">
        <v>0</v>
      </c>
      <c r="R465" s="1450">
        <v>0</v>
      </c>
      <c r="S465" s="1450">
        <v>0</v>
      </c>
      <c r="T465" s="843"/>
      <c r="U465" s="1447">
        <f aca="true" t="shared" si="151" ref="U465:U481">M465+N465+O465+P465+Q465+R465+S465</f>
        <v>270000</v>
      </c>
      <c r="V465" s="837">
        <v>270000</v>
      </c>
      <c r="W465" s="1175">
        <v>270000</v>
      </c>
    </row>
    <row r="466" spans="2:23" s="356" customFormat="1" ht="12.75">
      <c r="B466" s="480"/>
      <c r="C466" s="480"/>
      <c r="D466" s="1444"/>
      <c r="E466" s="287"/>
      <c r="F466" s="481" t="s">
        <v>1575</v>
      </c>
      <c r="G466" s="481">
        <v>412</v>
      </c>
      <c r="H466" s="1465" t="s">
        <v>79</v>
      </c>
      <c r="I466" s="1465"/>
      <c r="J466" s="1465"/>
      <c r="K466" s="540">
        <v>0</v>
      </c>
      <c r="L466" s="540">
        <v>0</v>
      </c>
      <c r="M466" s="540">
        <v>37000</v>
      </c>
      <c r="N466" s="1450">
        <v>0</v>
      </c>
      <c r="O466" s="1450">
        <v>0</v>
      </c>
      <c r="P466" s="1450">
        <v>0</v>
      </c>
      <c r="Q466" s="1450">
        <v>0</v>
      </c>
      <c r="R466" s="1450">
        <v>0</v>
      </c>
      <c r="S466" s="1450">
        <v>0</v>
      </c>
      <c r="T466" s="843"/>
      <c r="U466" s="1447">
        <f t="shared" si="151"/>
        <v>37000</v>
      </c>
      <c r="V466" s="837">
        <v>37000</v>
      </c>
      <c r="W466" s="1175">
        <v>37000</v>
      </c>
    </row>
    <row r="467" spans="2:23" s="356" customFormat="1" ht="12.75">
      <c r="B467" s="485"/>
      <c r="C467" s="485"/>
      <c r="D467" s="1445"/>
      <c r="E467" s="288"/>
      <c r="F467" s="481">
        <v>307</v>
      </c>
      <c r="G467" s="482">
        <v>421</v>
      </c>
      <c r="H467" s="1614" t="s">
        <v>33</v>
      </c>
      <c r="I467" s="1614"/>
      <c r="J467" s="1614"/>
      <c r="K467" s="955">
        <v>290000</v>
      </c>
      <c r="L467" s="955">
        <v>199515.38000000003</v>
      </c>
      <c r="M467" s="955">
        <v>290000</v>
      </c>
      <c r="N467" s="405">
        <v>0</v>
      </c>
      <c r="O467" s="441">
        <v>0</v>
      </c>
      <c r="P467" s="441">
        <v>0</v>
      </c>
      <c r="Q467" s="415">
        <v>77000</v>
      </c>
      <c r="R467" s="1446">
        <v>0</v>
      </c>
      <c r="S467" s="415">
        <v>0</v>
      </c>
      <c r="T467" s="422">
        <f t="shared" si="146"/>
        <v>77000</v>
      </c>
      <c r="U467" s="1447">
        <f t="shared" si="151"/>
        <v>367000</v>
      </c>
      <c r="V467" s="1448">
        <v>367000</v>
      </c>
      <c r="W467" s="1447">
        <v>367000</v>
      </c>
    </row>
    <row r="468" spans="2:23" ht="12.75">
      <c r="B468" s="369"/>
      <c r="C468" s="362"/>
      <c r="D468" s="56"/>
      <c r="E468" s="288"/>
      <c r="F468" s="515">
        <v>308</v>
      </c>
      <c r="G468" s="464">
        <v>422</v>
      </c>
      <c r="H468" s="1608" t="s">
        <v>34</v>
      </c>
      <c r="I468" s="1609"/>
      <c r="J468" s="1615"/>
      <c r="K468" s="922">
        <v>10000</v>
      </c>
      <c r="L468" s="922">
        <v>0</v>
      </c>
      <c r="M468" s="922">
        <v>14000</v>
      </c>
      <c r="N468" s="411">
        <v>0</v>
      </c>
      <c r="O468" s="411">
        <v>0</v>
      </c>
      <c r="P468" s="411">
        <v>0</v>
      </c>
      <c r="Q468" s="414">
        <v>0</v>
      </c>
      <c r="R468" s="408">
        <v>0</v>
      </c>
      <c r="S468" s="414">
        <v>0</v>
      </c>
      <c r="T468" s="417">
        <f t="shared" si="146"/>
        <v>0</v>
      </c>
      <c r="U468" s="844">
        <f t="shared" si="151"/>
        <v>14000</v>
      </c>
      <c r="V468" s="608">
        <v>14000</v>
      </c>
      <c r="W468" s="844">
        <v>14000</v>
      </c>
    </row>
    <row r="469" spans="2:23" ht="12.75">
      <c r="B469" s="350"/>
      <c r="C469" s="357"/>
      <c r="D469" s="56"/>
      <c r="E469" s="288"/>
      <c r="F469" s="432">
        <v>309</v>
      </c>
      <c r="G469" s="444">
        <v>423</v>
      </c>
      <c r="H469" s="1492" t="s">
        <v>35</v>
      </c>
      <c r="I469" s="1493"/>
      <c r="J469" s="1494"/>
      <c r="K469" s="914">
        <v>415000</v>
      </c>
      <c r="L469" s="914">
        <v>47378</v>
      </c>
      <c r="M469" s="914">
        <v>267000</v>
      </c>
      <c r="N469" s="411">
        <v>0</v>
      </c>
      <c r="O469" s="411">
        <v>0</v>
      </c>
      <c r="P469" s="411">
        <v>0</v>
      </c>
      <c r="Q469" s="411">
        <v>0</v>
      </c>
      <c r="R469" s="408">
        <v>0</v>
      </c>
      <c r="S469" s="414">
        <v>0</v>
      </c>
      <c r="T469" s="417">
        <f t="shared" si="146"/>
        <v>0</v>
      </c>
      <c r="U469" s="844">
        <f t="shared" si="151"/>
        <v>267000</v>
      </c>
      <c r="V469" s="608">
        <v>267000</v>
      </c>
      <c r="W469" s="844">
        <v>267000</v>
      </c>
    </row>
    <row r="470" spans="2:23" ht="12.75">
      <c r="B470" s="350"/>
      <c r="C470" s="357"/>
      <c r="D470" s="56"/>
      <c r="E470" s="288"/>
      <c r="F470" s="432">
        <v>310</v>
      </c>
      <c r="G470" s="444">
        <v>423</v>
      </c>
      <c r="H470" s="380" t="s">
        <v>1532</v>
      </c>
      <c r="I470" s="435"/>
      <c r="J470" s="436"/>
      <c r="K470" s="914">
        <v>10</v>
      </c>
      <c r="L470" s="914">
        <v>0</v>
      </c>
      <c r="M470" s="914">
        <v>10</v>
      </c>
      <c r="N470" s="914">
        <v>0</v>
      </c>
      <c r="O470" s="914">
        <v>0</v>
      </c>
      <c r="P470" s="914">
        <v>0</v>
      </c>
      <c r="Q470" s="914">
        <v>0</v>
      </c>
      <c r="R470" s="914">
        <v>0</v>
      </c>
      <c r="S470" s="914">
        <v>0</v>
      </c>
      <c r="T470" s="417"/>
      <c r="U470" s="844">
        <f t="shared" si="151"/>
        <v>10</v>
      </c>
      <c r="V470" s="608">
        <v>10</v>
      </c>
      <c r="W470" s="844">
        <v>10</v>
      </c>
    </row>
    <row r="471" spans="2:23" ht="12.75">
      <c r="B471" s="350"/>
      <c r="C471" s="357"/>
      <c r="D471" s="56"/>
      <c r="E471" s="288"/>
      <c r="F471" s="432">
        <v>311</v>
      </c>
      <c r="G471" s="444">
        <v>424</v>
      </c>
      <c r="H471" s="1492" t="s">
        <v>36</v>
      </c>
      <c r="I471" s="1493"/>
      <c r="J471" s="1494"/>
      <c r="K471" s="914">
        <v>376000</v>
      </c>
      <c r="L471" s="914">
        <v>0</v>
      </c>
      <c r="M471" s="914">
        <v>330000</v>
      </c>
      <c r="N471" s="411">
        <v>0</v>
      </c>
      <c r="O471" s="411">
        <v>0</v>
      </c>
      <c r="P471" s="411">
        <v>0</v>
      </c>
      <c r="Q471" s="411">
        <v>10000</v>
      </c>
      <c r="R471" s="408">
        <v>0</v>
      </c>
      <c r="S471" s="414">
        <v>0</v>
      </c>
      <c r="T471" s="417">
        <f t="shared" si="146"/>
        <v>10000</v>
      </c>
      <c r="U471" s="844">
        <f t="shared" si="151"/>
        <v>340000</v>
      </c>
      <c r="V471" s="608">
        <v>340000</v>
      </c>
      <c r="W471" s="844">
        <v>340000</v>
      </c>
    </row>
    <row r="472" spans="2:23" ht="12.75">
      <c r="B472" s="350"/>
      <c r="C472" s="357"/>
      <c r="D472" s="56"/>
      <c r="E472" s="288"/>
      <c r="F472" s="432">
        <v>312</v>
      </c>
      <c r="G472" s="444">
        <v>425</v>
      </c>
      <c r="H472" s="1492" t="s">
        <v>91</v>
      </c>
      <c r="I472" s="1493"/>
      <c r="J472" s="1494"/>
      <c r="K472" s="914">
        <v>350000</v>
      </c>
      <c r="L472" s="914">
        <v>38357.6</v>
      </c>
      <c r="M472" s="914">
        <v>300000</v>
      </c>
      <c r="N472" s="411">
        <v>0</v>
      </c>
      <c r="O472" s="411">
        <v>0</v>
      </c>
      <c r="P472" s="411">
        <v>0</v>
      </c>
      <c r="Q472" s="411">
        <v>50000</v>
      </c>
      <c r="R472" s="408">
        <v>0</v>
      </c>
      <c r="S472" s="414">
        <v>0</v>
      </c>
      <c r="T472" s="417">
        <f t="shared" si="146"/>
        <v>50000</v>
      </c>
      <c r="U472" s="844">
        <f t="shared" si="151"/>
        <v>350000</v>
      </c>
      <c r="V472" s="608">
        <v>350000</v>
      </c>
      <c r="W472" s="844">
        <v>350000</v>
      </c>
    </row>
    <row r="473" spans="2:23" ht="12.75">
      <c r="B473" s="350"/>
      <c r="C473" s="357"/>
      <c r="D473" s="56"/>
      <c r="E473" s="288"/>
      <c r="F473" s="481">
        <v>313</v>
      </c>
      <c r="G473" s="444">
        <v>426</v>
      </c>
      <c r="H473" s="1495" t="s">
        <v>38</v>
      </c>
      <c r="I473" s="1496"/>
      <c r="J473" s="1497"/>
      <c r="K473" s="914">
        <v>130000</v>
      </c>
      <c r="L473" s="914">
        <v>42252.91</v>
      </c>
      <c r="M473" s="914">
        <v>136000</v>
      </c>
      <c r="N473" s="411">
        <v>0</v>
      </c>
      <c r="O473" s="411">
        <v>0</v>
      </c>
      <c r="P473" s="411">
        <v>0</v>
      </c>
      <c r="Q473" s="411">
        <v>60000</v>
      </c>
      <c r="R473" s="408">
        <v>0</v>
      </c>
      <c r="S473" s="414">
        <v>0</v>
      </c>
      <c r="T473" s="417">
        <f t="shared" si="146"/>
        <v>60000</v>
      </c>
      <c r="U473" s="844">
        <f t="shared" si="151"/>
        <v>196000</v>
      </c>
      <c r="V473" s="608">
        <v>196000</v>
      </c>
      <c r="W473" s="844">
        <v>196000</v>
      </c>
    </row>
    <row r="474" spans="2:23" ht="12.75">
      <c r="B474" s="350"/>
      <c r="C474" s="357"/>
      <c r="D474" s="56"/>
      <c r="E474" s="288"/>
      <c r="F474" s="481">
        <v>314</v>
      </c>
      <c r="G474" s="444">
        <v>426</v>
      </c>
      <c r="H474" s="367" t="s">
        <v>1534</v>
      </c>
      <c r="I474" s="437"/>
      <c r="J474" s="438"/>
      <c r="K474" s="914">
        <v>10</v>
      </c>
      <c r="L474" s="914">
        <v>0</v>
      </c>
      <c r="M474" s="915">
        <v>10</v>
      </c>
      <c r="N474" s="915">
        <v>0</v>
      </c>
      <c r="O474" s="915">
        <v>0</v>
      </c>
      <c r="P474" s="915">
        <v>0</v>
      </c>
      <c r="Q474" s="915">
        <v>0</v>
      </c>
      <c r="R474" s="915">
        <v>0</v>
      </c>
      <c r="S474" s="915">
        <v>0</v>
      </c>
      <c r="T474" s="417"/>
      <c r="U474" s="844">
        <f t="shared" si="151"/>
        <v>10</v>
      </c>
      <c r="V474" s="608">
        <v>10</v>
      </c>
      <c r="W474" s="844">
        <v>10</v>
      </c>
    </row>
    <row r="475" spans="2:23" ht="12.75">
      <c r="B475" s="350"/>
      <c r="C475" s="357"/>
      <c r="D475" s="56"/>
      <c r="E475" s="288"/>
      <c r="F475" s="481">
        <v>315</v>
      </c>
      <c r="G475" s="444">
        <v>482</v>
      </c>
      <c r="H475" s="1492" t="s">
        <v>82</v>
      </c>
      <c r="I475" s="1493"/>
      <c r="J475" s="1494"/>
      <c r="K475" s="914">
        <v>250000</v>
      </c>
      <c r="L475" s="914">
        <v>110000</v>
      </c>
      <c r="M475" s="915">
        <v>250000</v>
      </c>
      <c r="N475" s="411">
        <v>0</v>
      </c>
      <c r="O475" s="411">
        <v>0</v>
      </c>
      <c r="P475" s="411">
        <v>0</v>
      </c>
      <c r="Q475" s="414">
        <v>0</v>
      </c>
      <c r="R475" s="408">
        <v>0</v>
      </c>
      <c r="S475" s="414">
        <v>0</v>
      </c>
      <c r="T475" s="417">
        <f t="shared" si="146"/>
        <v>0</v>
      </c>
      <c r="U475" s="844">
        <f t="shared" si="151"/>
        <v>250000</v>
      </c>
      <c r="V475" s="608">
        <v>250000</v>
      </c>
      <c r="W475" s="844">
        <v>250000</v>
      </c>
    </row>
    <row r="476" spans="2:23" ht="12.75">
      <c r="B476" s="350"/>
      <c r="C476" s="357"/>
      <c r="D476" s="56"/>
      <c r="E476" s="288"/>
      <c r="F476" s="481">
        <v>316</v>
      </c>
      <c r="G476" s="444">
        <v>511</v>
      </c>
      <c r="H476" s="1495" t="s">
        <v>1435</v>
      </c>
      <c r="I476" s="1496"/>
      <c r="J476" s="1497"/>
      <c r="K476" s="914">
        <v>30000</v>
      </c>
      <c r="L476" s="917">
        <v>0</v>
      </c>
      <c r="M476" s="955">
        <v>30000</v>
      </c>
      <c r="N476" s="404">
        <v>0</v>
      </c>
      <c r="O476" s="411">
        <v>0</v>
      </c>
      <c r="P476" s="411">
        <v>0</v>
      </c>
      <c r="Q476" s="414">
        <v>0</v>
      </c>
      <c r="R476" s="408">
        <v>0</v>
      </c>
      <c r="S476" s="414">
        <v>0</v>
      </c>
      <c r="T476" s="417">
        <f t="shared" si="146"/>
        <v>0</v>
      </c>
      <c r="U476" s="844">
        <f t="shared" si="151"/>
        <v>30000</v>
      </c>
      <c r="V476" s="608">
        <v>30000</v>
      </c>
      <c r="W476" s="844">
        <v>30000</v>
      </c>
    </row>
    <row r="477" spans="2:23" ht="12.75">
      <c r="B477" s="350"/>
      <c r="C477" s="357"/>
      <c r="D477" s="56"/>
      <c r="E477" s="288"/>
      <c r="F477" s="481">
        <v>317</v>
      </c>
      <c r="G477" s="434">
        <v>512</v>
      </c>
      <c r="H477" s="1495" t="s">
        <v>83</v>
      </c>
      <c r="I477" s="1496"/>
      <c r="J477" s="1497"/>
      <c r="K477" s="914">
        <v>65000</v>
      </c>
      <c r="L477" s="917">
        <v>0</v>
      </c>
      <c r="M477" s="955">
        <v>65000</v>
      </c>
      <c r="N477" s="404">
        <v>0</v>
      </c>
      <c r="O477" s="411">
        <v>0</v>
      </c>
      <c r="P477" s="411">
        <v>0</v>
      </c>
      <c r="Q477" s="414">
        <v>0</v>
      </c>
      <c r="R477" s="408">
        <v>0</v>
      </c>
      <c r="S477" s="414">
        <v>0</v>
      </c>
      <c r="T477" s="417">
        <f t="shared" si="146"/>
        <v>0</v>
      </c>
      <c r="U477" s="844">
        <f t="shared" si="151"/>
        <v>65000</v>
      </c>
      <c r="V477" s="608">
        <v>65000</v>
      </c>
      <c r="W477" s="844">
        <v>65000</v>
      </c>
    </row>
    <row r="478" spans="2:23" ht="12.75">
      <c r="B478" s="458"/>
      <c r="C478" s="465" t="s">
        <v>1305</v>
      </c>
      <c r="D478" s="466"/>
      <c r="E478" s="467"/>
      <c r="F478" s="466"/>
      <c r="G478" s="468"/>
      <c r="H478" s="1514" t="s">
        <v>126</v>
      </c>
      <c r="I478" s="1515"/>
      <c r="J478" s="1515"/>
      <c r="K478" s="952">
        <f>K481</f>
        <v>700020</v>
      </c>
      <c r="L478" s="952">
        <f>L481</f>
        <v>153146.28999999998</v>
      </c>
      <c r="M478" s="1082">
        <f>M481</f>
        <v>1100020</v>
      </c>
      <c r="N478" s="1081">
        <f aca="true" t="shared" si="152" ref="N478:S478">N481</f>
        <v>0</v>
      </c>
      <c r="O478" s="423">
        <f>O481</f>
        <v>0</v>
      </c>
      <c r="P478" s="423">
        <f t="shared" si="152"/>
        <v>0</v>
      </c>
      <c r="Q478" s="423">
        <f t="shared" si="152"/>
        <v>670000</v>
      </c>
      <c r="R478" s="423">
        <f>R481</f>
        <v>0</v>
      </c>
      <c r="S478" s="471">
        <f t="shared" si="152"/>
        <v>0</v>
      </c>
      <c r="T478" s="470">
        <f t="shared" si="146"/>
        <v>670000</v>
      </c>
      <c r="U478" s="1176">
        <f t="shared" si="151"/>
        <v>1770020</v>
      </c>
      <c r="V478" s="847">
        <v>1770020</v>
      </c>
      <c r="W478" s="1176">
        <v>1770020</v>
      </c>
    </row>
    <row r="479" spans="2:23" s="687" customFormat="1" ht="12.75">
      <c r="B479" s="634"/>
      <c r="C479" s="635"/>
      <c r="D479" s="611"/>
      <c r="E479" s="610" t="s">
        <v>284</v>
      </c>
      <c r="F479" s="611"/>
      <c r="G479" s="612"/>
      <c r="H479" s="1511" t="s">
        <v>285</v>
      </c>
      <c r="I479" s="1512"/>
      <c r="J479" s="1513"/>
      <c r="K479" s="912">
        <f aca="true" t="shared" si="153" ref="K479:S480">K480</f>
        <v>700020</v>
      </c>
      <c r="L479" s="1079">
        <f t="shared" si="153"/>
        <v>153146.28999999998</v>
      </c>
      <c r="M479" s="957">
        <f t="shared" si="153"/>
        <v>1100020</v>
      </c>
      <c r="N479" s="636">
        <f t="shared" si="153"/>
        <v>0</v>
      </c>
      <c r="O479" s="636">
        <f t="shared" si="153"/>
        <v>0</v>
      </c>
      <c r="P479" s="636">
        <f t="shared" si="153"/>
        <v>0</v>
      </c>
      <c r="Q479" s="636">
        <f t="shared" si="153"/>
        <v>670000</v>
      </c>
      <c r="R479" s="636">
        <f t="shared" si="153"/>
        <v>0</v>
      </c>
      <c r="S479" s="637">
        <f t="shared" si="153"/>
        <v>0</v>
      </c>
      <c r="T479" s="637">
        <f t="shared" si="146"/>
        <v>670000</v>
      </c>
      <c r="U479" s="845">
        <f t="shared" si="151"/>
        <v>1770020</v>
      </c>
      <c r="V479" s="848">
        <v>1770020</v>
      </c>
      <c r="W479" s="848">
        <v>1770020</v>
      </c>
    </row>
    <row r="480" spans="2:23" ht="12.75" customHeight="1">
      <c r="B480" s="284"/>
      <c r="C480" s="285"/>
      <c r="D480" s="428"/>
      <c r="E480" s="346" t="s">
        <v>302</v>
      </c>
      <c r="F480" s="428"/>
      <c r="G480" s="429"/>
      <c r="H480" s="1537" t="s">
        <v>1337</v>
      </c>
      <c r="I480" s="1538"/>
      <c r="J480" s="1539"/>
      <c r="K480" s="937">
        <f t="shared" si="153"/>
        <v>700020</v>
      </c>
      <c r="L480" s="1080">
        <f t="shared" si="153"/>
        <v>153146.28999999998</v>
      </c>
      <c r="M480" s="1083">
        <f t="shared" si="153"/>
        <v>1100020</v>
      </c>
      <c r="N480" s="290">
        <f t="shared" si="153"/>
        <v>0</v>
      </c>
      <c r="O480" s="290">
        <f t="shared" si="153"/>
        <v>0</v>
      </c>
      <c r="P480" s="290">
        <f t="shared" si="153"/>
        <v>0</v>
      </c>
      <c r="Q480" s="290">
        <f t="shared" si="153"/>
        <v>670000</v>
      </c>
      <c r="R480" s="290">
        <f t="shared" si="153"/>
        <v>0</v>
      </c>
      <c r="S480" s="335">
        <f t="shared" si="153"/>
        <v>0</v>
      </c>
      <c r="T480" s="335">
        <f t="shared" si="146"/>
        <v>670000</v>
      </c>
      <c r="U480" s="845">
        <f t="shared" si="151"/>
        <v>1770020</v>
      </c>
      <c r="V480" s="652">
        <v>1770020</v>
      </c>
      <c r="W480" s="652">
        <v>1770020</v>
      </c>
    </row>
    <row r="481" spans="2:23" ht="12.75">
      <c r="B481" s="430"/>
      <c r="C481" s="431"/>
      <c r="D481" s="180" t="s">
        <v>278</v>
      </c>
      <c r="E481" s="58"/>
      <c r="F481" s="432"/>
      <c r="G481" s="433"/>
      <c r="H481" s="1526" t="s">
        <v>119</v>
      </c>
      <c r="I481" s="1527"/>
      <c r="J481" s="445"/>
      <c r="K481" s="927">
        <f>SUM(K484:K492)</f>
        <v>700020</v>
      </c>
      <c r="L481" s="953">
        <f>SUM(L484:L492)</f>
        <v>153146.28999999998</v>
      </c>
      <c r="M481" s="726">
        <f>SUM(M482:M492)</f>
        <v>1100020</v>
      </c>
      <c r="N481" s="65">
        <f aca="true" t="shared" si="154" ref="N481:S481">SUM(N484:N492)</f>
        <v>0</v>
      </c>
      <c r="O481" s="65">
        <f t="shared" si="154"/>
        <v>0</v>
      </c>
      <c r="P481" s="65">
        <f t="shared" si="154"/>
        <v>0</v>
      </c>
      <c r="Q481" s="573">
        <f t="shared" si="154"/>
        <v>670000</v>
      </c>
      <c r="R481" s="573">
        <f t="shared" si="154"/>
        <v>0</v>
      </c>
      <c r="S481" s="573">
        <f t="shared" si="154"/>
        <v>0</v>
      </c>
      <c r="T481" s="338">
        <f t="shared" si="146"/>
        <v>670000</v>
      </c>
      <c r="U481" s="1175">
        <f t="shared" si="151"/>
        <v>1770020</v>
      </c>
      <c r="V481" s="837">
        <v>1770020</v>
      </c>
      <c r="W481" s="1175">
        <v>1770020</v>
      </c>
    </row>
    <row r="482" spans="2:23" ht="12.75">
      <c r="B482" s="430"/>
      <c r="C482" s="431"/>
      <c r="D482" s="180"/>
      <c r="E482" s="58"/>
      <c r="F482" s="432" t="s">
        <v>1576</v>
      </c>
      <c r="G482" s="433">
        <v>411</v>
      </c>
      <c r="H482" s="348" t="s">
        <v>27</v>
      </c>
      <c r="I482" s="442"/>
      <c r="J482" s="445"/>
      <c r="K482" s="927">
        <v>0</v>
      </c>
      <c r="L482" s="953">
        <v>0</v>
      </c>
      <c r="M482" s="726">
        <v>270000</v>
      </c>
      <c r="N482" s="704">
        <v>0</v>
      </c>
      <c r="O482" s="704">
        <v>0</v>
      </c>
      <c r="P482" s="704">
        <v>0</v>
      </c>
      <c r="Q482" s="625">
        <v>0</v>
      </c>
      <c r="R482" s="625">
        <v>0</v>
      </c>
      <c r="S482" s="625">
        <v>0</v>
      </c>
      <c r="T482" s="1449"/>
      <c r="U482" s="844">
        <f aca="true" t="shared" si="155" ref="U482:U507">M482+N482+O482+P482+Q482+R482+S482</f>
        <v>270000</v>
      </c>
      <c r="V482" s="837">
        <v>270000</v>
      </c>
      <c r="W482" s="1175">
        <v>270000</v>
      </c>
    </row>
    <row r="483" spans="2:23" ht="12.75">
      <c r="B483" s="430"/>
      <c r="C483" s="431"/>
      <c r="D483" s="180"/>
      <c r="E483" s="58"/>
      <c r="F483" s="432" t="s">
        <v>1577</v>
      </c>
      <c r="G483" s="433">
        <v>412</v>
      </c>
      <c r="H483" s="348" t="s">
        <v>79</v>
      </c>
      <c r="I483" s="442"/>
      <c r="J483" s="445"/>
      <c r="K483" s="927">
        <v>0</v>
      </c>
      <c r="L483" s="953">
        <v>0</v>
      </c>
      <c r="M483" s="726">
        <v>37000</v>
      </c>
      <c r="N483" s="704">
        <v>0</v>
      </c>
      <c r="O483" s="704">
        <v>0</v>
      </c>
      <c r="P483" s="704">
        <v>0</v>
      </c>
      <c r="Q483" s="625">
        <v>0</v>
      </c>
      <c r="R483" s="625">
        <v>0</v>
      </c>
      <c r="S483" s="625">
        <v>0</v>
      </c>
      <c r="T483" s="1449"/>
      <c r="U483" s="844">
        <f t="shared" si="155"/>
        <v>37000</v>
      </c>
      <c r="V483" s="837">
        <v>37000</v>
      </c>
      <c r="W483" s="1175">
        <v>37000</v>
      </c>
    </row>
    <row r="484" spans="2:23" ht="12.75">
      <c r="B484" s="350"/>
      <c r="C484" s="357"/>
      <c r="D484" s="56"/>
      <c r="E484" s="180"/>
      <c r="F484" s="432">
        <v>318</v>
      </c>
      <c r="G484" s="444">
        <v>421</v>
      </c>
      <c r="H484" s="1492" t="s">
        <v>33</v>
      </c>
      <c r="I484" s="1493"/>
      <c r="J484" s="453"/>
      <c r="K484" s="935">
        <v>41000</v>
      </c>
      <c r="L484" s="454">
        <v>24943.420000000002</v>
      </c>
      <c r="M484" s="1071">
        <v>41000</v>
      </c>
      <c r="N484" s="404">
        <v>0</v>
      </c>
      <c r="O484" s="531">
        <v>0</v>
      </c>
      <c r="P484" s="531">
        <v>0</v>
      </c>
      <c r="Q484" s="1145">
        <v>90000</v>
      </c>
      <c r="R484" s="1451">
        <v>0</v>
      </c>
      <c r="S484" s="1452">
        <v>0</v>
      </c>
      <c r="T484" s="656">
        <f t="shared" si="146"/>
        <v>90000</v>
      </c>
      <c r="U484" s="844">
        <f t="shared" si="155"/>
        <v>131000</v>
      </c>
      <c r="V484" s="608">
        <v>131000</v>
      </c>
      <c r="W484" s="844">
        <v>131000</v>
      </c>
    </row>
    <row r="485" spans="2:23" ht="12.75">
      <c r="B485" s="350"/>
      <c r="C485" s="357"/>
      <c r="D485" s="56"/>
      <c r="E485" s="180"/>
      <c r="F485" s="432">
        <v>319</v>
      </c>
      <c r="G485" s="444">
        <v>422</v>
      </c>
      <c r="H485" s="1492" t="s">
        <v>34</v>
      </c>
      <c r="I485" s="1493"/>
      <c r="J485" s="453"/>
      <c r="K485" s="935">
        <v>25000</v>
      </c>
      <c r="L485" s="454">
        <v>12616</v>
      </c>
      <c r="M485" s="1071">
        <v>25000</v>
      </c>
      <c r="N485" s="417">
        <v>0</v>
      </c>
      <c r="O485" s="457">
        <v>0</v>
      </c>
      <c r="P485" s="457">
        <v>0</v>
      </c>
      <c r="Q485" s="457">
        <v>10000</v>
      </c>
      <c r="R485" s="614">
        <v>0</v>
      </c>
      <c r="S485" s="457">
        <v>0</v>
      </c>
      <c r="T485" s="733">
        <f t="shared" si="146"/>
        <v>10000</v>
      </c>
      <c r="U485" s="844">
        <f t="shared" si="155"/>
        <v>35000</v>
      </c>
      <c r="V485" s="608">
        <v>35000</v>
      </c>
      <c r="W485" s="844">
        <v>35000</v>
      </c>
    </row>
    <row r="486" spans="2:23" ht="12.75">
      <c r="B486" s="350"/>
      <c r="C486" s="357"/>
      <c r="D486" s="56"/>
      <c r="E486" s="180"/>
      <c r="F486" s="432">
        <v>320</v>
      </c>
      <c r="G486" s="444">
        <v>423</v>
      </c>
      <c r="H486" s="1492" t="s">
        <v>35</v>
      </c>
      <c r="I486" s="1493"/>
      <c r="J486" s="453"/>
      <c r="K486" s="935">
        <v>340000</v>
      </c>
      <c r="L486" s="454">
        <v>96290.18</v>
      </c>
      <c r="M486" s="1071">
        <v>295000</v>
      </c>
      <c r="N486" s="417">
        <v>0</v>
      </c>
      <c r="O486" s="457">
        <v>0</v>
      </c>
      <c r="P486" s="457">
        <v>0</v>
      </c>
      <c r="Q486" s="457">
        <v>0</v>
      </c>
      <c r="R486" s="614">
        <v>0</v>
      </c>
      <c r="S486" s="457">
        <v>0</v>
      </c>
      <c r="T486" s="733">
        <f t="shared" si="146"/>
        <v>0</v>
      </c>
      <c r="U486" s="844">
        <f t="shared" si="155"/>
        <v>295000</v>
      </c>
      <c r="V486" s="608">
        <v>295000</v>
      </c>
      <c r="W486" s="844">
        <v>295000</v>
      </c>
    </row>
    <row r="487" spans="2:23" ht="12.75">
      <c r="B487" s="350"/>
      <c r="C487" s="357"/>
      <c r="D487" s="56"/>
      <c r="E487" s="180"/>
      <c r="F487" s="432">
        <v>321</v>
      </c>
      <c r="G487" s="444">
        <v>423</v>
      </c>
      <c r="H487" s="380" t="s">
        <v>1532</v>
      </c>
      <c r="I487" s="435"/>
      <c r="J487" s="453"/>
      <c r="K487" s="935">
        <v>10</v>
      </c>
      <c r="L487" s="454">
        <v>0</v>
      </c>
      <c r="M487" s="1071">
        <v>10</v>
      </c>
      <c r="N487" s="1071">
        <v>0</v>
      </c>
      <c r="O487" s="1071">
        <v>0</v>
      </c>
      <c r="P487" s="1071">
        <v>0</v>
      </c>
      <c r="Q487" s="1071">
        <v>0</v>
      </c>
      <c r="R487" s="1071">
        <v>0</v>
      </c>
      <c r="S487" s="1071">
        <v>0</v>
      </c>
      <c r="T487" s="733"/>
      <c r="U487" s="844">
        <f t="shared" si="155"/>
        <v>10</v>
      </c>
      <c r="V487" s="608">
        <v>10</v>
      </c>
      <c r="W487" s="844">
        <v>10</v>
      </c>
    </row>
    <row r="488" spans="1:23" ht="12.75">
      <c r="A488" s="349" t="s">
        <v>1533</v>
      </c>
      <c r="B488" s="350"/>
      <c r="C488" s="357"/>
      <c r="D488" s="56"/>
      <c r="E488" s="180"/>
      <c r="F488" s="432">
        <v>322</v>
      </c>
      <c r="G488" s="444">
        <v>425</v>
      </c>
      <c r="H488" s="1492" t="s">
        <v>91</v>
      </c>
      <c r="I488" s="1493"/>
      <c r="J488" s="1494"/>
      <c r="K488" s="914">
        <v>66000</v>
      </c>
      <c r="L488" s="917">
        <v>0</v>
      </c>
      <c r="M488" s="955">
        <v>170000</v>
      </c>
      <c r="N488" s="417">
        <v>0</v>
      </c>
      <c r="O488" s="457">
        <v>0</v>
      </c>
      <c r="P488" s="457">
        <v>0</v>
      </c>
      <c r="Q488" s="457">
        <v>500000</v>
      </c>
      <c r="R488" s="614">
        <v>0</v>
      </c>
      <c r="S488" s="457">
        <v>0</v>
      </c>
      <c r="T488" s="733">
        <f t="shared" si="146"/>
        <v>500000</v>
      </c>
      <c r="U488" s="844">
        <f t="shared" si="155"/>
        <v>670000</v>
      </c>
      <c r="V488" s="608">
        <v>670000</v>
      </c>
      <c r="W488" s="844">
        <v>670000</v>
      </c>
    </row>
    <row r="489" spans="2:23" ht="12.75">
      <c r="B489" s="350"/>
      <c r="C489" s="357"/>
      <c r="D489" s="56"/>
      <c r="E489" s="180"/>
      <c r="F489" s="432">
        <v>323</v>
      </c>
      <c r="G489" s="444">
        <v>426</v>
      </c>
      <c r="H489" s="380" t="s">
        <v>38</v>
      </c>
      <c r="I489" s="476"/>
      <c r="J489" s="453"/>
      <c r="K489" s="935">
        <v>108000</v>
      </c>
      <c r="L489" s="454">
        <v>19098</v>
      </c>
      <c r="M489" s="1071">
        <v>125000</v>
      </c>
      <c r="N489" s="417">
        <v>0</v>
      </c>
      <c r="O489" s="457">
        <v>0</v>
      </c>
      <c r="P489" s="457">
        <v>0</v>
      </c>
      <c r="Q489" s="457">
        <v>70000</v>
      </c>
      <c r="R489" s="614">
        <v>0</v>
      </c>
      <c r="S489" s="457">
        <v>0</v>
      </c>
      <c r="T489" s="733">
        <f t="shared" si="146"/>
        <v>70000</v>
      </c>
      <c r="U489" s="844">
        <f t="shared" si="155"/>
        <v>195000</v>
      </c>
      <c r="V489" s="608">
        <v>195000</v>
      </c>
      <c r="W489" s="844">
        <v>195000</v>
      </c>
    </row>
    <row r="490" spans="2:23" ht="12.75">
      <c r="B490" s="350"/>
      <c r="C490" s="357"/>
      <c r="D490" s="56"/>
      <c r="E490" s="180"/>
      <c r="F490" s="432">
        <v>324</v>
      </c>
      <c r="G490" s="444">
        <v>426</v>
      </c>
      <c r="H490" s="380" t="s">
        <v>1531</v>
      </c>
      <c r="I490" s="476"/>
      <c r="J490" s="453"/>
      <c r="K490" s="935">
        <v>10</v>
      </c>
      <c r="L490" s="454">
        <v>0</v>
      </c>
      <c r="M490" s="1071">
        <v>10</v>
      </c>
      <c r="N490" s="1071">
        <v>0</v>
      </c>
      <c r="O490" s="1071">
        <v>0</v>
      </c>
      <c r="P490" s="1071">
        <v>0</v>
      </c>
      <c r="Q490" s="1071">
        <v>0</v>
      </c>
      <c r="R490" s="1071">
        <v>0</v>
      </c>
      <c r="S490" s="1071">
        <v>0</v>
      </c>
      <c r="T490" s="733"/>
      <c r="U490" s="844">
        <f t="shared" si="155"/>
        <v>10</v>
      </c>
      <c r="V490" s="608">
        <v>10</v>
      </c>
      <c r="W490" s="844">
        <v>10</v>
      </c>
    </row>
    <row r="491" spans="2:23" ht="12.75">
      <c r="B491" s="350"/>
      <c r="C491" s="357"/>
      <c r="D491" s="56"/>
      <c r="E491" s="180"/>
      <c r="F491" s="432">
        <v>325</v>
      </c>
      <c r="G491" s="444">
        <v>481</v>
      </c>
      <c r="H491" s="380" t="s">
        <v>1362</v>
      </c>
      <c r="I491" s="476"/>
      <c r="J491" s="453"/>
      <c r="K491" s="935">
        <v>15000</v>
      </c>
      <c r="L491" s="454">
        <v>0</v>
      </c>
      <c r="M491" s="1071">
        <v>35000</v>
      </c>
      <c r="N491" s="417">
        <v>0</v>
      </c>
      <c r="O491" s="457">
        <v>0</v>
      </c>
      <c r="P491" s="457">
        <v>0</v>
      </c>
      <c r="Q491" s="457">
        <v>0</v>
      </c>
      <c r="R491" s="614">
        <v>0</v>
      </c>
      <c r="S491" s="457">
        <v>0</v>
      </c>
      <c r="T491" s="733">
        <f t="shared" si="146"/>
        <v>0</v>
      </c>
      <c r="U491" s="844">
        <f t="shared" si="155"/>
        <v>35000</v>
      </c>
      <c r="V491" s="608">
        <v>35000</v>
      </c>
      <c r="W491" s="844">
        <v>35000</v>
      </c>
    </row>
    <row r="492" spans="2:23" ht="12.75">
      <c r="B492" s="350"/>
      <c r="C492" s="357"/>
      <c r="D492" s="56"/>
      <c r="E492" s="180"/>
      <c r="F492" s="432">
        <v>326</v>
      </c>
      <c r="G492" s="444">
        <v>482</v>
      </c>
      <c r="H492" s="1492" t="s">
        <v>82</v>
      </c>
      <c r="I492" s="1493"/>
      <c r="J492" s="1494"/>
      <c r="K492" s="914">
        <v>105000</v>
      </c>
      <c r="L492" s="917">
        <v>198.69</v>
      </c>
      <c r="M492" s="955">
        <v>102000</v>
      </c>
      <c r="N492" s="417">
        <v>0</v>
      </c>
      <c r="O492" s="457">
        <v>0</v>
      </c>
      <c r="P492" s="457">
        <v>0</v>
      </c>
      <c r="Q492" s="457">
        <v>0</v>
      </c>
      <c r="R492" s="614">
        <v>0</v>
      </c>
      <c r="S492" s="457">
        <v>0</v>
      </c>
      <c r="T492" s="733">
        <f t="shared" si="146"/>
        <v>0</v>
      </c>
      <c r="U492" s="844">
        <f t="shared" si="155"/>
        <v>102000</v>
      </c>
      <c r="V492" s="608">
        <v>102000</v>
      </c>
      <c r="W492" s="844">
        <v>102000</v>
      </c>
    </row>
    <row r="493" spans="2:23" ht="12.75">
      <c r="B493" s="458"/>
      <c r="C493" s="465" t="s">
        <v>1306</v>
      </c>
      <c r="D493" s="466"/>
      <c r="E493" s="467"/>
      <c r="F493" s="466"/>
      <c r="G493" s="468"/>
      <c r="H493" s="1514" t="s">
        <v>127</v>
      </c>
      <c r="I493" s="1515"/>
      <c r="J493" s="1515"/>
      <c r="K493" s="952">
        <f>K496</f>
        <v>1625020</v>
      </c>
      <c r="L493" s="952">
        <f>L496</f>
        <v>619053.6399999999</v>
      </c>
      <c r="M493" s="1082">
        <f>M496</f>
        <v>1625020</v>
      </c>
      <c r="N493" s="1081">
        <f aca="true" t="shared" si="156" ref="N493:S493">N496</f>
        <v>0</v>
      </c>
      <c r="O493" s="593">
        <f>O496</f>
        <v>0</v>
      </c>
      <c r="P493" s="593">
        <f t="shared" si="156"/>
        <v>742183</v>
      </c>
      <c r="Q493" s="593">
        <f t="shared" si="156"/>
        <v>200000</v>
      </c>
      <c r="R493" s="593">
        <f>R496</f>
        <v>0</v>
      </c>
      <c r="S493" s="708">
        <f t="shared" si="156"/>
        <v>0</v>
      </c>
      <c r="T493" s="709">
        <f t="shared" si="146"/>
        <v>942183</v>
      </c>
      <c r="U493" s="1176">
        <f t="shared" si="155"/>
        <v>2567203</v>
      </c>
      <c r="V493" s="847">
        <v>2567203</v>
      </c>
      <c r="W493" s="1176">
        <v>2567203</v>
      </c>
    </row>
    <row r="494" spans="2:23" s="687" customFormat="1" ht="12.75">
      <c r="B494" s="634"/>
      <c r="C494" s="635"/>
      <c r="D494" s="611"/>
      <c r="E494" s="610" t="s">
        <v>284</v>
      </c>
      <c r="F494" s="611"/>
      <c r="G494" s="612"/>
      <c r="H494" s="1529" t="s">
        <v>285</v>
      </c>
      <c r="I494" s="1530"/>
      <c r="J494" s="1531"/>
      <c r="K494" s="933">
        <f aca="true" t="shared" si="157" ref="K494:S495">K495</f>
        <v>1625020</v>
      </c>
      <c r="L494" s="1074">
        <f t="shared" si="157"/>
        <v>619053.6399999999</v>
      </c>
      <c r="M494" s="1072">
        <f t="shared" si="157"/>
        <v>1625020</v>
      </c>
      <c r="N494" s="636">
        <f t="shared" si="157"/>
        <v>0</v>
      </c>
      <c r="O494" s="636">
        <f t="shared" si="157"/>
        <v>0</v>
      </c>
      <c r="P494" s="636">
        <f t="shared" si="157"/>
        <v>742183</v>
      </c>
      <c r="Q494" s="636">
        <f t="shared" si="157"/>
        <v>200000</v>
      </c>
      <c r="R494" s="636">
        <f t="shared" si="157"/>
        <v>0</v>
      </c>
      <c r="S494" s="637">
        <f t="shared" si="157"/>
        <v>0</v>
      </c>
      <c r="T494" s="637">
        <f t="shared" si="146"/>
        <v>942183</v>
      </c>
      <c r="U494" s="845">
        <f t="shared" si="155"/>
        <v>2567203</v>
      </c>
      <c r="V494" s="848">
        <v>2567203</v>
      </c>
      <c r="W494" s="848">
        <v>2567203</v>
      </c>
    </row>
    <row r="495" spans="2:23" ht="12.75" customHeight="1">
      <c r="B495" s="284"/>
      <c r="C495" s="285"/>
      <c r="D495" s="428"/>
      <c r="E495" s="346" t="s">
        <v>302</v>
      </c>
      <c r="F495" s="428"/>
      <c r="G495" s="429"/>
      <c r="H495" s="1537" t="s">
        <v>1337</v>
      </c>
      <c r="I495" s="1538"/>
      <c r="J495" s="1539"/>
      <c r="K495" s="937">
        <f t="shared" si="157"/>
        <v>1625020</v>
      </c>
      <c r="L495" s="1080">
        <f t="shared" si="157"/>
        <v>619053.6399999999</v>
      </c>
      <c r="M495" s="1083">
        <f t="shared" si="157"/>
        <v>1625020</v>
      </c>
      <c r="N495" s="289">
        <f t="shared" si="157"/>
        <v>0</v>
      </c>
      <c r="O495" s="289">
        <f t="shared" si="157"/>
        <v>0</v>
      </c>
      <c r="P495" s="289">
        <f t="shared" si="157"/>
        <v>742183</v>
      </c>
      <c r="Q495" s="289">
        <f t="shared" si="157"/>
        <v>200000</v>
      </c>
      <c r="R495" s="289">
        <f t="shared" si="157"/>
        <v>0</v>
      </c>
      <c r="S495" s="342">
        <f t="shared" si="157"/>
        <v>0</v>
      </c>
      <c r="T495" s="342">
        <f t="shared" si="146"/>
        <v>942183</v>
      </c>
      <c r="U495" s="845">
        <f t="shared" si="155"/>
        <v>2567203</v>
      </c>
      <c r="V495" s="652">
        <v>2567203</v>
      </c>
      <c r="W495" s="652">
        <v>2567203</v>
      </c>
    </row>
    <row r="496" spans="2:23" ht="12.75">
      <c r="B496" s="430"/>
      <c r="C496" s="431"/>
      <c r="D496" s="180" t="s">
        <v>278</v>
      </c>
      <c r="E496" s="58"/>
      <c r="F496" s="432"/>
      <c r="G496" s="433"/>
      <c r="H496" s="1526" t="s">
        <v>119</v>
      </c>
      <c r="I496" s="1527"/>
      <c r="J496" s="445"/>
      <c r="K496" s="927">
        <f>SUM(K497:K506)</f>
        <v>1625020</v>
      </c>
      <c r="L496" s="953">
        <f>SUM(L497:L506)</f>
        <v>619053.6399999999</v>
      </c>
      <c r="M496" s="726">
        <f>SUM(M497:M506)</f>
        <v>1625020</v>
      </c>
      <c r="N496" s="68">
        <f aca="true" t="shared" si="158" ref="N496:S496">SUM(N497:N506)</f>
        <v>0</v>
      </c>
      <c r="O496" s="55">
        <f t="shared" si="158"/>
        <v>0</v>
      </c>
      <c r="P496" s="55">
        <f t="shared" si="158"/>
        <v>742183</v>
      </c>
      <c r="Q496" s="55">
        <f t="shared" si="158"/>
        <v>200000</v>
      </c>
      <c r="R496" s="55">
        <f t="shared" si="158"/>
        <v>0</v>
      </c>
      <c r="S496" s="178">
        <f t="shared" si="158"/>
        <v>0</v>
      </c>
      <c r="T496" s="338">
        <f t="shared" si="146"/>
        <v>942183</v>
      </c>
      <c r="U496" s="844">
        <f t="shared" si="155"/>
        <v>2567203</v>
      </c>
      <c r="V496" s="837">
        <v>2567203</v>
      </c>
      <c r="W496" s="1175">
        <v>2567203</v>
      </c>
    </row>
    <row r="497" spans="2:23" ht="12.75">
      <c r="B497" s="472"/>
      <c r="C497" s="473"/>
      <c r="D497" s="474"/>
      <c r="E497" s="473"/>
      <c r="F497" s="397">
        <v>327</v>
      </c>
      <c r="G497" s="475">
        <v>411</v>
      </c>
      <c r="H497" s="1508" t="s">
        <v>27</v>
      </c>
      <c r="I497" s="1509"/>
      <c r="J497" s="1510"/>
      <c r="K497" s="746">
        <v>529700</v>
      </c>
      <c r="L497" s="746">
        <v>259031.89999999997</v>
      </c>
      <c r="M497" s="372">
        <v>529700</v>
      </c>
      <c r="N497" s="411">
        <v>0</v>
      </c>
      <c r="O497" s="411">
        <v>0</v>
      </c>
      <c r="P497" s="411">
        <v>0</v>
      </c>
      <c r="Q497" s="414">
        <v>0</v>
      </c>
      <c r="R497" s="408">
        <v>0</v>
      </c>
      <c r="S497" s="414">
        <v>0</v>
      </c>
      <c r="T497" s="417">
        <f t="shared" si="146"/>
        <v>0</v>
      </c>
      <c r="U497" s="844">
        <f t="shared" si="155"/>
        <v>529700</v>
      </c>
      <c r="V497" s="608">
        <v>529700</v>
      </c>
      <c r="W497" s="844">
        <v>529700</v>
      </c>
    </row>
    <row r="498" spans="2:23" ht="12.75">
      <c r="B498" s="350"/>
      <c r="C498" s="483"/>
      <c r="D498" s="352"/>
      <c r="E498" s="362"/>
      <c r="F498" s="397">
        <v>328</v>
      </c>
      <c r="G498" s="444">
        <v>412</v>
      </c>
      <c r="H498" s="1508" t="s">
        <v>79</v>
      </c>
      <c r="I498" s="1509"/>
      <c r="J498" s="1510"/>
      <c r="K498" s="936">
        <v>88464</v>
      </c>
      <c r="L498" s="936">
        <v>43128.82000000001</v>
      </c>
      <c r="M498" s="936">
        <v>88464</v>
      </c>
      <c r="N498" s="411">
        <v>0</v>
      </c>
      <c r="O498" s="411">
        <v>0</v>
      </c>
      <c r="P498" s="411">
        <v>0</v>
      </c>
      <c r="Q498" s="414">
        <v>0</v>
      </c>
      <c r="R498" s="408">
        <v>0</v>
      </c>
      <c r="S498" s="414">
        <v>0</v>
      </c>
      <c r="T498" s="417">
        <f t="shared" si="146"/>
        <v>0</v>
      </c>
      <c r="U498" s="844">
        <f t="shared" si="155"/>
        <v>88464</v>
      </c>
      <c r="V498" s="608">
        <v>88464</v>
      </c>
      <c r="W498" s="844">
        <v>88464</v>
      </c>
    </row>
    <row r="499" spans="2:23" ht="12.75">
      <c r="B499" s="484"/>
      <c r="C499" s="485"/>
      <c r="D499" s="61"/>
      <c r="E499" s="283"/>
      <c r="F499" s="397">
        <v>329</v>
      </c>
      <c r="G499" s="444">
        <v>421</v>
      </c>
      <c r="H499" s="402" t="s">
        <v>128</v>
      </c>
      <c r="I499" s="439"/>
      <c r="J499" s="1077"/>
      <c r="K499" s="726">
        <v>171500</v>
      </c>
      <c r="L499" s="726">
        <v>90455.45</v>
      </c>
      <c r="M499" s="726">
        <v>191500</v>
      </c>
      <c r="N499" s="404">
        <v>0</v>
      </c>
      <c r="O499" s="411">
        <v>0</v>
      </c>
      <c r="P499" s="411">
        <v>0</v>
      </c>
      <c r="Q499" s="414">
        <v>0</v>
      </c>
      <c r="R499" s="408">
        <v>0</v>
      </c>
      <c r="S499" s="414">
        <v>0</v>
      </c>
      <c r="T499" s="417">
        <f t="shared" si="146"/>
        <v>0</v>
      </c>
      <c r="U499" s="844">
        <f t="shared" si="155"/>
        <v>191500</v>
      </c>
      <c r="V499" s="608">
        <v>191500</v>
      </c>
      <c r="W499" s="844">
        <v>191500</v>
      </c>
    </row>
    <row r="500" spans="2:23" ht="12.75">
      <c r="B500" s="486"/>
      <c r="C500" s="487"/>
      <c r="D500" s="62"/>
      <c r="E500" s="283"/>
      <c r="F500" s="397">
        <v>330</v>
      </c>
      <c r="G500" s="444">
        <v>423</v>
      </c>
      <c r="H500" s="402" t="s">
        <v>35</v>
      </c>
      <c r="I500" s="439"/>
      <c r="J500" s="1077"/>
      <c r="K500" s="726">
        <v>141000</v>
      </c>
      <c r="L500" s="726">
        <v>75660</v>
      </c>
      <c r="M500" s="726">
        <v>164000</v>
      </c>
      <c r="N500" s="404">
        <v>0</v>
      </c>
      <c r="O500" s="411">
        <v>0</v>
      </c>
      <c r="P500" s="411">
        <v>732183</v>
      </c>
      <c r="Q500" s="414">
        <v>0</v>
      </c>
      <c r="R500" s="408">
        <v>0</v>
      </c>
      <c r="S500" s="414">
        <v>0</v>
      </c>
      <c r="T500" s="417">
        <f t="shared" si="146"/>
        <v>732183</v>
      </c>
      <c r="U500" s="844">
        <f t="shared" si="155"/>
        <v>896183</v>
      </c>
      <c r="V500" s="608">
        <v>896183</v>
      </c>
      <c r="W500" s="844">
        <v>896183</v>
      </c>
    </row>
    <row r="501" spans="2:23" ht="12.75">
      <c r="B501" s="486"/>
      <c r="C501" s="487"/>
      <c r="D501" s="62"/>
      <c r="E501" s="283"/>
      <c r="F501" s="397">
        <v>331</v>
      </c>
      <c r="G501" s="444">
        <v>423</v>
      </c>
      <c r="H501" s="402" t="s">
        <v>1532</v>
      </c>
      <c r="I501" s="439"/>
      <c r="J501" s="1077"/>
      <c r="K501" s="726">
        <v>10</v>
      </c>
      <c r="L501" s="726">
        <v>0</v>
      </c>
      <c r="M501" s="726">
        <v>10</v>
      </c>
      <c r="N501" s="726">
        <v>0</v>
      </c>
      <c r="O501" s="726">
        <v>0</v>
      </c>
      <c r="P501" s="726">
        <v>0</v>
      </c>
      <c r="Q501" s="726">
        <v>0</v>
      </c>
      <c r="R501" s="726">
        <v>0</v>
      </c>
      <c r="S501" s="726">
        <v>0</v>
      </c>
      <c r="T501" s="726">
        <v>0</v>
      </c>
      <c r="U501" s="844">
        <f t="shared" si="155"/>
        <v>10</v>
      </c>
      <c r="V501" s="608">
        <v>10</v>
      </c>
      <c r="W501" s="844">
        <v>10</v>
      </c>
    </row>
    <row r="502" spans="2:23" ht="12.75">
      <c r="B502" s="486"/>
      <c r="C502" s="487"/>
      <c r="D502" s="62"/>
      <c r="E502" s="283"/>
      <c r="F502" s="397">
        <v>332</v>
      </c>
      <c r="G502" s="444">
        <v>424</v>
      </c>
      <c r="H502" s="1508" t="s">
        <v>36</v>
      </c>
      <c r="I502" s="1509"/>
      <c r="J502" s="1509"/>
      <c r="K502" s="540">
        <v>27000</v>
      </c>
      <c r="L502" s="540">
        <v>0</v>
      </c>
      <c r="M502" s="540">
        <v>27000</v>
      </c>
      <c r="N502" s="404">
        <v>0</v>
      </c>
      <c r="O502" s="411">
        <v>0</v>
      </c>
      <c r="P502" s="411">
        <v>0</v>
      </c>
      <c r="Q502" s="411">
        <v>0</v>
      </c>
      <c r="R502" s="411">
        <v>0</v>
      </c>
      <c r="S502" s="414">
        <v>0</v>
      </c>
      <c r="T502" s="417">
        <f t="shared" si="146"/>
        <v>0</v>
      </c>
      <c r="U502" s="844">
        <f t="shared" si="155"/>
        <v>27000</v>
      </c>
      <c r="V502" s="608">
        <v>27000</v>
      </c>
      <c r="W502" s="844">
        <v>27000</v>
      </c>
    </row>
    <row r="503" spans="2:23" ht="12.75">
      <c r="B503" s="486"/>
      <c r="C503" s="487"/>
      <c r="D503" s="62"/>
      <c r="E503" s="283"/>
      <c r="F503" s="397">
        <v>333</v>
      </c>
      <c r="G503" s="533">
        <v>425</v>
      </c>
      <c r="H503" s="1535" t="s">
        <v>91</v>
      </c>
      <c r="I503" s="1536"/>
      <c r="J503" s="1536"/>
      <c r="K503" s="540">
        <v>50000</v>
      </c>
      <c r="L503" s="540">
        <v>0</v>
      </c>
      <c r="M503" s="540">
        <v>20000</v>
      </c>
      <c r="N503" s="404">
        <v>0</v>
      </c>
      <c r="O503" s="411">
        <v>0</v>
      </c>
      <c r="P503" s="411">
        <v>0</v>
      </c>
      <c r="Q503" s="411">
        <v>75000</v>
      </c>
      <c r="R503" s="411">
        <v>0</v>
      </c>
      <c r="S503" s="414">
        <v>0</v>
      </c>
      <c r="T503" s="417">
        <f t="shared" si="146"/>
        <v>75000</v>
      </c>
      <c r="U503" s="844">
        <f t="shared" si="155"/>
        <v>95000</v>
      </c>
      <c r="V503" s="608">
        <v>95000</v>
      </c>
      <c r="W503" s="844">
        <v>95000</v>
      </c>
    </row>
    <row r="504" spans="2:23" ht="12.75">
      <c r="B504" s="486"/>
      <c r="C504" s="487"/>
      <c r="D504" s="62"/>
      <c r="E504" s="283"/>
      <c r="F504" s="397">
        <v>334</v>
      </c>
      <c r="G504" s="1470">
        <v>426</v>
      </c>
      <c r="H504" s="1471" t="s">
        <v>38</v>
      </c>
      <c r="I504" s="1472"/>
      <c r="J504" s="1473"/>
      <c r="K504" s="726">
        <v>550336</v>
      </c>
      <c r="L504" s="726">
        <v>118407.01</v>
      </c>
      <c r="M504" s="726">
        <v>537336</v>
      </c>
      <c r="N504" s="404">
        <v>0</v>
      </c>
      <c r="O504" s="411">
        <v>0</v>
      </c>
      <c r="P504" s="411">
        <v>10000</v>
      </c>
      <c r="Q504" s="411">
        <v>125000</v>
      </c>
      <c r="R504" s="411">
        <v>0</v>
      </c>
      <c r="S504" s="414">
        <v>0</v>
      </c>
      <c r="T504" s="417">
        <f t="shared" si="146"/>
        <v>135000</v>
      </c>
      <c r="U504" s="844">
        <f t="shared" si="155"/>
        <v>672336</v>
      </c>
      <c r="V504" s="608">
        <v>672336</v>
      </c>
      <c r="W504" s="844">
        <v>672336</v>
      </c>
    </row>
    <row r="505" spans="2:23" ht="12.75">
      <c r="B505" s="1183"/>
      <c r="C505" s="487"/>
      <c r="D505" s="62"/>
      <c r="E505" s="283"/>
      <c r="F505" s="475">
        <v>335</v>
      </c>
      <c r="G505" s="482">
        <v>426</v>
      </c>
      <c r="H505" s="694" t="s">
        <v>1531</v>
      </c>
      <c r="I505" s="735"/>
      <c r="J505" s="735"/>
      <c r="K505" s="959">
        <v>10</v>
      </c>
      <c r="L505" s="959">
        <v>0</v>
      </c>
      <c r="M505" s="959">
        <v>10</v>
      </c>
      <c r="N505" s="959">
        <v>0</v>
      </c>
      <c r="O505" s="959">
        <v>0</v>
      </c>
      <c r="P505" s="959">
        <v>0</v>
      </c>
      <c r="Q505" s="959">
        <v>0</v>
      </c>
      <c r="R505" s="959">
        <v>0</v>
      </c>
      <c r="S505" s="959">
        <v>0</v>
      </c>
      <c r="T505" s="417"/>
      <c r="U505" s="844">
        <f t="shared" si="155"/>
        <v>10</v>
      </c>
      <c r="V505" s="608">
        <v>10</v>
      </c>
      <c r="W505" s="844">
        <v>10</v>
      </c>
    </row>
    <row r="506" spans="2:23" ht="12" customHeight="1" thickBot="1">
      <c r="B506" s="485"/>
      <c r="C506" s="485"/>
      <c r="D506" s="61"/>
      <c r="E506" s="538"/>
      <c r="F506" s="397">
        <v>336</v>
      </c>
      <c r="G506" s="482">
        <v>482</v>
      </c>
      <c r="H506" s="694" t="s">
        <v>82</v>
      </c>
      <c r="I506" s="735"/>
      <c r="J506" s="735"/>
      <c r="K506" s="959">
        <v>67000</v>
      </c>
      <c r="L506" s="959">
        <v>32370.460000000003</v>
      </c>
      <c r="M506" s="959">
        <v>67000</v>
      </c>
      <c r="N506" s="404">
        <v>0</v>
      </c>
      <c r="O506" s="411">
        <v>0</v>
      </c>
      <c r="P506" s="411">
        <v>0</v>
      </c>
      <c r="Q506" s="414">
        <v>0</v>
      </c>
      <c r="R506" s="408">
        <v>0</v>
      </c>
      <c r="S506" s="414">
        <v>0</v>
      </c>
      <c r="T506" s="417">
        <f t="shared" si="146"/>
        <v>0</v>
      </c>
      <c r="U506" s="1437">
        <f t="shared" si="155"/>
        <v>67000</v>
      </c>
      <c r="V506" s="608">
        <v>67000</v>
      </c>
      <c r="W506" s="844">
        <v>67000</v>
      </c>
    </row>
    <row r="507" spans="2:23" ht="13.5" thickBot="1">
      <c r="B507" s="1532" t="s">
        <v>129</v>
      </c>
      <c r="C507" s="1533"/>
      <c r="D507" s="1533"/>
      <c r="E507" s="1533"/>
      <c r="F507" s="1533"/>
      <c r="G507" s="1533"/>
      <c r="H507" s="1533"/>
      <c r="I507" s="1533"/>
      <c r="J507" s="1534"/>
      <c r="K507" s="7">
        <f aca="true" t="shared" si="159" ref="K507:S507">K72+K40+K7+K56+K31</f>
        <v>432305340</v>
      </c>
      <c r="L507" s="7">
        <f t="shared" si="159"/>
        <v>183132623.93</v>
      </c>
      <c r="M507" s="7">
        <f t="shared" si="159"/>
        <v>453286579</v>
      </c>
      <c r="N507" s="291">
        <f t="shared" si="159"/>
        <v>180000</v>
      </c>
      <c r="O507" s="291">
        <f t="shared" si="159"/>
        <v>400000</v>
      </c>
      <c r="P507" s="291">
        <f t="shared" si="159"/>
        <v>92252279.21000001</v>
      </c>
      <c r="Q507" s="291">
        <f t="shared" si="159"/>
        <v>81581123</v>
      </c>
      <c r="R507" s="291">
        <f t="shared" si="159"/>
        <v>0</v>
      </c>
      <c r="S507" s="291">
        <f t="shared" si="159"/>
        <v>427000</v>
      </c>
      <c r="T507" s="344">
        <f t="shared" si="146"/>
        <v>174840402.21</v>
      </c>
      <c r="U507" s="1180">
        <f t="shared" si="155"/>
        <v>628126981.21</v>
      </c>
      <c r="V507" s="1179">
        <v>628126981.21</v>
      </c>
      <c r="W507" s="72">
        <v>628126981.21</v>
      </c>
    </row>
    <row r="508" spans="2:23" ht="12.75">
      <c r="B508" s="570"/>
      <c r="C508" s="570"/>
      <c r="D508" s="571"/>
      <c r="E508" s="570"/>
      <c r="F508" s="572"/>
      <c r="G508" s="571"/>
      <c r="H508" s="488"/>
      <c r="I508" s="488"/>
      <c r="J508" s="488"/>
      <c r="K508" s="923"/>
      <c r="L508" s="923"/>
      <c r="N508" s="356"/>
      <c r="O508" s="356"/>
      <c r="P508" s="356"/>
      <c r="Q508" s="412"/>
      <c r="R508" s="412"/>
      <c r="S508" s="489"/>
      <c r="T508" s="489"/>
      <c r="U508" s="490"/>
      <c r="V508" s="490"/>
      <c r="W508" s="490"/>
    </row>
    <row r="509" spans="2:23" ht="81.75" customHeight="1">
      <c r="B509" s="1654"/>
      <c r="C509" s="1650"/>
      <c r="D509" s="1650"/>
      <c r="E509" s="1650"/>
      <c r="F509" s="1650"/>
      <c r="G509" s="1650"/>
      <c r="H509" s="1650"/>
      <c r="I509" s="1650"/>
      <c r="J509" s="1650"/>
      <c r="N509" s="356"/>
      <c r="O509" s="356"/>
      <c r="P509" s="356"/>
      <c r="Q509" s="356"/>
      <c r="R509" s="356"/>
      <c r="S509" s="272"/>
      <c r="T509" s="272"/>
      <c r="U509" s="490"/>
      <c r="V509" s="490"/>
      <c r="W509" s="490"/>
    </row>
    <row r="510" spans="2:23" ht="12.75">
      <c r="B510" s="1654"/>
      <c r="C510" s="1650"/>
      <c r="D510" s="1650"/>
      <c r="E510" s="1650"/>
      <c r="F510" s="1650"/>
      <c r="G510" s="1650"/>
      <c r="H510" s="1650"/>
      <c r="I510" s="1650"/>
      <c r="J510" s="1650"/>
      <c r="N510" s="403"/>
      <c r="O510" s="356"/>
      <c r="P510" s="356"/>
      <c r="Q510" s="356"/>
      <c r="R510" s="356"/>
      <c r="S510" s="272"/>
      <c r="T510" s="272"/>
      <c r="U510" s="490"/>
      <c r="V510" s="490"/>
      <c r="W510" s="490"/>
    </row>
    <row r="511" spans="2:23" ht="12.75" hidden="1">
      <c r="B511" s="1654"/>
      <c r="C511" s="1650"/>
      <c r="D511" s="1650"/>
      <c r="E511" s="1650"/>
      <c r="F511" s="1650"/>
      <c r="G511" s="1650"/>
      <c r="H511" s="1650"/>
      <c r="I511" s="1650"/>
      <c r="J511" s="1650"/>
      <c r="N511" s="356"/>
      <c r="O511" s="356"/>
      <c r="P511" s="356"/>
      <c r="Q511" s="356"/>
      <c r="R511" s="356"/>
      <c r="S511" s="272"/>
      <c r="T511" s="272"/>
      <c r="U511" s="490"/>
      <c r="V511" s="490"/>
      <c r="W511" s="490"/>
    </row>
    <row r="512" spans="2:23" ht="12.75" hidden="1">
      <c r="B512" s="1650"/>
      <c r="C512" s="1650"/>
      <c r="D512" s="1650"/>
      <c r="E512" s="1650"/>
      <c r="F512" s="1650"/>
      <c r="G512" s="1650"/>
      <c r="H512" s="1650"/>
      <c r="I512" s="1650"/>
      <c r="J512" s="1650"/>
      <c r="M512" s="554"/>
      <c r="N512" s="555">
        <v>411</v>
      </c>
      <c r="O512" s="356"/>
      <c r="P512" s="356"/>
      <c r="Q512" s="356"/>
      <c r="R512" s="356"/>
      <c r="S512" s="491"/>
      <c r="T512" s="491"/>
      <c r="U512" s="490"/>
      <c r="V512" s="490"/>
      <c r="W512" s="490"/>
    </row>
    <row r="513" spans="2:23" ht="12.75" hidden="1">
      <c r="B513" s="1650"/>
      <c r="C513" s="1650"/>
      <c r="D513" s="1650"/>
      <c r="E513" s="1650"/>
      <c r="F513" s="1650"/>
      <c r="G513" s="1650"/>
      <c r="H513" s="1650"/>
      <c r="I513" s="1650"/>
      <c r="J513" s="1650"/>
      <c r="M513" s="413"/>
      <c r="N513" s="555">
        <v>412</v>
      </c>
      <c r="O513" s="356"/>
      <c r="P513" s="356"/>
      <c r="Q513" s="356"/>
      <c r="R513" s="356"/>
      <c r="S513" s="356"/>
      <c r="T513" s="356"/>
      <c r="U513" s="490"/>
      <c r="V513" s="490"/>
      <c r="W513" s="490"/>
    </row>
    <row r="514" spans="13:23" ht="12.75" hidden="1">
      <c r="M514" s="557"/>
      <c r="N514" s="556" t="s">
        <v>1187</v>
      </c>
      <c r="O514" s="356"/>
      <c r="P514" s="356"/>
      <c r="Q514" s="356"/>
      <c r="R514" s="356"/>
      <c r="S514" s="356"/>
      <c r="T514" s="356"/>
      <c r="U514" s="490"/>
      <c r="V514" s="490"/>
      <c r="W514" s="490"/>
    </row>
    <row r="515" spans="13:23" ht="12.75" hidden="1">
      <c r="M515" s="403"/>
      <c r="N515" s="356"/>
      <c r="O515" s="356"/>
      <c r="P515" s="356"/>
      <c r="Q515" s="356"/>
      <c r="R515" s="356"/>
      <c r="S515" s="272"/>
      <c r="T515" s="272"/>
      <c r="U515" s="492"/>
      <c r="V515" s="492"/>
      <c r="W515" s="492"/>
    </row>
    <row r="516" spans="13:23" ht="12.75">
      <c r="M516" s="63"/>
      <c r="N516" s="356"/>
      <c r="O516" s="356"/>
      <c r="P516" s="356"/>
      <c r="Q516" s="356"/>
      <c r="R516" s="356"/>
      <c r="S516" s="356"/>
      <c r="T516" s="356"/>
      <c r="U516" s="490"/>
      <c r="V516" s="490"/>
      <c r="W516" s="490"/>
    </row>
    <row r="517" ht="12.75">
      <c r="M517" s="403"/>
    </row>
    <row r="518" ht="12.75">
      <c r="M518" s="403"/>
    </row>
    <row r="519" ht="12.75">
      <c r="M519" s="403"/>
    </row>
    <row r="520" spans="2:23" ht="12.75">
      <c r="B520" s="349"/>
      <c r="C520" s="349"/>
      <c r="D520" s="349"/>
      <c r="E520" s="349"/>
      <c r="F520" s="349"/>
      <c r="G520" s="349"/>
      <c r="M520" s="403"/>
      <c r="U520" s="349"/>
      <c r="V520" s="349"/>
      <c r="W520" s="349"/>
    </row>
    <row r="521" spans="2:23" ht="12.75">
      <c r="B521" s="349"/>
      <c r="C521" s="349"/>
      <c r="D521" s="349"/>
      <c r="E521" s="349"/>
      <c r="F521" s="349"/>
      <c r="G521" s="349"/>
      <c r="M521" s="403"/>
      <c r="U521" s="349"/>
      <c r="V521" s="349"/>
      <c r="W521" s="349"/>
    </row>
    <row r="522" spans="2:23" ht="12.75">
      <c r="B522" s="349"/>
      <c r="C522" s="349"/>
      <c r="D522" s="349"/>
      <c r="E522" s="349"/>
      <c r="F522" s="349"/>
      <c r="G522" s="349"/>
      <c r="M522" s="403"/>
      <c r="U522" s="349"/>
      <c r="V522" s="349"/>
      <c r="W522" s="349"/>
    </row>
    <row r="523" spans="2:23" ht="12.75">
      <c r="B523" s="349"/>
      <c r="C523" s="349"/>
      <c r="D523" s="349"/>
      <c r="E523" s="349"/>
      <c r="F523" s="349"/>
      <c r="G523" s="349"/>
      <c r="M523" s="403"/>
      <c r="U523" s="349"/>
      <c r="V523" s="349"/>
      <c r="W523" s="349"/>
    </row>
    <row r="550" spans="2:23" ht="12.75">
      <c r="B550" s="349"/>
      <c r="C550" s="349"/>
      <c r="D550" s="349"/>
      <c r="E550" s="349"/>
      <c r="F550" s="349"/>
      <c r="G550" s="349"/>
      <c r="M550" s="403"/>
      <c r="U550" s="349"/>
      <c r="V550" s="349"/>
      <c r="W550" s="349"/>
    </row>
    <row r="551" spans="2:23" ht="12.75">
      <c r="B551" s="349"/>
      <c r="C551" s="349"/>
      <c r="D551" s="349"/>
      <c r="E551" s="349"/>
      <c r="F551" s="349"/>
      <c r="G551" s="349"/>
      <c r="M551" s="403"/>
      <c r="U551" s="349"/>
      <c r="V551" s="349"/>
      <c r="W551" s="349"/>
    </row>
    <row r="553" spans="2:23" ht="12.75">
      <c r="B553" s="349"/>
      <c r="C553" s="349"/>
      <c r="D553" s="349"/>
      <c r="E553" s="349"/>
      <c r="F553" s="349"/>
      <c r="G553" s="349"/>
      <c r="M553" s="403"/>
      <c r="U553" s="349"/>
      <c r="V553" s="349"/>
      <c r="W553" s="349"/>
    </row>
    <row r="561" spans="2:23" ht="12.75">
      <c r="B561" s="349"/>
      <c r="C561" s="349"/>
      <c r="D561" s="349"/>
      <c r="E561" s="349"/>
      <c r="F561" s="349"/>
      <c r="G561" s="349"/>
      <c r="N561" s="377"/>
      <c r="U561" s="349"/>
      <c r="V561" s="349"/>
      <c r="W561" s="349"/>
    </row>
  </sheetData>
  <sheetProtection/>
  <mergeCells count="422">
    <mergeCell ref="H15:J15"/>
    <mergeCell ref="I2:P2"/>
    <mergeCell ref="H100:J100"/>
    <mergeCell ref="H212:J212"/>
    <mergeCell ref="H215:J215"/>
    <mergeCell ref="H216:J216"/>
    <mergeCell ref="H80:J80"/>
    <mergeCell ref="H200:J200"/>
    <mergeCell ref="H134:J134"/>
    <mergeCell ref="H202:J202"/>
    <mergeCell ref="H401:J401"/>
    <mergeCell ref="H417:J417"/>
    <mergeCell ref="H193:J193"/>
    <mergeCell ref="H456:J456"/>
    <mergeCell ref="H113:J113"/>
    <mergeCell ref="H118:J118"/>
    <mergeCell ref="H117:J117"/>
    <mergeCell ref="H219:J219"/>
    <mergeCell ref="H208:J208"/>
    <mergeCell ref="H206:J206"/>
    <mergeCell ref="H213:J213"/>
    <mergeCell ref="H222:J222"/>
    <mergeCell ref="H196:J196"/>
    <mergeCell ref="H205:J205"/>
    <mergeCell ref="H210:J210"/>
    <mergeCell ref="H207:J207"/>
    <mergeCell ref="H408:I408"/>
    <mergeCell ref="H190:J190"/>
    <mergeCell ref="H220:J220"/>
    <mergeCell ref="H223:J223"/>
    <mergeCell ref="H214:J214"/>
    <mergeCell ref="H217:J217"/>
    <mergeCell ref="H211:J211"/>
    <mergeCell ref="H204:J204"/>
    <mergeCell ref="H197:J197"/>
    <mergeCell ref="H255:J255"/>
    <mergeCell ref="H191:J191"/>
    <mergeCell ref="H187:J187"/>
    <mergeCell ref="H201:J201"/>
    <mergeCell ref="H186:J186"/>
    <mergeCell ref="H161:J161"/>
    <mergeCell ref="H198:J198"/>
    <mergeCell ref="H171:J171"/>
    <mergeCell ref="H192:J192"/>
    <mergeCell ref="H166:J166"/>
    <mergeCell ref="H173:J173"/>
    <mergeCell ref="H143:J143"/>
    <mergeCell ref="H183:J183"/>
    <mergeCell ref="H178:J178"/>
    <mergeCell ref="H163:J163"/>
    <mergeCell ref="H167:J167"/>
    <mergeCell ref="H189:J189"/>
    <mergeCell ref="H148:J148"/>
    <mergeCell ref="H185:I185"/>
    <mergeCell ref="H180:J180"/>
    <mergeCell ref="H175:J175"/>
    <mergeCell ref="H168:J168"/>
    <mergeCell ref="H169:J169"/>
    <mergeCell ref="H194:J194"/>
    <mergeCell ref="H127:J127"/>
    <mergeCell ref="H141:J141"/>
    <mergeCell ref="H152:J152"/>
    <mergeCell ref="H158:J158"/>
    <mergeCell ref="H154:J154"/>
    <mergeCell ref="H184:J184"/>
    <mergeCell ref="H170:J170"/>
    <mergeCell ref="H172:J172"/>
    <mergeCell ref="H160:J160"/>
    <mergeCell ref="H157:J157"/>
    <mergeCell ref="H126:J126"/>
    <mergeCell ref="H145:J145"/>
    <mergeCell ref="H130:J130"/>
    <mergeCell ref="H153:J153"/>
    <mergeCell ref="H136:J136"/>
    <mergeCell ref="H140:J140"/>
    <mergeCell ref="H138:J138"/>
    <mergeCell ref="H139:J139"/>
    <mergeCell ref="H147:J147"/>
    <mergeCell ref="H144:J144"/>
    <mergeCell ref="H112:J112"/>
    <mergeCell ref="H128:J128"/>
    <mergeCell ref="H135:J135"/>
    <mergeCell ref="H133:J133"/>
    <mergeCell ref="H131:J131"/>
    <mergeCell ref="H124:J124"/>
    <mergeCell ref="H132:J132"/>
    <mergeCell ref="H120:J120"/>
    <mergeCell ref="H119:J119"/>
    <mergeCell ref="H116:J116"/>
    <mergeCell ref="H109:J109"/>
    <mergeCell ref="H93:J93"/>
    <mergeCell ref="H110:J110"/>
    <mergeCell ref="H104:J104"/>
    <mergeCell ref="H111:J111"/>
    <mergeCell ref="H99:J99"/>
    <mergeCell ref="H108:J108"/>
    <mergeCell ref="H105:J105"/>
    <mergeCell ref="H102:J102"/>
    <mergeCell ref="H103:J103"/>
    <mergeCell ref="H21:J21"/>
    <mergeCell ref="H92:J92"/>
    <mergeCell ref="B509:J513"/>
    <mergeCell ref="H277:J277"/>
    <mergeCell ref="H325:J325"/>
    <mergeCell ref="H96:J96"/>
    <mergeCell ref="H125:J125"/>
    <mergeCell ref="H123:J123"/>
    <mergeCell ref="H33:J33"/>
    <mergeCell ref="H457:J457"/>
    <mergeCell ref="M4:U4"/>
    <mergeCell ref="H14:J14"/>
    <mergeCell ref="H6:J6"/>
    <mergeCell ref="H10:J10"/>
    <mergeCell ref="H8:J8"/>
    <mergeCell ref="H18:J18"/>
    <mergeCell ref="H16:J16"/>
    <mergeCell ref="H9:J9"/>
    <mergeCell ref="H13:J13"/>
    <mergeCell ref="H11:J11"/>
    <mergeCell ref="H7:J7"/>
    <mergeCell ref="H29:J29"/>
    <mergeCell ref="H30:J30"/>
    <mergeCell ref="H22:J22"/>
    <mergeCell ref="H26:J26"/>
    <mergeCell ref="H24:J24"/>
    <mergeCell ref="H27:J27"/>
    <mergeCell ref="H12:J12"/>
    <mergeCell ref="H19:J19"/>
    <mergeCell ref="H20:J20"/>
    <mergeCell ref="H45:J45"/>
    <mergeCell ref="H50:J50"/>
    <mergeCell ref="H49:J49"/>
    <mergeCell ref="H41:J41"/>
    <mergeCell ref="H42:J42"/>
    <mergeCell ref="H43:J43"/>
    <mergeCell ref="H44:J44"/>
    <mergeCell ref="H31:J31"/>
    <mergeCell ref="H28:J28"/>
    <mergeCell ref="H40:J40"/>
    <mergeCell ref="H34:J34"/>
    <mergeCell ref="H35:J35"/>
    <mergeCell ref="H36:J36"/>
    <mergeCell ref="H37:J37"/>
    <mergeCell ref="H38:J38"/>
    <mergeCell ref="H32:J32"/>
    <mergeCell ref="H39:J39"/>
    <mergeCell ref="H64:J64"/>
    <mergeCell ref="H58:J58"/>
    <mergeCell ref="H54:J54"/>
    <mergeCell ref="H52:J52"/>
    <mergeCell ref="H46:J46"/>
    <mergeCell ref="H51:J51"/>
    <mergeCell ref="H47:J47"/>
    <mergeCell ref="H53:J53"/>
    <mergeCell ref="H63:J63"/>
    <mergeCell ref="H48:J48"/>
    <mergeCell ref="H431:J431"/>
    <mergeCell ref="H427:J427"/>
    <mergeCell ref="H434:J434"/>
    <mergeCell ref="H70:J70"/>
    <mergeCell ref="H55:J55"/>
    <mergeCell ref="H404:J404"/>
    <mergeCell ref="H326:J326"/>
    <mergeCell ref="H95:J95"/>
    <mergeCell ref="H107:J107"/>
    <mergeCell ref="H106:J106"/>
    <mergeCell ref="H389:J389"/>
    <mergeCell ref="H396:J396"/>
    <mergeCell ref="H393:J393"/>
    <mergeCell ref="H399:J399"/>
    <mergeCell ref="H394:J394"/>
    <mergeCell ref="H391:J391"/>
    <mergeCell ref="H398:J398"/>
    <mergeCell ref="H392:J392"/>
    <mergeCell ref="H397:J397"/>
    <mergeCell ref="H390:J390"/>
    <mergeCell ref="H437:I437"/>
    <mergeCell ref="H463:J463"/>
    <mergeCell ref="H449:J449"/>
    <mergeCell ref="H451:I451"/>
    <mergeCell ref="H462:J462"/>
    <mergeCell ref="H438:J438"/>
    <mergeCell ref="H441:J441"/>
    <mergeCell ref="H446:J446"/>
    <mergeCell ref="H439:J439"/>
    <mergeCell ref="H461:J461"/>
    <mergeCell ref="H448:J448"/>
    <mergeCell ref="H452:J452"/>
    <mergeCell ref="H459:J459"/>
    <mergeCell ref="H460:J460"/>
    <mergeCell ref="H440:I440"/>
    <mergeCell ref="H486:I486"/>
    <mergeCell ref="H477:J477"/>
    <mergeCell ref="H478:J478"/>
    <mergeCell ref="H464:J464"/>
    <mergeCell ref="H475:J475"/>
    <mergeCell ref="H471:J471"/>
    <mergeCell ref="H469:J469"/>
    <mergeCell ref="H467:J467"/>
    <mergeCell ref="H468:J468"/>
    <mergeCell ref="H436:J436"/>
    <mergeCell ref="H420:J420"/>
    <mergeCell ref="H407:J407"/>
    <mergeCell ref="H484:I484"/>
    <mergeCell ref="H472:J472"/>
    <mergeCell ref="H473:J473"/>
    <mergeCell ref="H453:I453"/>
    <mergeCell ref="H450:I450"/>
    <mergeCell ref="H443:J443"/>
    <mergeCell ref="H447:J447"/>
    <mergeCell ref="H101:J101"/>
    <mergeCell ref="H87:J87"/>
    <mergeCell ref="H91:J91"/>
    <mergeCell ref="H498:J498"/>
    <mergeCell ref="H502:J502"/>
    <mergeCell ref="H497:J497"/>
    <mergeCell ref="H496:I496"/>
    <mergeCell ref="H495:J495"/>
    <mergeCell ref="H481:I481"/>
    <mergeCell ref="H494:J494"/>
    <mergeCell ref="H79:J79"/>
    <mergeCell ref="H85:J85"/>
    <mergeCell ref="H90:J90"/>
    <mergeCell ref="H89:J89"/>
    <mergeCell ref="H97:J97"/>
    <mergeCell ref="H98:J98"/>
    <mergeCell ref="H94:J94"/>
    <mergeCell ref="H83:J83"/>
    <mergeCell ref="H84:J84"/>
    <mergeCell ref="H86:J86"/>
    <mergeCell ref="H78:J78"/>
    <mergeCell ref="H74:J74"/>
    <mergeCell ref="H76:J76"/>
    <mergeCell ref="H72:J72"/>
    <mergeCell ref="H77:J77"/>
    <mergeCell ref="H75:I75"/>
    <mergeCell ref="H73:J73"/>
    <mergeCell ref="H361:J361"/>
    <mergeCell ref="H356:J356"/>
    <mergeCell ref="H66:J66"/>
    <mergeCell ref="H413:J413"/>
    <mergeCell ref="H410:J410"/>
    <mergeCell ref="H371:J371"/>
    <mergeCell ref="H82:J82"/>
    <mergeCell ref="H68:J68"/>
    <mergeCell ref="H412:J412"/>
    <mergeCell ref="H370:J370"/>
    <mergeCell ref="H225:J225"/>
    <mergeCell ref="H226:J226"/>
    <mergeCell ref="H384:J384"/>
    <mergeCell ref="H369:J369"/>
    <mergeCell ref="H358:J358"/>
    <mergeCell ref="H338:J338"/>
    <mergeCell ref="H349:J349"/>
    <mergeCell ref="H350:J350"/>
    <mergeCell ref="H340:J340"/>
    <mergeCell ref="H351:J351"/>
    <mergeCell ref="H359:J359"/>
    <mergeCell ref="H360:J360"/>
    <mergeCell ref="H341:J341"/>
    <mergeCell ref="H336:J336"/>
    <mergeCell ref="H333:J333"/>
    <mergeCell ref="H232:I232"/>
    <mergeCell ref="H315:J315"/>
    <mergeCell ref="H335:J335"/>
    <mergeCell ref="H257:J257"/>
    <mergeCell ref="H249:J249"/>
    <mergeCell ref="H380:J380"/>
    <mergeCell ref="H151:J151"/>
    <mergeCell ref="H129:J129"/>
    <mergeCell ref="H299:J299"/>
    <mergeCell ref="H321:J321"/>
    <mergeCell ref="H218:J218"/>
    <mergeCell ref="H290:J290"/>
    <mergeCell ref="H229:J229"/>
    <mergeCell ref="H236:J236"/>
    <mergeCell ref="H258:J258"/>
    <mergeCell ref="H65:J65"/>
    <mergeCell ref="H59:J59"/>
    <mergeCell ref="H57:J57"/>
    <mergeCell ref="H61:J61"/>
    <mergeCell ref="H88:J88"/>
    <mergeCell ref="H60:J60"/>
    <mergeCell ref="H67:J67"/>
    <mergeCell ref="H81:J81"/>
    <mergeCell ref="H62:J62"/>
    <mergeCell ref="H69:J69"/>
    <mergeCell ref="H239:J239"/>
    <mergeCell ref="H234:J234"/>
    <mergeCell ref="H238:J238"/>
    <mergeCell ref="H261:J261"/>
    <mergeCell ref="H244:J244"/>
    <mergeCell ref="H245:J245"/>
    <mergeCell ref="H242:J242"/>
    <mergeCell ref="H259:J259"/>
    <mergeCell ref="H228:J228"/>
    <mergeCell ref="H247:J247"/>
    <mergeCell ref="H246:J246"/>
    <mergeCell ref="H231:J231"/>
    <mergeCell ref="H230:J230"/>
    <mergeCell ref="H235:J235"/>
    <mergeCell ref="H240:J240"/>
    <mergeCell ref="H243:J243"/>
    <mergeCell ref="H241:J241"/>
    <mergeCell ref="H237:J237"/>
    <mergeCell ref="H270:J270"/>
    <mergeCell ref="H264:J264"/>
    <mergeCell ref="H280:J280"/>
    <mergeCell ref="H263:J263"/>
    <mergeCell ref="H271:J271"/>
    <mergeCell ref="H279:J279"/>
    <mergeCell ref="H266:J266"/>
    <mergeCell ref="H268:J268"/>
    <mergeCell ref="H262:J262"/>
    <mergeCell ref="H300:I300"/>
    <mergeCell ref="H303:J303"/>
    <mergeCell ref="H292:J292"/>
    <mergeCell ref="H265:J265"/>
    <mergeCell ref="H273:I273"/>
    <mergeCell ref="H274:J274"/>
    <mergeCell ref="H269:J269"/>
    <mergeCell ref="H289:J289"/>
    <mergeCell ref="H288:J288"/>
    <mergeCell ref="H314:I314"/>
    <mergeCell ref="H272:J272"/>
    <mergeCell ref="H313:J313"/>
    <mergeCell ref="H286:J286"/>
    <mergeCell ref="H296:J296"/>
    <mergeCell ref="H312:J312"/>
    <mergeCell ref="H291:J291"/>
    <mergeCell ref="H307:J307"/>
    <mergeCell ref="H297:J297"/>
    <mergeCell ref="H298:J298"/>
    <mergeCell ref="H294:J294"/>
    <mergeCell ref="H267:J267"/>
    <mergeCell ref="H285:J285"/>
    <mergeCell ref="H287:J287"/>
    <mergeCell ref="H284:J284"/>
    <mergeCell ref="H282:J282"/>
    <mergeCell ref="H281:J281"/>
    <mergeCell ref="H275:J275"/>
    <mergeCell ref="H278:J278"/>
    <mergeCell ref="H276:J276"/>
    <mergeCell ref="H327:J327"/>
    <mergeCell ref="H322:J322"/>
    <mergeCell ref="H323:I323"/>
    <mergeCell ref="H324:J324"/>
    <mergeCell ref="H316:J316"/>
    <mergeCell ref="H304:J304"/>
    <mergeCell ref="H309:J309"/>
    <mergeCell ref="H306:J306"/>
    <mergeCell ref="H308:J308"/>
    <mergeCell ref="H318:J318"/>
    <mergeCell ref="H334:J334"/>
    <mergeCell ref="H343:J343"/>
    <mergeCell ref="H328:J328"/>
    <mergeCell ref="H339:J339"/>
    <mergeCell ref="H329:J329"/>
    <mergeCell ref="H332:J332"/>
    <mergeCell ref="H331:J331"/>
    <mergeCell ref="H330:J330"/>
    <mergeCell ref="H347:J347"/>
    <mergeCell ref="H346:J346"/>
    <mergeCell ref="H344:J344"/>
    <mergeCell ref="H342:J342"/>
    <mergeCell ref="H337:J337"/>
    <mergeCell ref="H357:J357"/>
    <mergeCell ref="H348:J348"/>
    <mergeCell ref="H352:J352"/>
    <mergeCell ref="H345:J345"/>
    <mergeCell ref="H362:J362"/>
    <mergeCell ref="H376:J376"/>
    <mergeCell ref="H375:J375"/>
    <mergeCell ref="H365:J365"/>
    <mergeCell ref="H363:J363"/>
    <mergeCell ref="H372:J372"/>
    <mergeCell ref="H373:J373"/>
    <mergeCell ref="H368:J368"/>
    <mergeCell ref="H367:J367"/>
    <mergeCell ref="H366:J366"/>
    <mergeCell ref="H503:J503"/>
    <mergeCell ref="H425:J425"/>
    <mergeCell ref="H418:J418"/>
    <mergeCell ref="H423:J423"/>
    <mergeCell ref="H419:I419"/>
    <mergeCell ref="H421:J421"/>
    <mergeCell ref="H480:J480"/>
    <mergeCell ref="H485:I485"/>
    <mergeCell ref="H479:J479"/>
    <mergeCell ref="H458:J458"/>
    <mergeCell ref="H395:J395"/>
    <mergeCell ref="H488:J488"/>
    <mergeCell ref="H492:J492"/>
    <mergeCell ref="H406:J406"/>
    <mergeCell ref="H424:J424"/>
    <mergeCell ref="B507:J507"/>
    <mergeCell ref="H416:J416"/>
    <mergeCell ref="H409:J409"/>
    <mergeCell ref="H476:J476"/>
    <mergeCell ref="H493:J493"/>
    <mergeCell ref="H378:J378"/>
    <mergeCell ref="H387:J387"/>
    <mergeCell ref="H385:J385"/>
    <mergeCell ref="H435:J435"/>
    <mergeCell ref="H405:J405"/>
    <mergeCell ref="H374:J374"/>
    <mergeCell ref="H381:J381"/>
    <mergeCell ref="H379:J379"/>
    <mergeCell ref="H383:J383"/>
    <mergeCell ref="H386:J386"/>
    <mergeCell ref="H382:J382"/>
    <mergeCell ref="H428:J428"/>
    <mergeCell ref="H23:J23"/>
    <mergeCell ref="H115:J115"/>
    <mergeCell ref="H429:J429"/>
    <mergeCell ref="H432:J432"/>
    <mergeCell ref="H114:J114"/>
    <mergeCell ref="H353:J353"/>
    <mergeCell ref="H354:J354"/>
    <mergeCell ref="H355:J355"/>
  </mergeCells>
  <printOptions/>
  <pageMargins left="0.1968503937007874" right="0.2" top="0.15748031496062992" bottom="0.3937007874015748" header="0.15748031496062992" footer="0.2755905511811024"/>
  <pageSetup horizontalDpi="600" verticalDpi="600" orientation="landscape" paperSize="9" scale="60" r:id="rId2"/>
  <headerFooter scaleWithDoc="0"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="106" zoomScaleNormal="106" zoomScalePageLayoutView="0" workbookViewId="0" topLeftCell="A16">
      <selection activeCell="C40" sqref="C40"/>
    </sheetView>
  </sheetViews>
  <sheetFormatPr defaultColWidth="9.140625" defaultRowHeight="12.75"/>
  <cols>
    <col min="1" max="1" width="6.140625" style="280" customWidth="1"/>
    <col min="2" max="2" width="35.28125" style="22" customWidth="1"/>
    <col min="3" max="3" width="13.421875" style="26" bestFit="1" customWidth="1"/>
    <col min="4" max="4" width="17.28125" style="43" customWidth="1"/>
    <col min="5" max="5" width="12.28125" style="43" bestFit="1" customWidth="1"/>
    <col min="6" max="6" width="14.421875" style="26" customWidth="1"/>
    <col min="7" max="7" width="14.57421875" style="26" customWidth="1"/>
    <col min="8" max="8" width="12.00390625" style="26" hidden="1" customWidth="1"/>
    <col min="9" max="9" width="14.57421875" style="26" bestFit="1" customWidth="1"/>
    <col min="10" max="10" width="13.8515625" style="1" bestFit="1" customWidth="1"/>
    <col min="11" max="11" width="15.57421875" style="22" customWidth="1"/>
    <col min="12" max="16384" width="9.140625" style="22" customWidth="1"/>
  </cols>
  <sheetData>
    <row r="1" spans="1:10" s="23" customFormat="1" ht="12.75">
      <c r="A1" s="1675" t="s">
        <v>1559</v>
      </c>
      <c r="B1" s="1675"/>
      <c r="C1" s="1675"/>
      <c r="D1" s="1675"/>
      <c r="E1" s="1675"/>
      <c r="F1" s="1675"/>
      <c r="G1" s="269"/>
      <c r="H1" s="269"/>
      <c r="I1" s="269"/>
      <c r="J1" s="270"/>
    </row>
    <row r="2" spans="1:4" ht="13.5" thickBot="1">
      <c r="A2" s="271"/>
      <c r="B2" s="23"/>
      <c r="C2" s="42"/>
      <c r="D2" s="272"/>
    </row>
    <row r="3" spans="1:10" s="23" customFormat="1" ht="66" customHeight="1" thickBot="1">
      <c r="A3" s="963" t="s">
        <v>23</v>
      </c>
      <c r="B3" s="964" t="s">
        <v>24</v>
      </c>
      <c r="C3" s="965" t="s">
        <v>1353</v>
      </c>
      <c r="D3" s="965" t="s">
        <v>1354</v>
      </c>
      <c r="E3" s="965" t="s">
        <v>1355</v>
      </c>
      <c r="F3" s="965" t="s">
        <v>1356</v>
      </c>
      <c r="G3" s="965" t="s">
        <v>1357</v>
      </c>
      <c r="H3" s="965" t="s">
        <v>1480</v>
      </c>
      <c r="I3" s="965" t="s">
        <v>1358</v>
      </c>
      <c r="J3" s="966" t="s">
        <v>1584</v>
      </c>
    </row>
    <row r="4" spans="1:10" s="23" customFormat="1" ht="17.25" customHeight="1" thickBot="1">
      <c r="A4" s="1678" t="s">
        <v>25</v>
      </c>
      <c r="B4" s="1679"/>
      <c r="C4" s="967">
        <f aca="true" t="shared" si="0" ref="C4:J4">C5+C12+C19+C22+C25+C29+C31+C36+C38</f>
        <v>453286579</v>
      </c>
      <c r="D4" s="967">
        <f t="shared" si="0"/>
        <v>180000</v>
      </c>
      <c r="E4" s="967">
        <f t="shared" si="0"/>
        <v>400000</v>
      </c>
      <c r="F4" s="967">
        <f t="shared" si="0"/>
        <v>92252279.21000001</v>
      </c>
      <c r="G4" s="967">
        <f t="shared" si="0"/>
        <v>81581123</v>
      </c>
      <c r="H4" s="967">
        <f t="shared" si="0"/>
        <v>5</v>
      </c>
      <c r="I4" s="967">
        <f t="shared" si="0"/>
        <v>427000</v>
      </c>
      <c r="J4" s="967">
        <f t="shared" si="0"/>
        <v>628126981.21</v>
      </c>
    </row>
    <row r="5" spans="1:10" s="23" customFormat="1" ht="15" customHeight="1" thickBot="1">
      <c r="A5" s="968">
        <v>41</v>
      </c>
      <c r="B5" s="969" t="s">
        <v>26</v>
      </c>
      <c r="C5" s="970">
        <f>SUM(C6:C11)</f>
        <v>126772272</v>
      </c>
      <c r="D5" s="970">
        <f aca="true" t="shared" si="1" ref="D5:J5">SUM(D6:D11)</f>
        <v>0</v>
      </c>
      <c r="E5" s="970">
        <f t="shared" si="1"/>
        <v>0</v>
      </c>
      <c r="F5" s="970">
        <f t="shared" si="1"/>
        <v>775000</v>
      </c>
      <c r="G5" s="970">
        <f t="shared" si="1"/>
        <v>10000</v>
      </c>
      <c r="H5" s="970">
        <f t="shared" si="1"/>
        <v>0</v>
      </c>
      <c r="I5" s="970">
        <f t="shared" si="1"/>
        <v>0</v>
      </c>
      <c r="J5" s="970">
        <f t="shared" si="1"/>
        <v>127557272</v>
      </c>
    </row>
    <row r="6" spans="1:11" ht="13.5" thickBot="1">
      <c r="A6" s="971">
        <v>411</v>
      </c>
      <c r="B6" s="972" t="s">
        <v>27</v>
      </c>
      <c r="C6" s="973">
        <f>'Rashodi-2021'!M11+'Rashodi-2021'!M44+'Rashodi-2021'!M60+'Rashodi-2021'!M76+'Rashodi-2021'!M420+'Rashodi-2021'!M438+'Rashodi-2021'!M497+'Rashodi-2021'!M451+'Rashodi-2021'!M35+'Rashodi-2021'!M384+'Rashodi-2021'!M362+'Rashodi-2021'!M465+'Rashodi-2021'!M482</f>
        <v>94085347</v>
      </c>
      <c r="D6" s="973">
        <f>'Rashodi-2021'!N11+'Rashodi-2021'!N44+'Rashodi-2021'!N60+'Rashodi-2021'!N76+'Rashodi-2021'!N420+'Rashodi-2021'!N438+'Rashodi-2021'!N497+'Rashodi-2021'!N451+'Rashodi-2021'!N35+'Rashodi-2021'!N384+'Rashodi-2021'!N362+'Rashodi-2021'!N465+'Rashodi-2021'!N482</f>
        <v>0</v>
      </c>
      <c r="E6" s="973">
        <f>'Rashodi-2021'!O11+'Rashodi-2021'!O44+'Rashodi-2021'!O60+'Rashodi-2021'!O76+'Rashodi-2021'!O420+'Rashodi-2021'!O438+'Rashodi-2021'!O497+'Rashodi-2021'!O451+'Rashodi-2021'!O35+'Rashodi-2021'!O384+'Rashodi-2021'!O362+'Rashodi-2021'!O465+'Rashodi-2021'!O482</f>
        <v>0</v>
      </c>
      <c r="F6" s="973">
        <f>'Rashodi-2021'!P11+'Rashodi-2021'!P44+'Rashodi-2021'!P60+'Rashodi-2021'!P76+'Rashodi-2021'!P420+'Rashodi-2021'!P438+'Rashodi-2021'!P497+'Rashodi-2021'!P451+'Rashodi-2021'!P35+'Rashodi-2021'!P384+'Rashodi-2021'!P362+'Rashodi-2021'!P465+'Rashodi-2021'!P482</f>
        <v>0</v>
      </c>
      <c r="G6" s="973">
        <f>'Rashodi-2021'!Q11+'Rashodi-2021'!Q44+'Rashodi-2021'!Q60+'Rashodi-2021'!Q76+'Rashodi-2021'!Q420+'Rashodi-2021'!Q438+'Rashodi-2021'!Q497+'Rashodi-2021'!Q451+'Rashodi-2021'!Q35+'Rashodi-2021'!Q384+'Rashodi-2021'!Q362+'Rashodi-2021'!Q465+'Rashodi-2021'!Q482</f>
        <v>0</v>
      </c>
      <c r="H6" s="973">
        <f>'Rashodi-2021'!R11+'Rashodi-2021'!R44+'Rashodi-2021'!R60+'Rashodi-2021'!R76+'Rashodi-2021'!R420+'Rashodi-2021'!R438+'Rashodi-2021'!R497+'Rashodi-2021'!R451+'Rashodi-2021'!R35+'Rashodi-2021'!R384+'Rashodi-2021'!R362+'Rashodi-2021'!R465+'Rashodi-2021'!R482</f>
        <v>0</v>
      </c>
      <c r="I6" s="973">
        <f>'Rashodi-2021'!S11+'Rashodi-2021'!S44+'Rashodi-2021'!S60+'Rashodi-2021'!S76+'Rashodi-2021'!S420+'Rashodi-2021'!S438+'Rashodi-2021'!S497+'Rashodi-2021'!S451+'Rashodi-2021'!S35+'Rashodi-2021'!S384+'Rashodi-2021'!S362+'Rashodi-2021'!S465+'Rashodi-2021'!S482</f>
        <v>0</v>
      </c>
      <c r="J6" s="974">
        <f aca="true" t="shared" si="2" ref="J6:J37">SUM(C6:I6)</f>
        <v>94085347</v>
      </c>
      <c r="K6" s="1"/>
    </row>
    <row r="7" spans="1:11" ht="13.5" thickBot="1">
      <c r="A7" s="975">
        <v>412</v>
      </c>
      <c r="B7" s="976" t="s">
        <v>28</v>
      </c>
      <c r="C7" s="977">
        <f>'Rashodi-2021'!M12+'Rashodi-2021'!M45+'Rashodi-2021'!M61+'Rashodi-2021'!M77+'Rashodi-2021'!M421+'Rashodi-2021'!M439+'Rashodi-2021'!M498+'Rashodi-2021'!M452+'Rashodi-2021'!M36+'Rashodi-2021'!M385+'Rashodi-2021'!M363+'Rashodi-2021'!M466+'Rashodi-2021'!M483</f>
        <v>16545953</v>
      </c>
      <c r="D7" s="977">
        <f>'Rashodi-2021'!N12+'Rashodi-2021'!N45+'Rashodi-2021'!N61+'Rashodi-2021'!N77+'Rashodi-2021'!N421+'Rashodi-2021'!N439+'Rashodi-2021'!N498+'Rashodi-2021'!N452+'Rashodi-2021'!N36+'Rashodi-2021'!N385+'Rashodi-2021'!N363+'Rashodi-2021'!N466+'Rashodi-2021'!N483</f>
        <v>0</v>
      </c>
      <c r="E7" s="977">
        <f>'Rashodi-2021'!O12+'Rashodi-2021'!O45+'Rashodi-2021'!O61+'Rashodi-2021'!O77+'Rashodi-2021'!O421+'Rashodi-2021'!O439+'Rashodi-2021'!O498+'Rashodi-2021'!O452+'Rashodi-2021'!O36+'Rashodi-2021'!O385+'Rashodi-2021'!O363+'Rashodi-2021'!O466+'Rashodi-2021'!O483</f>
        <v>0</v>
      </c>
      <c r="F7" s="977">
        <f>'Rashodi-2021'!P12+'Rashodi-2021'!P45+'Rashodi-2021'!P61+'Rashodi-2021'!P77+'Rashodi-2021'!P421+'Rashodi-2021'!P439+'Rashodi-2021'!P498+'Rashodi-2021'!P452+'Rashodi-2021'!P36+'Rashodi-2021'!P385+'Rashodi-2021'!P363+'Rashodi-2021'!P466+'Rashodi-2021'!P483</f>
        <v>0</v>
      </c>
      <c r="G7" s="977">
        <f>'Rashodi-2021'!Q12+'Rashodi-2021'!Q45+'Rashodi-2021'!Q61+'Rashodi-2021'!Q77+'Rashodi-2021'!Q421+'Rashodi-2021'!Q439+'Rashodi-2021'!Q498+'Rashodi-2021'!Q452+'Rashodi-2021'!Q36+'Rashodi-2021'!Q385+'Rashodi-2021'!Q363+'Rashodi-2021'!Q466+'Rashodi-2021'!Q483</f>
        <v>0</v>
      </c>
      <c r="H7" s="977">
        <f>'Rashodi-2021'!R12+'Rashodi-2021'!R45+'Rashodi-2021'!R61+'Rashodi-2021'!R77+'Rashodi-2021'!R421+'Rashodi-2021'!R439+'Rashodi-2021'!R498+'Rashodi-2021'!R452+'Rashodi-2021'!R36+'Rashodi-2021'!R385+'Rashodi-2021'!R363+'Rashodi-2021'!R466+'Rashodi-2021'!R483</f>
        <v>0</v>
      </c>
      <c r="I7" s="977">
        <f>'Rashodi-2021'!S12+'Rashodi-2021'!S45+'Rashodi-2021'!S61+'Rashodi-2021'!S77+'Rashodi-2021'!S421+'Rashodi-2021'!S439+'Rashodi-2021'!S498+'Rashodi-2021'!S452+'Rashodi-2021'!S36+'Rashodi-2021'!S385+'Rashodi-2021'!S363+'Rashodi-2021'!S466+'Rashodi-2021'!S483</f>
        <v>0</v>
      </c>
      <c r="J7" s="974">
        <f t="shared" si="2"/>
        <v>16545953</v>
      </c>
      <c r="K7" s="1"/>
    </row>
    <row r="8" spans="1:10" ht="13.5" thickBot="1">
      <c r="A8" s="975">
        <v>413</v>
      </c>
      <c r="B8" s="976" t="s">
        <v>29</v>
      </c>
      <c r="C8" s="977">
        <f>'Rashodi-2021'!M364</f>
        <v>200000</v>
      </c>
      <c r="D8" s="977">
        <f>'Rashodi-2021'!N364</f>
        <v>0</v>
      </c>
      <c r="E8" s="977">
        <f>'Rashodi-2021'!O364</f>
        <v>0</v>
      </c>
      <c r="F8" s="977">
        <f>'Rashodi-2021'!P364</f>
        <v>150000</v>
      </c>
      <c r="G8" s="977">
        <f>'Rashodi-2021'!Q364</f>
        <v>10000</v>
      </c>
      <c r="H8" s="977">
        <f>'Rashodi-2021'!R364</f>
        <v>0</v>
      </c>
      <c r="I8" s="977">
        <f>'Rashodi-2021'!S364</f>
        <v>0</v>
      </c>
      <c r="J8" s="974">
        <f t="shared" si="2"/>
        <v>360000</v>
      </c>
    </row>
    <row r="9" spans="1:10" ht="13.5" thickBot="1">
      <c r="A9" s="975">
        <v>414</v>
      </c>
      <c r="B9" s="976" t="s">
        <v>30</v>
      </c>
      <c r="C9" s="977">
        <f>'Rashodi-2021'!M78+'Rashodi-2021'!M13+'Rashodi-2021'!M46+'Rashodi-2021'!M62+'Rashodi-2021'!M386+'Rashodi-2021'!M365</f>
        <v>2060000</v>
      </c>
      <c r="D9" s="977">
        <f>'Rashodi-2021'!N78+'Rashodi-2021'!N13+'Rashodi-2021'!N46+'Rashodi-2021'!N62+'Rashodi-2021'!N386+'Rashodi-2021'!N365</f>
        <v>0</v>
      </c>
      <c r="E9" s="977">
        <f>'Rashodi-2021'!O78+'Rashodi-2021'!O13+'Rashodi-2021'!O46+'Rashodi-2021'!O62+'Rashodi-2021'!O386+'Rashodi-2021'!O365</f>
        <v>0</v>
      </c>
      <c r="F9" s="977">
        <f>'Rashodi-2021'!P78+'Rashodi-2021'!P13+'Rashodi-2021'!P46+'Rashodi-2021'!P62+'Rashodi-2021'!P386+'Rashodi-2021'!P365</f>
        <v>25000</v>
      </c>
      <c r="G9" s="977">
        <f>'Rashodi-2021'!Q78+'Rashodi-2021'!Q13+'Rashodi-2021'!Q46+'Rashodi-2021'!Q62+'Rashodi-2021'!Q386+'Rashodi-2021'!Q365</f>
        <v>0</v>
      </c>
      <c r="H9" s="977">
        <f>'Rashodi-2021'!R78+'Rashodi-2021'!R13+'Rashodi-2021'!R46+'Rashodi-2021'!R62+'Rashodi-2021'!R386+'Rashodi-2021'!R365</f>
        <v>0</v>
      </c>
      <c r="I9" s="977">
        <f>'Rashodi-2021'!S78+'Rashodi-2021'!S13+'Rashodi-2021'!S46+'Rashodi-2021'!S62+'Rashodi-2021'!S386+'Rashodi-2021'!S365</f>
        <v>0</v>
      </c>
      <c r="J9" s="974">
        <f t="shared" si="2"/>
        <v>2085000</v>
      </c>
    </row>
    <row r="10" spans="1:10" ht="13.5" thickBot="1">
      <c r="A10" s="975">
        <v>415</v>
      </c>
      <c r="B10" s="976" t="s">
        <v>31</v>
      </c>
      <c r="C10" s="977">
        <f>'Rashodi-2021'!M14+'Rashodi-2021'!M63+'Rashodi-2021'!M79+'Rashodi-2021'!M47+'Rashodi-2021'!M37+'Rashodi-2021'!M387+'Rashodi-2021'!M366</f>
        <v>11590972</v>
      </c>
      <c r="D10" s="977">
        <f>'Rashodi-2021'!N14+'Rashodi-2021'!N63+'Rashodi-2021'!N79+'Rashodi-2021'!N47+'Rashodi-2021'!N37+'Rashodi-2021'!N387+'Rashodi-2021'!N366</f>
        <v>0</v>
      </c>
      <c r="E10" s="977">
        <f>'Rashodi-2021'!O14+'Rashodi-2021'!O63+'Rashodi-2021'!O79+'Rashodi-2021'!O47+'Rashodi-2021'!O37+'Rashodi-2021'!O387+'Rashodi-2021'!O366</f>
        <v>0</v>
      </c>
      <c r="F10" s="977">
        <f>'Rashodi-2021'!P14+'Rashodi-2021'!P63+'Rashodi-2021'!P79+'Rashodi-2021'!P47+'Rashodi-2021'!P37+'Rashodi-2021'!P387+'Rashodi-2021'!P366</f>
        <v>600000</v>
      </c>
      <c r="G10" s="977">
        <f>'Rashodi-2021'!Q14+'Rashodi-2021'!Q63+'Rashodi-2021'!Q79+'Rashodi-2021'!Q47+'Rashodi-2021'!Q37+'Rashodi-2021'!Q387+'Rashodi-2021'!Q366</f>
        <v>0</v>
      </c>
      <c r="H10" s="977">
        <f>'Rashodi-2021'!R14+'Rashodi-2021'!R63+'Rashodi-2021'!R79+'Rashodi-2021'!R47+'Rashodi-2021'!R37+'Rashodi-2021'!R387+'Rashodi-2021'!R366</f>
        <v>0</v>
      </c>
      <c r="I10" s="977">
        <f>'Rashodi-2021'!S14+'Rashodi-2021'!S63+'Rashodi-2021'!S79+'Rashodi-2021'!S47+'Rashodi-2021'!S37+'Rashodi-2021'!S387+'Rashodi-2021'!S366</f>
        <v>0</v>
      </c>
      <c r="J10" s="974">
        <f t="shared" si="2"/>
        <v>12190972</v>
      </c>
    </row>
    <row r="11" spans="1:10" ht="13.5" thickBot="1">
      <c r="A11" s="978">
        <v>416</v>
      </c>
      <c r="B11" s="979" t="s">
        <v>200</v>
      </c>
      <c r="C11" s="980">
        <f>'Rashodi-2021'!M367+'Rashodi-2021'!M80+'Rashodi-2021'!M388+'Rashodi-2021'!M422+'Rashodi-2021'!M15</f>
        <v>2290000</v>
      </c>
      <c r="D11" s="980">
        <f>'Rashodi-2021'!N367+'Rashodi-2021'!N80+'Rashodi-2021'!N388+'Rashodi-2021'!N422+'Rashodi-2021'!N15</f>
        <v>0</v>
      </c>
      <c r="E11" s="980">
        <f>'Rashodi-2021'!O367+'Rashodi-2021'!O80+'Rashodi-2021'!O388+'Rashodi-2021'!O422+'Rashodi-2021'!O15</f>
        <v>0</v>
      </c>
      <c r="F11" s="980">
        <f>'Rashodi-2021'!P367+'Rashodi-2021'!P80+'Rashodi-2021'!P388+'Rashodi-2021'!P422+'Rashodi-2021'!P15</f>
        <v>0</v>
      </c>
      <c r="G11" s="980">
        <f>'Rashodi-2021'!Q367+'Rashodi-2021'!Q80+'Rashodi-2021'!Q388+'Rashodi-2021'!Q422+'Rashodi-2021'!Q15</f>
        <v>0</v>
      </c>
      <c r="H11" s="980">
        <f>'Rashodi-2021'!R367+'Rashodi-2021'!R80+'Rashodi-2021'!R388+'Rashodi-2021'!R422+'Rashodi-2021'!R15</f>
        <v>0</v>
      </c>
      <c r="I11" s="980">
        <f>'Rashodi-2021'!S367+'Rashodi-2021'!S80+'Rashodi-2021'!S388+'Rashodi-2021'!S422+'Rashodi-2021'!S15</f>
        <v>0</v>
      </c>
      <c r="J11" s="974">
        <f t="shared" si="2"/>
        <v>2290000</v>
      </c>
    </row>
    <row r="12" spans="1:10" s="23" customFormat="1" ht="14.25" customHeight="1" thickBot="1">
      <c r="A12" s="968">
        <v>42</v>
      </c>
      <c r="B12" s="981" t="s">
        <v>32</v>
      </c>
      <c r="C12" s="982">
        <f>SUM(C13:C18)</f>
        <v>143681667</v>
      </c>
      <c r="D12" s="982">
        <f aca="true" t="shared" si="3" ref="D12:I12">SUM(D13:D18)</f>
        <v>149500</v>
      </c>
      <c r="E12" s="982">
        <f t="shared" si="3"/>
        <v>0</v>
      </c>
      <c r="F12" s="982">
        <f t="shared" si="3"/>
        <v>38805511.5</v>
      </c>
      <c r="G12" s="982">
        <f t="shared" si="3"/>
        <v>50173623</v>
      </c>
      <c r="H12" s="982">
        <f t="shared" si="3"/>
        <v>0</v>
      </c>
      <c r="I12" s="982">
        <f t="shared" si="3"/>
        <v>427000</v>
      </c>
      <c r="J12" s="967">
        <f>C12+D12+F12+G12+I12</f>
        <v>233237301.5</v>
      </c>
    </row>
    <row r="13" spans="1:10" ht="13.5" thickBot="1">
      <c r="A13" s="971">
        <v>421</v>
      </c>
      <c r="B13" s="972" t="s">
        <v>33</v>
      </c>
      <c r="C13" s="973">
        <f>'Rashodi-2021'!M16+'Rashodi-2021'!M48+'Rashodi-2021'!M81+'Rashodi-2021'!M409+'Rashodi-2021'!M423+'Rashodi-2021'!M440+'Rashodi-2021'!M453+'Rashodi-2021'!M467+'Rashodi-2021'!M484+'Rashodi-2021'!M499+'Rashodi-2021'!M64+'Rashodi-2021'!M261+'Rashodi-2021'!M389+'Rashodi-2021'!M368+'Rashodi-2021'!M292++'Rashodi-2021'!M38+'Rashodi-2021'!M108+'Rashodi-2021'!M17</f>
        <v>20346306</v>
      </c>
      <c r="D13" s="973">
        <f>'Rashodi-2021'!N16+'Rashodi-2021'!N48+'Rashodi-2021'!N81+'Rashodi-2021'!N409+'Rashodi-2021'!N423+'Rashodi-2021'!N440+'Rashodi-2021'!N453+'Rashodi-2021'!N467+'Rashodi-2021'!N484+'Rashodi-2021'!N499+'Rashodi-2021'!N64+'Rashodi-2021'!N261+'Rashodi-2021'!N389+'Rashodi-2021'!N368+'Rashodi-2021'!N292++'Rashodi-2021'!N38+'Rashodi-2021'!N108</f>
        <v>23000</v>
      </c>
      <c r="E13" s="973">
        <f>'Rashodi-2021'!O16+'Rashodi-2021'!O48+'Rashodi-2021'!O81+'Rashodi-2021'!O409+'Rashodi-2021'!O423+'Rashodi-2021'!O440+'Rashodi-2021'!O453+'Rashodi-2021'!O467+'Rashodi-2021'!O484+'Rashodi-2021'!O499+'Rashodi-2021'!O64+'Rashodi-2021'!O261+'Rashodi-2021'!O389+'Rashodi-2021'!O368+'Rashodi-2021'!O292++'Rashodi-2021'!O38+'Rashodi-2021'!O108</f>
        <v>0</v>
      </c>
      <c r="F13" s="973">
        <f>'Rashodi-2021'!P16+'Rashodi-2021'!P48+'Rashodi-2021'!P81+'Rashodi-2021'!P409+'Rashodi-2021'!P423+'Rashodi-2021'!P440+'Rashodi-2021'!P453+'Rashodi-2021'!P467+'Rashodi-2021'!P484+'Rashodi-2021'!P499+'Rashodi-2021'!P64+'Rashodi-2021'!P261+'Rashodi-2021'!P389+'Rashodi-2021'!P368+'Rashodi-2021'!P292++'Rashodi-2021'!P38+'Rashodi-2021'!P108</f>
        <v>1555200</v>
      </c>
      <c r="G13" s="973">
        <f>'Rashodi-2021'!Q16+'Rashodi-2021'!Q48+'Rashodi-2021'!Q81+'Rashodi-2021'!Q409+'Rashodi-2021'!Q423+'Rashodi-2021'!Q440+'Rashodi-2021'!Q453+'Rashodi-2021'!Q467+'Rashodi-2021'!Q484+'Rashodi-2021'!Q499+'Rashodi-2021'!Q64+'Rashodi-2021'!Q261+'Rashodi-2021'!Q389+'Rashodi-2021'!Q368+'Rashodi-2021'!Q292++'Rashodi-2021'!Q38+'Rashodi-2021'!Q108</f>
        <v>1033500</v>
      </c>
      <c r="H13" s="973">
        <f>'Rashodi-2021'!R16+'Rashodi-2021'!R48+'Rashodi-2021'!R81+'Rashodi-2021'!R409+'Rashodi-2021'!R423+'Rashodi-2021'!R440+'Rashodi-2021'!R453+'Rashodi-2021'!R467+'Rashodi-2021'!R484+'Rashodi-2021'!R499+'Rashodi-2021'!R64+'Rashodi-2021'!R261+'Rashodi-2021'!R389+'Rashodi-2021'!R368+'Rashodi-2021'!R292++'Rashodi-2021'!R38+'Rashodi-2021'!R108</f>
        <v>0</v>
      </c>
      <c r="I13" s="973">
        <f>'Rashodi-2021'!S16+'Rashodi-2021'!S48+'Rashodi-2021'!S81+'Rashodi-2021'!S409+'Rashodi-2021'!S423+'Rashodi-2021'!S440+'Rashodi-2021'!S453+'Rashodi-2021'!S467+'Rashodi-2021'!S484+'Rashodi-2021'!S499+'Rashodi-2021'!S64+'Rashodi-2021'!S261+'Rashodi-2021'!S389+'Rashodi-2021'!S368+'Rashodi-2021'!S292++'Rashodi-2021'!S38+'Rashodi-2021'!S108</f>
        <v>2000</v>
      </c>
      <c r="J13" s="974">
        <f t="shared" si="2"/>
        <v>22960006</v>
      </c>
    </row>
    <row r="14" spans="1:10" ht="13.5" thickBot="1">
      <c r="A14" s="975">
        <v>422</v>
      </c>
      <c r="B14" s="976" t="s">
        <v>34</v>
      </c>
      <c r="C14" s="977">
        <f>'Rashodi-2021'!M18+'Rashodi-2021'!M49+'Rashodi-2021'!M65+'Rashodi-2021'!M82+'Rashodi-2021'!M424+'Rashodi-2021'!M468+'Rashodi-2021'!M485+'Rashodi-2021'!M390+'Rashodi-2021'!M369+'Rashodi-2021'!M109</f>
        <v>369000</v>
      </c>
      <c r="D14" s="977">
        <f>'Rashodi-2021'!N18+'Rashodi-2021'!N49+'Rashodi-2021'!N65+'Rashodi-2021'!N82+'Rashodi-2021'!N424+'Rashodi-2021'!N468+'Rashodi-2021'!N485+'Rashodi-2021'!N390+'Rashodi-2021'!N369+'Rashodi-2021'!N109</f>
        <v>10000</v>
      </c>
      <c r="E14" s="977">
        <f>'Rashodi-2021'!O18+'Rashodi-2021'!O49+'Rashodi-2021'!O65+'Rashodi-2021'!O82+'Rashodi-2021'!O424+'Rashodi-2021'!O468+'Rashodi-2021'!O485+'Rashodi-2021'!O390+'Rashodi-2021'!O369+'Rashodi-2021'!O109</f>
        <v>0</v>
      </c>
      <c r="F14" s="977">
        <f>'Rashodi-2021'!P18+'Rashodi-2021'!P49+'Rashodi-2021'!P65+'Rashodi-2021'!P82+'Rashodi-2021'!P424+'Rashodi-2021'!P468+'Rashodi-2021'!P485+'Rashodi-2021'!P390+'Rashodi-2021'!P369+'Rashodi-2021'!P109</f>
        <v>0</v>
      </c>
      <c r="G14" s="977">
        <f>'Rashodi-2021'!Q18+'Rashodi-2021'!Q49+'Rashodi-2021'!Q65+'Rashodi-2021'!Q82+'Rashodi-2021'!Q424+'Rashodi-2021'!Q468+'Rashodi-2021'!Q485+'Rashodi-2021'!Q390+'Rashodi-2021'!Q369+'Rashodi-2021'!Q109</f>
        <v>10000</v>
      </c>
      <c r="H14" s="977">
        <f>'Rashodi-2021'!R18+'Rashodi-2021'!R49+'Rashodi-2021'!R65+'Rashodi-2021'!R82+'Rashodi-2021'!R424+'Rashodi-2021'!R468+'Rashodi-2021'!R485+'Rashodi-2021'!R390+'Rashodi-2021'!R369+'Rashodi-2021'!R109</f>
        <v>0</v>
      </c>
      <c r="I14" s="977">
        <f>'Rashodi-2021'!S18+'Rashodi-2021'!S49+'Rashodi-2021'!S65+'Rashodi-2021'!S82+'Rashodi-2021'!S424+'Rashodi-2021'!S468+'Rashodi-2021'!S485+'Rashodi-2021'!S390+'Rashodi-2021'!S369+'Rashodi-2021'!S109</f>
        <v>40000</v>
      </c>
      <c r="J14" s="974">
        <f t="shared" si="2"/>
        <v>429000</v>
      </c>
    </row>
    <row r="15" spans="1:10" ht="13.5" thickBot="1">
      <c r="A15" s="975">
        <v>423</v>
      </c>
      <c r="B15" s="976" t="s">
        <v>35</v>
      </c>
      <c r="C15" s="977">
        <f>'Rashodi-2021'!M21+'Rashodi-2021'!M22+'Rashodi-2021'!M50+'Rashodi-2021'!M51+'Rashodi-2021'!M52+'Rashodi-2021'!M66+'Rashodi-2021'!M68+'Rashodi-2021'!M83+'Rashodi-2021'!M85+'Rashodi-2021'!M410+'Rashodi-2021'!M425+'Rashodi-2021'!M441+'Rashodi-2021'!M454+'Rashodi-2021'!M469+'Rashodi-2021'!M486+'Rashodi-2021'!M500+'Rashodi-2021'!M69+'Rashodi-2021'!M262+'Rashodi-2021'!M306+'Rashodi-2021'!M110+'Rashodi-2021'!M86+'Rashodi-2021'!M19+'Rashodi-2021'!M20+'Rashodi-2021'!M67+'Rashodi-2021'!M87+'Rashodi-2021'!M391+'Rashodi-2021'!M392+'Rashodi-2021'!M401+'Rashodi-2021'!M370+'Rashodi-2021'!M137+'Rashodi-2021'!M119+'Rashodi-2021'!M88+'Rashodi-2021'!M84+'Rashodi-2021'!M487+'Rashodi-2021'!M501+'Rashodi-2021'!M470+'Rashodi-2021'!M455+'Rashodi-2021'!M442+'Rashodi-2021'!M426+'Rashodi-2021'!M411+'Rashodi-2021'!M23</f>
        <v>51432114</v>
      </c>
      <c r="D15" s="977">
        <f>'Rashodi-2021'!N21+'Rashodi-2021'!N22+'Rashodi-2021'!N50+'Rashodi-2021'!N51+'Rashodi-2021'!N52+'Rashodi-2021'!N66+'Rashodi-2021'!N68+'Rashodi-2021'!N83+'Rashodi-2021'!N85+'Rashodi-2021'!N410+'Rashodi-2021'!N425+'Rashodi-2021'!N441+'Rashodi-2021'!N454+'Rashodi-2021'!N469+'Rashodi-2021'!N486+'Rashodi-2021'!N500+'Rashodi-2021'!N69+'Rashodi-2021'!N262+'Rashodi-2021'!N306+'Rashodi-2021'!N110+'Rashodi-2021'!N86+'Rashodi-2021'!N19+'Rashodi-2021'!N20+'Rashodi-2021'!N67+'Rashodi-2021'!N87+'Rashodi-2021'!N391+'Rashodi-2021'!N392+'Rashodi-2021'!N401+'Rashodi-2021'!N370+'Rashodi-2021'!N137+'Rashodi-2021'!N119+'Rashodi-2021'!N88+'Rashodi-2021'!N84+'Rashodi-2021'!N487+'Rashodi-2021'!N501+'Rashodi-2021'!N470+'Rashodi-2021'!N455+'Rashodi-2021'!N442+'Rashodi-2021'!N426+'Rashodi-2021'!N411+'Rashodi-2021'!N23</f>
        <v>30000</v>
      </c>
      <c r="E15" s="977">
        <f>'Rashodi-2021'!O21+'Rashodi-2021'!O22+'Rashodi-2021'!O50+'Rashodi-2021'!O51+'Rashodi-2021'!O52+'Rashodi-2021'!O66+'Rashodi-2021'!O68+'Rashodi-2021'!O83+'Rashodi-2021'!O85+'Rashodi-2021'!O410+'Rashodi-2021'!O425+'Rashodi-2021'!O441+'Rashodi-2021'!O454+'Rashodi-2021'!O469+'Rashodi-2021'!O486+'Rashodi-2021'!O500+'Rashodi-2021'!O69+'Rashodi-2021'!O262+'Rashodi-2021'!O306+'Rashodi-2021'!O110+'Rashodi-2021'!O86+'Rashodi-2021'!O19+'Rashodi-2021'!O20+'Rashodi-2021'!O67+'Rashodi-2021'!O87+'Rashodi-2021'!O391+'Rashodi-2021'!O392+'Rashodi-2021'!O401+'Rashodi-2021'!O370+'Rashodi-2021'!O137+'Rashodi-2021'!O119+'Rashodi-2021'!O88+'Rashodi-2021'!O84+'Rashodi-2021'!O487+'Rashodi-2021'!O501+'Rashodi-2021'!O470+'Rashodi-2021'!O455+'Rashodi-2021'!O442+'Rashodi-2021'!O426+'Rashodi-2021'!O411+'Rashodi-2021'!O23</f>
        <v>0</v>
      </c>
      <c r="F15" s="977">
        <f>'Rashodi-2021'!P21+'Rashodi-2021'!P22+'Rashodi-2021'!P50+'Rashodi-2021'!P51+'Rashodi-2021'!P52+'Rashodi-2021'!P66+'Rashodi-2021'!P68+'Rashodi-2021'!P83+'Rashodi-2021'!P85+'Rashodi-2021'!P410+'Rashodi-2021'!P425+'Rashodi-2021'!P441+'Rashodi-2021'!P454+'Rashodi-2021'!P469+'Rashodi-2021'!P486+'Rashodi-2021'!P500+'Rashodi-2021'!P69+'Rashodi-2021'!P262+'Rashodi-2021'!P306+'Rashodi-2021'!P110+'Rashodi-2021'!P86+'Rashodi-2021'!P19+'Rashodi-2021'!P20+'Rashodi-2021'!P67+'Rashodi-2021'!P87+'Rashodi-2021'!P391+'Rashodi-2021'!P392+'Rashodi-2021'!P401+'Rashodi-2021'!P370+'Rashodi-2021'!P137+'Rashodi-2021'!P119+'Rashodi-2021'!P88+'Rashodi-2021'!P84+'Rashodi-2021'!P487+'Rashodi-2021'!P501+'Rashodi-2021'!P470+'Rashodi-2021'!P455+'Rashodi-2021'!P442+'Rashodi-2021'!P426+'Rashodi-2021'!P411+'Rashodi-2021'!P23</f>
        <v>1919866</v>
      </c>
      <c r="G15" s="977">
        <f>'Rashodi-2021'!Q21+'Rashodi-2021'!Q22+'Rashodi-2021'!Q50+'Rashodi-2021'!Q51+'Rashodi-2021'!Q52+'Rashodi-2021'!Q66+'Rashodi-2021'!Q68+'Rashodi-2021'!Q83+'Rashodi-2021'!Q85+'Rashodi-2021'!Q410+'Rashodi-2021'!Q425+'Rashodi-2021'!Q441+'Rashodi-2021'!Q454+'Rashodi-2021'!Q469+'Rashodi-2021'!Q486+'Rashodi-2021'!Q500+'Rashodi-2021'!Q69+'Rashodi-2021'!Q262+'Rashodi-2021'!Q306+'Rashodi-2021'!Q110+'Rashodi-2021'!Q86+'Rashodi-2021'!Q19+'Rashodi-2021'!Q20+'Rashodi-2021'!Q67+'Rashodi-2021'!Q87+'Rashodi-2021'!Q391+'Rashodi-2021'!Q392+'Rashodi-2021'!Q401+'Rashodi-2021'!Q370+'Rashodi-2021'!Q137+'Rashodi-2021'!Q119+'Rashodi-2021'!Q88+'Rashodi-2021'!Q84+'Rashodi-2021'!Q487+'Rashodi-2021'!Q501+'Rashodi-2021'!Q470+'Rashodi-2021'!Q455+'Rashodi-2021'!Q442+'Rashodi-2021'!Q426+'Rashodi-2021'!Q411+'Rashodi-2021'!Q23</f>
        <v>1779609</v>
      </c>
      <c r="H15" s="977">
        <f>'Rashodi-2021'!R21+'Rashodi-2021'!R22+'Rashodi-2021'!R50+'Rashodi-2021'!R51+'Rashodi-2021'!R52+'Rashodi-2021'!R66+'Rashodi-2021'!R68+'Rashodi-2021'!R83+'Rashodi-2021'!R85+'Rashodi-2021'!R410+'Rashodi-2021'!R425+'Rashodi-2021'!R441+'Rashodi-2021'!R454+'Rashodi-2021'!R469+'Rashodi-2021'!R486+'Rashodi-2021'!R500+'Rashodi-2021'!R69+'Rashodi-2021'!R262+'Rashodi-2021'!R306+'Rashodi-2021'!R110+'Rashodi-2021'!R86+'Rashodi-2021'!R19+'Rashodi-2021'!R20+'Rashodi-2021'!R67+'Rashodi-2021'!R87+'Rashodi-2021'!R391+'Rashodi-2021'!R392+'Rashodi-2021'!R401+'Rashodi-2021'!R370+'Rashodi-2021'!R137+'Rashodi-2021'!R119+'Rashodi-2021'!R88+'Rashodi-2021'!R84+'Rashodi-2021'!R487+'Rashodi-2021'!R501+'Rashodi-2021'!R470+'Rashodi-2021'!R455+'Rashodi-2021'!R442+'Rashodi-2021'!R426+'Rashodi-2021'!R411+'Rashodi-2021'!R23</f>
        <v>0</v>
      </c>
      <c r="I15" s="977">
        <f>'Rashodi-2021'!S21+'Rashodi-2021'!S22+'Rashodi-2021'!S50+'Rashodi-2021'!S51+'Rashodi-2021'!S52+'Rashodi-2021'!S66+'Rashodi-2021'!S68+'Rashodi-2021'!S83+'Rashodi-2021'!S85+'Rashodi-2021'!S410+'Rashodi-2021'!S425+'Rashodi-2021'!S441+'Rashodi-2021'!S454+'Rashodi-2021'!S469+'Rashodi-2021'!S486+'Rashodi-2021'!S500+'Rashodi-2021'!S69+'Rashodi-2021'!S262+'Rashodi-2021'!S306+'Rashodi-2021'!S110+'Rashodi-2021'!S86+'Rashodi-2021'!S19+'Rashodi-2021'!S20+'Rashodi-2021'!S67+'Rashodi-2021'!S87+'Rashodi-2021'!S391+'Rashodi-2021'!S392+'Rashodi-2021'!S401+'Rashodi-2021'!S370+'Rashodi-2021'!S137+'Rashodi-2021'!S119+'Rashodi-2021'!S88+'Rashodi-2021'!S84+'Rashodi-2021'!S487+'Rashodi-2021'!S501+'Rashodi-2021'!S470+'Rashodi-2021'!S455+'Rashodi-2021'!S442+'Rashodi-2021'!S426+'Rashodi-2021'!S411+'Rashodi-2021'!S23</f>
        <v>385000</v>
      </c>
      <c r="J15" s="974">
        <f t="shared" si="2"/>
        <v>55546589</v>
      </c>
    </row>
    <row r="16" spans="1:10" ht="13.5" thickBot="1">
      <c r="A16" s="975">
        <v>424</v>
      </c>
      <c r="B16" s="976" t="s">
        <v>36</v>
      </c>
      <c r="C16" s="977">
        <f>'Rashodi-2021'!M89+'Rashodi-2021'!M427+'Rashodi-2021'!M471+'Rashodi-2021'!M502+'Rashodi-2021'!M263+'Rashodi-2021'!M264+'Rashodi-2021'!M265+'Rashodi-2021'!M307+'Rashodi-2021'!M53+'Rashodi-2021'!M278+'Rashodi-2021'!M120+'Rashodi-2021'!M393+'Rashodi-2021'!M402+'Rashodi-2021'!M371+'Rashodi-2021'!M257+'Rashodi-2021'!M282+'Rashodi-2021'!M296+'Rashodi-2021'!M343+'Rashodi-2021'!M318+'Rashodi-2021'!M285+'Rashodi-2021'!M344+'Rashodi-2021'!M348+'Rashodi-2021'!M283+'Rashodi-2021'!M308+'Rashodi-2021'!M345+'Rashodi-2021'!M346+'Rashodi-2021'!M347+'Rashodi-2021'!M297+'Rashodi-2021'!M319+'Rashodi-2021'!M301</f>
        <v>31712000</v>
      </c>
      <c r="D16" s="977">
        <f>'Rashodi-2021'!N89+'Rashodi-2021'!N427+'Rashodi-2021'!N471+'Rashodi-2021'!N502+'Rashodi-2021'!N263+'Rashodi-2021'!N264+'Rashodi-2021'!N265+'Rashodi-2021'!N307+'Rashodi-2021'!N53+'Rashodi-2021'!N278+'Rashodi-2021'!N120+'Rashodi-2021'!N393+'Rashodi-2021'!N402+'Rashodi-2021'!N371+'Rashodi-2021'!N257+'Rashodi-2021'!N282+'Rashodi-2021'!N296+'Rashodi-2021'!N343+'Rashodi-2021'!N318+'Rashodi-2021'!N285+'Rashodi-2021'!N344+'Rashodi-2021'!N348+'Rashodi-2021'!N283+'Rashodi-2021'!N308+'Rashodi-2021'!N345+'Rashodi-2021'!N346+'Rashodi-2021'!N347+'Rashodi-2021'!N297+'Rashodi-2021'!N319+'Rashodi-2021'!N301</f>
        <v>30000</v>
      </c>
      <c r="E16" s="977">
        <f>'Rashodi-2021'!O89+'Rashodi-2021'!O427+'Rashodi-2021'!O471+'Rashodi-2021'!O502+'Rashodi-2021'!O263+'Rashodi-2021'!O264+'Rashodi-2021'!O265+'Rashodi-2021'!O307+'Rashodi-2021'!O53+'Rashodi-2021'!O278+'Rashodi-2021'!O120+'Rashodi-2021'!O393+'Rashodi-2021'!O402+'Rashodi-2021'!O371+'Rashodi-2021'!O257+'Rashodi-2021'!O282+'Rashodi-2021'!O296+'Rashodi-2021'!O343+'Rashodi-2021'!O318+'Rashodi-2021'!O285+'Rashodi-2021'!O344+'Rashodi-2021'!O348+'Rashodi-2021'!O283+'Rashodi-2021'!O308+'Rashodi-2021'!O345+'Rashodi-2021'!O346+'Rashodi-2021'!O347+'Rashodi-2021'!O297+'Rashodi-2021'!O319+'Rashodi-2021'!O301</f>
        <v>0</v>
      </c>
      <c r="F16" s="977">
        <f>'Rashodi-2021'!P89+'Rashodi-2021'!P427+'Rashodi-2021'!P471+'Rashodi-2021'!P502+'Rashodi-2021'!P263+'Rashodi-2021'!P264+'Rashodi-2021'!P265+'Rashodi-2021'!P307+'Rashodi-2021'!P53+'Rashodi-2021'!P278+'Rashodi-2021'!P120+'Rashodi-2021'!P393+'Rashodi-2021'!P402+'Rashodi-2021'!P371+'Rashodi-2021'!P257+'Rashodi-2021'!P282+'Rashodi-2021'!P296+'Rashodi-2021'!P343+'Rashodi-2021'!P318+'Rashodi-2021'!P285+'Rashodi-2021'!P344+'Rashodi-2021'!P348+'Rashodi-2021'!P283+'Rashodi-2021'!P308+'Rashodi-2021'!P345+'Rashodi-2021'!P346+'Rashodi-2021'!P347+'Rashodi-2021'!P297+'Rashodi-2021'!P319+'Rashodi-2021'!P301</f>
        <v>19121000</v>
      </c>
      <c r="G16" s="977">
        <f>'Rashodi-2021'!Q89+'Rashodi-2021'!Q427+'Rashodi-2021'!Q471+'Rashodi-2021'!Q502+'Rashodi-2021'!Q263+'Rashodi-2021'!Q264+'Rashodi-2021'!Q265+'Rashodi-2021'!Q307+'Rashodi-2021'!Q53+'Rashodi-2021'!Q278+'Rashodi-2021'!Q120+'Rashodi-2021'!Q393+'Rashodi-2021'!Q402+'Rashodi-2021'!Q371+'Rashodi-2021'!Q257+'Rashodi-2021'!Q282+'Rashodi-2021'!Q296+'Rashodi-2021'!Q343+'Rashodi-2021'!Q318+'Rashodi-2021'!Q285+'Rashodi-2021'!Q344+'Rashodi-2021'!Q348+'Rashodi-2021'!Q283+'Rashodi-2021'!Q308+'Rashodi-2021'!Q345+'Rashodi-2021'!Q346+'Rashodi-2021'!Q347+'Rashodi-2021'!Q297+'Rashodi-2021'!Q319+'Rashodi-2021'!Q301</f>
        <v>36040600</v>
      </c>
      <c r="H16" s="977">
        <f>'Rashodi-2021'!R89+'Rashodi-2021'!R427+'Rashodi-2021'!R471+'Rashodi-2021'!R502+'Rashodi-2021'!R263+'Rashodi-2021'!R264+'Rashodi-2021'!R265+'Rashodi-2021'!R307+'Rashodi-2021'!R53+'Rashodi-2021'!R278+'Rashodi-2021'!R120+'Rashodi-2021'!R393+'Rashodi-2021'!R402+'Rashodi-2021'!R371+'Rashodi-2021'!R257+'Rashodi-2021'!R282+'Rashodi-2021'!R296+'Rashodi-2021'!R343+'Rashodi-2021'!R318+'Rashodi-2021'!R285+'Rashodi-2021'!R344+'Rashodi-2021'!R348+'Rashodi-2021'!R283+'Rashodi-2021'!R308+'Rashodi-2021'!R345+'Rashodi-2021'!R346+'Rashodi-2021'!R347+'Rashodi-2021'!R297+'Rashodi-2021'!R319+'Rashodi-2021'!R301</f>
        <v>0</v>
      </c>
      <c r="I16" s="977">
        <f>'Rashodi-2021'!S89+'Rashodi-2021'!S427+'Rashodi-2021'!S471+'Rashodi-2021'!S502+'Rashodi-2021'!S263+'Rashodi-2021'!S264+'Rashodi-2021'!S265+'Rashodi-2021'!S307+'Rashodi-2021'!S53+'Rashodi-2021'!S278+'Rashodi-2021'!S120+'Rashodi-2021'!S393+'Rashodi-2021'!S402+'Rashodi-2021'!S371+'Rashodi-2021'!S257+'Rashodi-2021'!S282+'Rashodi-2021'!S296+'Rashodi-2021'!S343+'Rashodi-2021'!S318+'Rashodi-2021'!S285+'Rashodi-2021'!S344+'Rashodi-2021'!S348+'Rashodi-2021'!S283+'Rashodi-2021'!S308+'Rashodi-2021'!S345+'Rashodi-2021'!S346+'Rashodi-2021'!S347+'Rashodi-2021'!S297+'Rashodi-2021'!S319+'Rashodi-2021'!S301</f>
        <v>0</v>
      </c>
      <c r="J16" s="974">
        <f t="shared" si="2"/>
        <v>86903600</v>
      </c>
    </row>
    <row r="17" spans="1:10" ht="13.5" thickBot="1">
      <c r="A17" s="975">
        <v>425</v>
      </c>
      <c r="B17" s="976" t="s">
        <v>37</v>
      </c>
      <c r="C17" s="977">
        <f>'Rashodi-2021'!M90+'Rashodi-2021'!M412+'Rashodi-2021'!M428+'Rashodi-2021'!M443+'Rashodi-2021'!M456+'Rashodi-2021'!M472+'Rashodi-2021'!M488+'Rashodi-2021'!M503+'Rashodi-2021'!M266+'Rashodi-2021'!M91+'Rashodi-2021'!M394+'Rashodi-2021'!M372+'Rashodi-2021'!M293+'Rashodi-2021'!M349+'Rashodi-2021'!M298+'Rashodi-2021'!M350+'Rashodi-2021'!M288+'Rashodi-2021'!M351+'Rashodi-2021'!M302</f>
        <v>27965000</v>
      </c>
      <c r="D17" s="977">
        <f>'Rashodi-2021'!N90+'Rashodi-2021'!N412+'Rashodi-2021'!N428+'Rashodi-2021'!N443+'Rashodi-2021'!N456+'Rashodi-2021'!N472+'Rashodi-2021'!N488+'Rashodi-2021'!N503+'Rashodi-2021'!N266+'Rashodi-2021'!N91+'Rashodi-2021'!N394+'Rashodi-2021'!N372+'Rashodi-2021'!N293+'Rashodi-2021'!N349+'Rashodi-2021'!N298+'Rashodi-2021'!N350+'Rashodi-2021'!N288+'Rashodi-2021'!N351+'Rashodi-2021'!N302</f>
        <v>5000</v>
      </c>
      <c r="E17" s="977">
        <f>'Rashodi-2021'!O90+'Rashodi-2021'!O412+'Rashodi-2021'!O428+'Rashodi-2021'!O443+'Rashodi-2021'!O456+'Rashodi-2021'!O472+'Rashodi-2021'!O488+'Rashodi-2021'!O503+'Rashodi-2021'!O266+'Rashodi-2021'!O91+'Rashodi-2021'!O394+'Rashodi-2021'!O372+'Rashodi-2021'!O293+'Rashodi-2021'!O349+'Rashodi-2021'!O298+'Rashodi-2021'!O350+'Rashodi-2021'!O288+'Rashodi-2021'!O351+'Rashodi-2021'!O302</f>
        <v>0</v>
      </c>
      <c r="F17" s="977">
        <f>'Rashodi-2021'!P90+'Rashodi-2021'!P412+'Rashodi-2021'!P428+'Rashodi-2021'!P443+'Rashodi-2021'!P456+'Rashodi-2021'!P472+'Rashodi-2021'!P488+'Rashodi-2021'!P503+'Rashodi-2021'!P266+'Rashodi-2021'!P91+'Rashodi-2021'!P394+'Rashodi-2021'!P372+'Rashodi-2021'!P293+'Rashodi-2021'!P349+'Rashodi-2021'!P298+'Rashodi-2021'!P350+'Rashodi-2021'!P288+'Rashodi-2021'!P351+'Rashodi-2021'!P302</f>
        <v>14236489.5</v>
      </c>
      <c r="G17" s="977">
        <f>'Rashodi-2021'!Q90+'Rashodi-2021'!Q412+'Rashodi-2021'!Q428+'Rashodi-2021'!Q443+'Rashodi-2021'!Q456+'Rashodi-2021'!Q472+'Rashodi-2021'!Q488+'Rashodi-2021'!Q503+'Rashodi-2021'!Q266+'Rashodi-2021'!Q91+'Rashodi-2021'!Q394+'Rashodi-2021'!Q372+'Rashodi-2021'!Q293+'Rashodi-2021'!Q349+'Rashodi-2021'!Q298+'Rashodi-2021'!Q350+'Rashodi-2021'!Q288+'Rashodi-2021'!Q351+'Rashodi-2021'!Q302</f>
        <v>10837789</v>
      </c>
      <c r="H17" s="977">
        <f>'Rashodi-2021'!R90+'Rashodi-2021'!R412+'Rashodi-2021'!R428+'Rashodi-2021'!R443+'Rashodi-2021'!R456+'Rashodi-2021'!R472+'Rashodi-2021'!R488+'Rashodi-2021'!R503+'Rashodi-2021'!R266+'Rashodi-2021'!R91+'Rashodi-2021'!R394+'Rashodi-2021'!R372+'Rashodi-2021'!R293+'Rashodi-2021'!R349+'Rashodi-2021'!R298+'Rashodi-2021'!R350+'Rashodi-2021'!R288+'Rashodi-2021'!R351+'Rashodi-2021'!R302</f>
        <v>0</v>
      </c>
      <c r="I17" s="977">
        <f>'Rashodi-2021'!S90+'Rashodi-2021'!S412+'Rashodi-2021'!S428+'Rashodi-2021'!S443+'Rashodi-2021'!S456+'Rashodi-2021'!S472+'Rashodi-2021'!S488+'Rashodi-2021'!S503+'Rashodi-2021'!S266+'Rashodi-2021'!S91+'Rashodi-2021'!S394+'Rashodi-2021'!S372+'Rashodi-2021'!S293+'Rashodi-2021'!S349+'Rashodi-2021'!S298+'Rashodi-2021'!S350+'Rashodi-2021'!S288+'Rashodi-2021'!S351+'Rashodi-2021'!S302</f>
        <v>0</v>
      </c>
      <c r="J17" s="974">
        <f t="shared" si="2"/>
        <v>53044278.5</v>
      </c>
    </row>
    <row r="18" spans="1:10" ht="13.5" thickBot="1">
      <c r="A18" s="978">
        <v>426</v>
      </c>
      <c r="B18" s="979" t="s">
        <v>38</v>
      </c>
      <c r="C18" s="980">
        <f>'Rashodi-2021'!M24+'Rashodi-2021'!M54+'Rashodi-2021'!M70+'Rashodi-2021'!M92+'Rashodi-2021'!M413+'Rashodi-2021'!M429+'Rashodi-2021'!M444+'Rashodi-2021'!M457+'Rashodi-2021'!M473+'Rashodi-2021'!M489+'Rashodi-2021'!M504+'Rashodi-2021'!M267+'Rashodi-2021'!M268+'Rashodi-2021'!M111+'Rashodi-2021'!M93+'Rashodi-2021'!M395+'Rashodi-2021'!M403+'Rashodi-2021'!M373+'Rashodi-2021'!M39+'Rashodi-2021'!M122+'Rashodi-2021'!M490+'Rashodi-2021'!M505+'Rashodi-2021'!M474+'Rashodi-2021'!M458+'Rashodi-2021'!M445+'Rashodi-2021'!M430+'Rashodi-2021'!M414+'Rashodi-2021'!M25</f>
        <v>11857247</v>
      </c>
      <c r="D18" s="980">
        <f>'Rashodi-2021'!N24+'Rashodi-2021'!N54+'Rashodi-2021'!N70+'Rashodi-2021'!N92+'Rashodi-2021'!N413+'Rashodi-2021'!N429+'Rashodi-2021'!N444+'Rashodi-2021'!N457+'Rashodi-2021'!N473+'Rashodi-2021'!N489+'Rashodi-2021'!N504+'Rashodi-2021'!N267+'Rashodi-2021'!N268+'Rashodi-2021'!N111+'Rashodi-2021'!N93+'Rashodi-2021'!N395+'Rashodi-2021'!N403+'Rashodi-2021'!N373+'Rashodi-2021'!N39+'Rashodi-2021'!N122+'Rashodi-2021'!N490+'Rashodi-2021'!N505+'Rashodi-2021'!N474+'Rashodi-2021'!N458+'Rashodi-2021'!N445+'Rashodi-2021'!N430+'Rashodi-2021'!N414+'Rashodi-2021'!N25</f>
        <v>51500</v>
      </c>
      <c r="E18" s="980">
        <f>'Rashodi-2021'!O24+'Rashodi-2021'!O54+'Rashodi-2021'!O70+'Rashodi-2021'!O92+'Rashodi-2021'!O413+'Rashodi-2021'!O429+'Rashodi-2021'!O444+'Rashodi-2021'!O457+'Rashodi-2021'!O473+'Rashodi-2021'!O489+'Rashodi-2021'!O504+'Rashodi-2021'!O267+'Rashodi-2021'!O268+'Rashodi-2021'!O111+'Rashodi-2021'!O93+'Rashodi-2021'!O395+'Rashodi-2021'!O403+'Rashodi-2021'!O373+'Rashodi-2021'!O39+'Rashodi-2021'!O122+'Rashodi-2021'!O490+'Rashodi-2021'!O505+'Rashodi-2021'!O474+'Rashodi-2021'!O458+'Rashodi-2021'!O445+'Rashodi-2021'!O430+'Rashodi-2021'!O414+'Rashodi-2021'!O25</f>
        <v>0</v>
      </c>
      <c r="F18" s="980">
        <f>'Rashodi-2021'!P24+'Rashodi-2021'!P54+'Rashodi-2021'!P70+'Rashodi-2021'!P92+'Rashodi-2021'!P413+'Rashodi-2021'!P429+'Rashodi-2021'!P444+'Rashodi-2021'!P457+'Rashodi-2021'!P473+'Rashodi-2021'!P489+'Rashodi-2021'!P504+'Rashodi-2021'!P267+'Rashodi-2021'!P268+'Rashodi-2021'!P111+'Rashodi-2021'!P93+'Rashodi-2021'!P395+'Rashodi-2021'!P403+'Rashodi-2021'!P373+'Rashodi-2021'!P39+'Rashodi-2021'!P122+'Rashodi-2021'!P490+'Rashodi-2021'!P505+'Rashodi-2021'!P474+'Rashodi-2021'!P458+'Rashodi-2021'!P445+'Rashodi-2021'!P430+'Rashodi-2021'!P414+'Rashodi-2021'!P25</f>
        <v>1972956</v>
      </c>
      <c r="G18" s="980">
        <f>'Rashodi-2021'!Q24+'Rashodi-2021'!Q54+'Rashodi-2021'!Q70+'Rashodi-2021'!Q92+'Rashodi-2021'!Q413+'Rashodi-2021'!Q429+'Rashodi-2021'!Q444+'Rashodi-2021'!Q457+'Rashodi-2021'!Q473+'Rashodi-2021'!Q489+'Rashodi-2021'!Q504+'Rashodi-2021'!Q267+'Rashodi-2021'!Q268+'Rashodi-2021'!Q111+'Rashodi-2021'!Q93+'Rashodi-2021'!Q395+'Rashodi-2021'!Q403+'Rashodi-2021'!Q373+'Rashodi-2021'!Q39+'Rashodi-2021'!Q122+'Rashodi-2021'!Q490+'Rashodi-2021'!Q505+'Rashodi-2021'!Q474+'Rashodi-2021'!Q458+'Rashodi-2021'!Q445+'Rashodi-2021'!Q430+'Rashodi-2021'!Q414+'Rashodi-2021'!Q25</f>
        <v>472125</v>
      </c>
      <c r="H18" s="980">
        <f>'Rashodi-2021'!R24+'Rashodi-2021'!R54+'Rashodi-2021'!R70+'Rashodi-2021'!R92+'Rashodi-2021'!R413+'Rashodi-2021'!R429+'Rashodi-2021'!R444+'Rashodi-2021'!R457+'Rashodi-2021'!R473+'Rashodi-2021'!R489+'Rashodi-2021'!R504+'Rashodi-2021'!R267+'Rashodi-2021'!R268+'Rashodi-2021'!R111+'Rashodi-2021'!R93+'Rashodi-2021'!R395+'Rashodi-2021'!R403+'Rashodi-2021'!R373+'Rashodi-2021'!R39+'Rashodi-2021'!R122+'Rashodi-2021'!R490+'Rashodi-2021'!R505+'Rashodi-2021'!R474+'Rashodi-2021'!R458+'Rashodi-2021'!R445+'Rashodi-2021'!R430+'Rashodi-2021'!R414+'Rashodi-2021'!R25</f>
        <v>0</v>
      </c>
      <c r="I18" s="980">
        <f>'Rashodi-2021'!S24+'Rashodi-2021'!S54+'Rashodi-2021'!S70+'Rashodi-2021'!S92+'Rashodi-2021'!S413+'Rashodi-2021'!S429+'Rashodi-2021'!S444+'Rashodi-2021'!S457+'Rashodi-2021'!S473+'Rashodi-2021'!S489+'Rashodi-2021'!S504+'Rashodi-2021'!S267+'Rashodi-2021'!S268+'Rashodi-2021'!S111+'Rashodi-2021'!S93+'Rashodi-2021'!S395+'Rashodi-2021'!S403+'Rashodi-2021'!S373+'Rashodi-2021'!S39+'Rashodi-2021'!S122+'Rashodi-2021'!S490+'Rashodi-2021'!S505+'Rashodi-2021'!S474+'Rashodi-2021'!S458+'Rashodi-2021'!S445+'Rashodi-2021'!S430+'Rashodi-2021'!S414+'Rashodi-2021'!S25</f>
        <v>0</v>
      </c>
      <c r="J18" s="974">
        <f t="shared" si="2"/>
        <v>14353828</v>
      </c>
    </row>
    <row r="19" spans="1:10" s="23" customFormat="1" ht="15" customHeight="1" thickBot="1">
      <c r="A19" s="968">
        <v>44</v>
      </c>
      <c r="B19" s="983" t="s">
        <v>40</v>
      </c>
      <c r="C19" s="982">
        <f>SUM(C20:C21)</f>
        <v>6000</v>
      </c>
      <c r="D19" s="982">
        <f aca="true" t="shared" si="4" ref="D19:I19">SUM(D20:D21)</f>
        <v>0</v>
      </c>
      <c r="E19" s="982">
        <f t="shared" si="4"/>
        <v>0</v>
      </c>
      <c r="F19" s="982">
        <f t="shared" si="4"/>
        <v>0</v>
      </c>
      <c r="G19" s="982">
        <f t="shared" si="4"/>
        <v>0</v>
      </c>
      <c r="H19" s="982">
        <f t="shared" si="4"/>
        <v>0</v>
      </c>
      <c r="I19" s="982">
        <f t="shared" si="4"/>
        <v>0</v>
      </c>
      <c r="J19" s="967">
        <f t="shared" si="2"/>
        <v>6000</v>
      </c>
    </row>
    <row r="20" spans="1:10" ht="13.5" thickBot="1">
      <c r="A20" s="971">
        <v>441</v>
      </c>
      <c r="B20" s="972" t="s">
        <v>41</v>
      </c>
      <c r="C20" s="973">
        <f>'Rashodi-2021'!M431</f>
        <v>5000</v>
      </c>
      <c r="D20" s="973">
        <f>'Rashodi-2021'!N431</f>
        <v>0</v>
      </c>
      <c r="E20" s="973">
        <f>'Rashodi-2021'!O431</f>
        <v>0</v>
      </c>
      <c r="F20" s="973">
        <f>'Rashodi-2021'!P431</f>
        <v>0</v>
      </c>
      <c r="G20" s="973">
        <f>'Rashodi-2021'!Q431</f>
        <v>0</v>
      </c>
      <c r="H20" s="973">
        <f>'Rashodi-2021'!R431</f>
        <v>0</v>
      </c>
      <c r="I20" s="973">
        <f>'Rashodi-2021'!S431</f>
        <v>0</v>
      </c>
      <c r="J20" s="987">
        <f t="shared" si="2"/>
        <v>5000</v>
      </c>
    </row>
    <row r="21" spans="1:10" ht="13.5" thickBot="1">
      <c r="A21" s="984">
        <v>444</v>
      </c>
      <c r="B21" s="985" t="s">
        <v>212</v>
      </c>
      <c r="C21" s="986">
        <f>'Rashodi-2021'!M374</f>
        <v>1000</v>
      </c>
      <c r="D21" s="986">
        <f>'Rashodi-2021'!N374</f>
        <v>0</v>
      </c>
      <c r="E21" s="986">
        <f>'Rashodi-2021'!O374</f>
        <v>0</v>
      </c>
      <c r="F21" s="986">
        <f>'Rashodi-2021'!P374</f>
        <v>0</v>
      </c>
      <c r="G21" s="986">
        <f>'Rashodi-2021'!Q374</f>
        <v>0</v>
      </c>
      <c r="H21" s="986">
        <f>'Rashodi-2021'!R374</f>
        <v>0</v>
      </c>
      <c r="I21" s="986">
        <f>'Rashodi-2021'!S374</f>
        <v>0</v>
      </c>
      <c r="J21" s="987">
        <f t="shared" si="2"/>
        <v>1000</v>
      </c>
    </row>
    <row r="22" spans="1:10" s="23" customFormat="1" ht="15" customHeight="1" thickBot="1">
      <c r="A22" s="968">
        <v>45</v>
      </c>
      <c r="B22" s="988" t="s">
        <v>1307</v>
      </c>
      <c r="C22" s="982">
        <f>C23+C24</f>
        <v>15900000</v>
      </c>
      <c r="D22" s="982">
        <f aca="true" t="shared" si="5" ref="D22:I22">D23+D24</f>
        <v>0</v>
      </c>
      <c r="E22" s="982">
        <f t="shared" si="5"/>
        <v>0</v>
      </c>
      <c r="F22" s="982">
        <f t="shared" si="5"/>
        <v>0</v>
      </c>
      <c r="G22" s="982">
        <f t="shared" si="5"/>
        <v>15000000</v>
      </c>
      <c r="H22" s="982">
        <f t="shared" si="5"/>
        <v>0</v>
      </c>
      <c r="I22" s="982">
        <f t="shared" si="5"/>
        <v>0</v>
      </c>
      <c r="J22" s="967">
        <f t="shared" si="2"/>
        <v>30900000</v>
      </c>
    </row>
    <row r="23" spans="1:10" ht="13.5" thickBot="1">
      <c r="A23" s="989">
        <v>451</v>
      </c>
      <c r="B23" s="990" t="s">
        <v>1308</v>
      </c>
      <c r="C23" s="991">
        <f>'Rashodi-2021'!M279+'Rashodi-2021'!M269+'Rashodi-2021'!M311</f>
        <v>12400000</v>
      </c>
      <c r="D23" s="991">
        <f>'Rashodi-2021'!N279+'Rashodi-2021'!N269+'Rashodi-2021'!N311</f>
        <v>0</v>
      </c>
      <c r="E23" s="991">
        <f>'Rashodi-2021'!O279+'Rashodi-2021'!O269+'Rashodi-2021'!O311</f>
        <v>0</v>
      </c>
      <c r="F23" s="991">
        <f>'Rashodi-2021'!P279+'Rashodi-2021'!P269+'Rashodi-2021'!P311</f>
        <v>0</v>
      </c>
      <c r="G23" s="991">
        <f>'Rashodi-2021'!Q279+'Rashodi-2021'!Q269+'Rashodi-2021'!Q311</f>
        <v>15000000</v>
      </c>
      <c r="H23" s="991">
        <f>'Rashodi-2021'!R279+'Rashodi-2021'!R269+'Rashodi-2021'!R311</f>
        <v>0</v>
      </c>
      <c r="I23" s="991">
        <f>'Rashodi-2021'!S279+'Rashodi-2021'!S269+'Rashodi-2021'!S311</f>
        <v>0</v>
      </c>
      <c r="J23" s="987">
        <f t="shared" si="2"/>
        <v>27400000</v>
      </c>
    </row>
    <row r="24" spans="1:10" ht="13.5" thickBot="1">
      <c r="A24" s="989">
        <v>454</v>
      </c>
      <c r="B24" s="990" t="s">
        <v>1526</v>
      </c>
      <c r="C24" s="991">
        <f>'Rashodi-2021'!M272+'Rashodi-2021'!M335</f>
        <v>3500000</v>
      </c>
      <c r="D24" s="991">
        <f>'Rashodi-2021'!N272+'Rashodi-2021'!N335</f>
        <v>0</v>
      </c>
      <c r="E24" s="991">
        <f>'Rashodi-2021'!O272+'Rashodi-2021'!O335</f>
        <v>0</v>
      </c>
      <c r="F24" s="991">
        <f>'Rashodi-2021'!P272+'Rashodi-2021'!P335</f>
        <v>0</v>
      </c>
      <c r="G24" s="991">
        <f>'Rashodi-2021'!Q272+'Rashodi-2021'!Q335</f>
        <v>0</v>
      </c>
      <c r="H24" s="991">
        <f>'Rashodi-2021'!R272+'Rashodi-2021'!R335</f>
        <v>0</v>
      </c>
      <c r="I24" s="991">
        <f>'Rashodi-2021'!S272+'Rashodi-2021'!S335</f>
        <v>0</v>
      </c>
      <c r="J24" s="987">
        <f t="shared" si="2"/>
        <v>3500000</v>
      </c>
    </row>
    <row r="25" spans="1:10" s="23" customFormat="1" ht="15" customHeight="1" thickBot="1">
      <c r="A25" s="968">
        <v>46</v>
      </c>
      <c r="B25" s="988" t="s">
        <v>42</v>
      </c>
      <c r="C25" s="982">
        <f>SUM(C26:C28)</f>
        <v>99084201</v>
      </c>
      <c r="D25" s="982">
        <f aca="true" t="shared" si="6" ref="D25:I25">SUM(D26:D28)</f>
        <v>0</v>
      </c>
      <c r="E25" s="982">
        <f t="shared" si="6"/>
        <v>0</v>
      </c>
      <c r="F25" s="982">
        <f t="shared" si="6"/>
        <v>2156458</v>
      </c>
      <c r="G25" s="982">
        <f t="shared" si="6"/>
        <v>250000</v>
      </c>
      <c r="H25" s="982">
        <f t="shared" si="6"/>
        <v>0</v>
      </c>
      <c r="I25" s="982">
        <f t="shared" si="6"/>
        <v>0</v>
      </c>
      <c r="J25" s="967">
        <f t="shared" si="2"/>
        <v>101490659</v>
      </c>
    </row>
    <row r="26" spans="1:10" ht="13.5" thickBot="1">
      <c r="A26" s="989">
        <v>463</v>
      </c>
      <c r="B26" s="990" t="s">
        <v>43</v>
      </c>
      <c r="C26" s="991">
        <f>'Rashodi-2021'!M114+'Rashodi-2021'!M146+'Rashodi-2021'!M147+'Rashodi-2021'!M148+'Rashodi-2021'!M149+'Rashodi-2021'!M150+'Rashodi-2021'!M151+'Rashodi-2021'!M152+'Rashodi-2021'!M153+'Rashodi-2021'!M154+'Rashodi-2021'!M155+'Rashodi-2021'!M157+'Rashodi-2021'!M158+'Rashodi-2021'!M159+'Rashodi-2021'!M162+'Rashodi-2021'!M163+'Rashodi-2021'!M164+'Rashodi-2021'!M165+'Rashodi-2021'!M166+'Rashodi-2021'!M167+'Rashodi-2021'!M168+'Rashodi-2021'!M169+'Rashodi-2021'!M170+'Rashodi-2021'!M171+'Rashodi-2021'!M172+'Rashodi-2021'!M173+'Rashodi-2021'!M177+'Rashodi-2021'!M178+'Rashodi-2021'!M179+'Rashodi-2021'!M180+'Rashodi-2021'!M181+'Rashodi-2021'!M182+'Rashodi-2021'!M183+'Rashodi-2021'!M184+'Rashodi-2021'!M185+'Rashodi-2021'!M186+'Rashodi-2021'!M193+'Rashodi-2021'!M194+'Rashodi-2021'!M195+'Rashodi-2021'!M196+'Rashodi-2021'!M197+'Rashodi-2021'!M198+'Rashodi-2021'!M199+'Rashodi-2021'!M200+'Rashodi-2021'!M201+'Rashodi-2021'!M202+'Rashodi-2021'!M203+'Rashodi-2021'!M207+'Rashodi-2021'!M208+'Rashodi-2021'!M210+'Rashodi-2021'!M211+'Rashodi-2021'!M212+'Rashodi-2021'!M213+'Rashodi-2021'!M214+'Rashodi-2021'!M215+'Rashodi-2021'!M216+'Rashodi-2021'!M217+'Rashodi-2021'!M218+'Rashodi-2021'!M220+'Rashodi-2021'!M222+'Rashodi-2021'!M225+'Rashodi-2021'!M226+'Rashodi-2021'!M228+'Rashodi-2021'!M229+'Rashodi-2021'!M230+'Rashodi-2021'!M187+'Rashodi-2021'!M174+'Rashodi-2021'!M189+'Rashodi-2021'!M188+'Rashodi-2021'!M209+'Rashodi-2021'!M227+'Rashodi-2021'!M219+'Rashodi-2021'!M156+'Rashodi-2021'!M355</f>
        <v>81264201</v>
      </c>
      <c r="D26" s="991">
        <f>'Rashodi-2021'!N114+'Rashodi-2021'!N146+'Rashodi-2021'!N147+'Rashodi-2021'!N148+'Rashodi-2021'!N149+'Rashodi-2021'!N150+'Rashodi-2021'!N151+'Rashodi-2021'!N152+'Rashodi-2021'!N153+'Rashodi-2021'!N154+'Rashodi-2021'!N155+'Rashodi-2021'!N157+'Rashodi-2021'!N158+'Rashodi-2021'!N159+'Rashodi-2021'!N162+'Rashodi-2021'!N163+'Rashodi-2021'!N164+'Rashodi-2021'!N165+'Rashodi-2021'!N166+'Rashodi-2021'!N167+'Rashodi-2021'!N168+'Rashodi-2021'!N169+'Rashodi-2021'!N170+'Rashodi-2021'!N171+'Rashodi-2021'!N172+'Rashodi-2021'!N173+'Rashodi-2021'!N177+'Rashodi-2021'!N178+'Rashodi-2021'!N179+'Rashodi-2021'!N180+'Rashodi-2021'!N181+'Rashodi-2021'!N182+'Rashodi-2021'!N183+'Rashodi-2021'!N184+'Rashodi-2021'!N185+'Rashodi-2021'!N186+'Rashodi-2021'!N193+'Rashodi-2021'!N194+'Rashodi-2021'!N195+'Rashodi-2021'!N196+'Rashodi-2021'!N197+'Rashodi-2021'!N198+'Rashodi-2021'!N199+'Rashodi-2021'!N200+'Rashodi-2021'!N201+'Rashodi-2021'!N202+'Rashodi-2021'!N203+'Rashodi-2021'!N207+'Rashodi-2021'!N208+'Rashodi-2021'!N210+'Rashodi-2021'!N211+'Rashodi-2021'!N212+'Rashodi-2021'!N213+'Rashodi-2021'!N214+'Rashodi-2021'!N215+'Rashodi-2021'!N216+'Rashodi-2021'!N217+'Rashodi-2021'!N218+'Rashodi-2021'!N220+'Rashodi-2021'!N222+'Rashodi-2021'!N225+'Rashodi-2021'!N226+'Rashodi-2021'!N228+'Rashodi-2021'!N229+'Rashodi-2021'!N230+'Rashodi-2021'!N187+'Rashodi-2021'!N174+'Rashodi-2021'!N189+'Rashodi-2021'!N188+'Rashodi-2021'!N209+'Rashodi-2021'!N227+'Rashodi-2021'!N219+'Rashodi-2021'!N156+'Rashodi-2021'!N355</f>
        <v>0</v>
      </c>
      <c r="E26" s="991">
        <f>'Rashodi-2021'!O114+'Rashodi-2021'!O146+'Rashodi-2021'!O147+'Rashodi-2021'!O148+'Rashodi-2021'!O149+'Rashodi-2021'!O150+'Rashodi-2021'!O151+'Rashodi-2021'!O152+'Rashodi-2021'!O153+'Rashodi-2021'!O154+'Rashodi-2021'!O155+'Rashodi-2021'!O157+'Rashodi-2021'!O158+'Rashodi-2021'!O159+'Rashodi-2021'!O162+'Rashodi-2021'!O163+'Rashodi-2021'!O164+'Rashodi-2021'!O165+'Rashodi-2021'!O166+'Rashodi-2021'!O167+'Rashodi-2021'!O168+'Rashodi-2021'!O169+'Rashodi-2021'!O170+'Rashodi-2021'!O171+'Rashodi-2021'!O172+'Rashodi-2021'!O173+'Rashodi-2021'!O177+'Rashodi-2021'!O178+'Rashodi-2021'!O179+'Rashodi-2021'!O180+'Rashodi-2021'!O181+'Rashodi-2021'!O182+'Rashodi-2021'!O183+'Rashodi-2021'!O184+'Rashodi-2021'!O185+'Rashodi-2021'!O186+'Rashodi-2021'!O193+'Rashodi-2021'!O194+'Rashodi-2021'!O195+'Rashodi-2021'!O196+'Rashodi-2021'!O197+'Rashodi-2021'!O198+'Rashodi-2021'!O199+'Rashodi-2021'!O200+'Rashodi-2021'!O201+'Rashodi-2021'!O202+'Rashodi-2021'!O203+'Rashodi-2021'!O207+'Rashodi-2021'!O208+'Rashodi-2021'!O210+'Rashodi-2021'!O211+'Rashodi-2021'!O212+'Rashodi-2021'!O213+'Rashodi-2021'!O214+'Rashodi-2021'!O215+'Rashodi-2021'!O216+'Rashodi-2021'!O217+'Rashodi-2021'!O218+'Rashodi-2021'!O220+'Rashodi-2021'!O222+'Rashodi-2021'!O225+'Rashodi-2021'!O226+'Rashodi-2021'!O228+'Rashodi-2021'!O229+'Rashodi-2021'!O230+'Rashodi-2021'!O187+'Rashodi-2021'!O174+'Rashodi-2021'!O189+'Rashodi-2021'!O188+'Rashodi-2021'!O209+'Rashodi-2021'!O227+'Rashodi-2021'!O219+'Rashodi-2021'!O156+'Rashodi-2021'!O355</f>
        <v>0</v>
      </c>
      <c r="F26" s="991">
        <f>'Rashodi-2021'!P114+'Rashodi-2021'!P146+'Rashodi-2021'!P147+'Rashodi-2021'!P148+'Rashodi-2021'!P149+'Rashodi-2021'!P150+'Rashodi-2021'!P151+'Rashodi-2021'!P152+'Rashodi-2021'!P153+'Rashodi-2021'!P154+'Rashodi-2021'!P155+'Rashodi-2021'!P157+'Rashodi-2021'!P158+'Rashodi-2021'!P159+'Rashodi-2021'!P162+'Rashodi-2021'!P163+'Rashodi-2021'!P164+'Rashodi-2021'!P165+'Rashodi-2021'!P166+'Rashodi-2021'!P167+'Rashodi-2021'!P168+'Rashodi-2021'!P169+'Rashodi-2021'!P170+'Rashodi-2021'!P171+'Rashodi-2021'!P172+'Rashodi-2021'!P173+'Rashodi-2021'!P177+'Rashodi-2021'!P178+'Rashodi-2021'!P179+'Rashodi-2021'!P180+'Rashodi-2021'!P181+'Rashodi-2021'!P182+'Rashodi-2021'!P183+'Rashodi-2021'!P184+'Rashodi-2021'!P185+'Rashodi-2021'!P186+'Rashodi-2021'!P193+'Rashodi-2021'!P194+'Rashodi-2021'!P195+'Rashodi-2021'!P196+'Rashodi-2021'!P197+'Rashodi-2021'!P198+'Rashodi-2021'!P199+'Rashodi-2021'!P200+'Rashodi-2021'!P201+'Rashodi-2021'!P202+'Rashodi-2021'!P203+'Rashodi-2021'!P207+'Rashodi-2021'!P208+'Rashodi-2021'!P210+'Rashodi-2021'!P211+'Rashodi-2021'!P212+'Rashodi-2021'!P213+'Rashodi-2021'!P214+'Rashodi-2021'!P215+'Rashodi-2021'!P216+'Rashodi-2021'!P217+'Rashodi-2021'!P218+'Rashodi-2021'!P220+'Rashodi-2021'!P222+'Rashodi-2021'!P225+'Rashodi-2021'!P226+'Rashodi-2021'!P228+'Rashodi-2021'!P229+'Rashodi-2021'!P230+'Rashodi-2021'!P187+'Rashodi-2021'!P174+'Rashodi-2021'!P189+'Rashodi-2021'!P188+'Rashodi-2021'!P209+'Rashodi-2021'!P227+'Rashodi-2021'!P219+'Rashodi-2021'!P156+'Rashodi-2021'!P355</f>
        <v>2156458</v>
      </c>
      <c r="G26" s="991">
        <f>'Rashodi-2021'!Q114+'Rashodi-2021'!Q146+'Rashodi-2021'!Q147+'Rashodi-2021'!Q148+'Rashodi-2021'!Q149+'Rashodi-2021'!Q150+'Rashodi-2021'!Q151+'Rashodi-2021'!Q152+'Rashodi-2021'!Q153+'Rashodi-2021'!Q154+'Rashodi-2021'!Q155+'Rashodi-2021'!Q157+'Rashodi-2021'!Q158+'Rashodi-2021'!Q159+'Rashodi-2021'!Q162+'Rashodi-2021'!Q163+'Rashodi-2021'!Q164+'Rashodi-2021'!Q165+'Rashodi-2021'!Q166+'Rashodi-2021'!Q167+'Rashodi-2021'!Q168+'Rashodi-2021'!Q169+'Rashodi-2021'!Q170+'Rashodi-2021'!Q171+'Rashodi-2021'!Q172+'Rashodi-2021'!Q173+'Rashodi-2021'!Q177+'Rashodi-2021'!Q178+'Rashodi-2021'!Q179+'Rashodi-2021'!Q180+'Rashodi-2021'!Q181+'Rashodi-2021'!Q182+'Rashodi-2021'!Q183+'Rashodi-2021'!Q184+'Rashodi-2021'!Q185+'Rashodi-2021'!Q186+'Rashodi-2021'!Q193+'Rashodi-2021'!Q194+'Rashodi-2021'!Q195+'Rashodi-2021'!Q196+'Rashodi-2021'!Q197+'Rashodi-2021'!Q198+'Rashodi-2021'!Q199+'Rashodi-2021'!Q200+'Rashodi-2021'!Q201+'Rashodi-2021'!Q202+'Rashodi-2021'!Q203+'Rashodi-2021'!Q207+'Rashodi-2021'!Q208+'Rashodi-2021'!Q210+'Rashodi-2021'!Q211+'Rashodi-2021'!Q212+'Rashodi-2021'!Q213+'Rashodi-2021'!Q214+'Rashodi-2021'!Q215+'Rashodi-2021'!Q216+'Rashodi-2021'!Q217+'Rashodi-2021'!Q218+'Rashodi-2021'!Q220+'Rashodi-2021'!Q222+'Rashodi-2021'!Q225+'Rashodi-2021'!Q226+'Rashodi-2021'!Q228+'Rashodi-2021'!Q229+'Rashodi-2021'!Q230+'Rashodi-2021'!Q187+'Rashodi-2021'!Q174+'Rashodi-2021'!Q189+'Rashodi-2021'!Q188+'Rashodi-2021'!Q209+'Rashodi-2021'!Q227+'Rashodi-2021'!Q219+'Rashodi-2021'!Q156+'Rashodi-2021'!Q355</f>
        <v>250000</v>
      </c>
      <c r="H26" s="991">
        <f>'Rashodi-2021'!R114+'Rashodi-2021'!R146+'Rashodi-2021'!R147+'Rashodi-2021'!R148+'Rashodi-2021'!R149+'Rashodi-2021'!R150+'Rashodi-2021'!R151+'Rashodi-2021'!R152+'Rashodi-2021'!R153+'Rashodi-2021'!R154+'Rashodi-2021'!R155+'Rashodi-2021'!R157+'Rashodi-2021'!R158+'Rashodi-2021'!R159+'Rashodi-2021'!R162+'Rashodi-2021'!R163+'Rashodi-2021'!R164+'Rashodi-2021'!R165+'Rashodi-2021'!R166+'Rashodi-2021'!R167+'Rashodi-2021'!R168+'Rashodi-2021'!R169+'Rashodi-2021'!R170+'Rashodi-2021'!R171+'Rashodi-2021'!R172+'Rashodi-2021'!R173+'Rashodi-2021'!R177+'Rashodi-2021'!R178+'Rashodi-2021'!R179+'Rashodi-2021'!R180+'Rashodi-2021'!R181+'Rashodi-2021'!R182+'Rashodi-2021'!R183+'Rashodi-2021'!R184+'Rashodi-2021'!R185+'Rashodi-2021'!R186+'Rashodi-2021'!R193+'Rashodi-2021'!R194+'Rashodi-2021'!R195+'Rashodi-2021'!R196+'Rashodi-2021'!R197+'Rashodi-2021'!R198+'Rashodi-2021'!R199+'Rashodi-2021'!R200+'Rashodi-2021'!R201+'Rashodi-2021'!R202+'Rashodi-2021'!R203+'Rashodi-2021'!R207+'Rashodi-2021'!R208+'Rashodi-2021'!R210+'Rashodi-2021'!R211+'Rashodi-2021'!R212+'Rashodi-2021'!R213+'Rashodi-2021'!R214+'Rashodi-2021'!R215+'Rashodi-2021'!R216+'Rashodi-2021'!R217+'Rashodi-2021'!R218+'Rashodi-2021'!R220+'Rashodi-2021'!R222+'Rashodi-2021'!R225+'Rashodi-2021'!R226+'Rashodi-2021'!R228+'Rashodi-2021'!R229+'Rashodi-2021'!R230+'Rashodi-2021'!R187+'Rashodi-2021'!R174+'Rashodi-2021'!R189+'Rashodi-2021'!R188+'Rashodi-2021'!R209+'Rashodi-2021'!R227+'Rashodi-2021'!R219+'Rashodi-2021'!R156+'Rashodi-2021'!R355</f>
        <v>0</v>
      </c>
      <c r="I26" s="991">
        <f>'Rashodi-2021'!S114+'Rashodi-2021'!S146+'Rashodi-2021'!S147+'Rashodi-2021'!S148+'Rashodi-2021'!S149+'Rashodi-2021'!S150+'Rashodi-2021'!S151+'Rashodi-2021'!S152+'Rashodi-2021'!S153+'Rashodi-2021'!S154+'Rashodi-2021'!S155+'Rashodi-2021'!S157+'Rashodi-2021'!S158+'Rashodi-2021'!S159+'Rashodi-2021'!S162+'Rashodi-2021'!S163+'Rashodi-2021'!S164+'Rashodi-2021'!S165+'Rashodi-2021'!S166+'Rashodi-2021'!S167+'Rashodi-2021'!S168+'Rashodi-2021'!S169+'Rashodi-2021'!S170+'Rashodi-2021'!S171+'Rashodi-2021'!S172+'Rashodi-2021'!S173+'Rashodi-2021'!S177+'Rashodi-2021'!S178+'Rashodi-2021'!S179+'Rashodi-2021'!S180+'Rashodi-2021'!S181+'Rashodi-2021'!S182+'Rashodi-2021'!S183+'Rashodi-2021'!S184+'Rashodi-2021'!S185+'Rashodi-2021'!S186+'Rashodi-2021'!S193+'Rashodi-2021'!S194+'Rashodi-2021'!S195+'Rashodi-2021'!S196+'Rashodi-2021'!S197+'Rashodi-2021'!S198+'Rashodi-2021'!S199+'Rashodi-2021'!S200+'Rashodi-2021'!S201+'Rashodi-2021'!S202+'Rashodi-2021'!S203+'Rashodi-2021'!S207+'Rashodi-2021'!S208+'Rashodi-2021'!S210+'Rashodi-2021'!S211+'Rashodi-2021'!S212+'Rashodi-2021'!S213+'Rashodi-2021'!S214+'Rashodi-2021'!S215+'Rashodi-2021'!S216+'Rashodi-2021'!S217+'Rashodi-2021'!S218+'Rashodi-2021'!S220+'Rashodi-2021'!S222+'Rashodi-2021'!S225+'Rashodi-2021'!S226+'Rashodi-2021'!S228+'Rashodi-2021'!S229+'Rashodi-2021'!S230+'Rashodi-2021'!S187+'Rashodi-2021'!S174+'Rashodi-2021'!S189+'Rashodi-2021'!S188+'Rashodi-2021'!S209+'Rashodi-2021'!S227+'Rashodi-2021'!S219+'Rashodi-2021'!S156+'Rashodi-2021'!S355</f>
        <v>0</v>
      </c>
      <c r="J26" s="974">
        <f t="shared" si="2"/>
        <v>83670659</v>
      </c>
    </row>
    <row r="27" spans="1:10" ht="13.5" thickBot="1">
      <c r="A27" s="989">
        <v>464</v>
      </c>
      <c r="B27" s="990" t="s">
        <v>1285</v>
      </c>
      <c r="C27" s="991">
        <f>'Rashodi-2021'!M246+'Rashodi-2021'!M247+'Rashodi-2021'!M251+'Rashodi-2021'!M252+'Rashodi-2021'!M253+'Rashodi-2021'!M339+'Rashodi-2021'!M249+'Rashodi-2021'!M250+'Rashodi-2021'!M248+'Rashodi-2021'!M254</f>
        <v>16420000</v>
      </c>
      <c r="D27" s="991">
        <f>'Rashodi-2021'!N246+'Rashodi-2021'!N247+'Rashodi-2021'!N251+'Rashodi-2021'!N252+'Rashodi-2021'!N253+'Rashodi-2021'!N339+'Rashodi-2021'!N249+'Rashodi-2021'!N250</f>
        <v>0</v>
      </c>
      <c r="E27" s="991">
        <f>'Rashodi-2021'!O246+'Rashodi-2021'!O247+'Rashodi-2021'!O251+'Rashodi-2021'!O252+'Rashodi-2021'!O253+'Rashodi-2021'!O339+'Rashodi-2021'!O249+'Rashodi-2021'!O250</f>
        <v>0</v>
      </c>
      <c r="F27" s="991">
        <f>'Rashodi-2021'!P246+'Rashodi-2021'!P247+'Rashodi-2021'!P251+'Rashodi-2021'!P252+'Rashodi-2021'!P253+'Rashodi-2021'!P339+'Rashodi-2021'!P249+'Rashodi-2021'!P250</f>
        <v>0</v>
      </c>
      <c r="G27" s="991">
        <f>'Rashodi-2021'!Q246+'Rashodi-2021'!Q247+'Rashodi-2021'!Q251+'Rashodi-2021'!Q252+'Rashodi-2021'!Q253+'Rashodi-2021'!Q339+'Rashodi-2021'!Q249+'Rashodi-2021'!Q250</f>
        <v>0</v>
      </c>
      <c r="H27" s="991">
        <f>'Rashodi-2021'!R246+'Rashodi-2021'!R247+'Rashodi-2021'!R251+'Rashodi-2021'!R252+'Rashodi-2021'!R253+'Rashodi-2021'!R339+'Rashodi-2021'!R249+'Rashodi-2021'!R250</f>
        <v>0</v>
      </c>
      <c r="I27" s="991">
        <f>'Rashodi-2021'!S246+'Rashodi-2021'!S247+'Rashodi-2021'!S251+'Rashodi-2021'!S252+'Rashodi-2021'!S253+'Rashodi-2021'!S339+'Rashodi-2021'!S249+'Rashodi-2021'!S250</f>
        <v>0</v>
      </c>
      <c r="J27" s="974">
        <f t="shared" si="2"/>
        <v>16420000</v>
      </c>
    </row>
    <row r="28" spans="1:10" s="26" customFormat="1" ht="13.5" thickBot="1">
      <c r="A28" s="992">
        <v>465</v>
      </c>
      <c r="B28" s="993" t="s">
        <v>213</v>
      </c>
      <c r="C28" s="991">
        <f>'Rashodi-2021'!M95+'Rashodi-2021'!M375+'Rashodi-2021'!M94</f>
        <v>1400000</v>
      </c>
      <c r="D28" s="991">
        <f>'Rashodi-2021'!N95+'Rashodi-2021'!N375+'Rashodi-2021'!N94</f>
        <v>0</v>
      </c>
      <c r="E28" s="991">
        <f>'Rashodi-2021'!O95+'Rashodi-2021'!O375+'Rashodi-2021'!O94</f>
        <v>0</v>
      </c>
      <c r="F28" s="991">
        <f>'Rashodi-2021'!P95+'Rashodi-2021'!P375+'Rashodi-2021'!P94</f>
        <v>0</v>
      </c>
      <c r="G28" s="991">
        <f>'Rashodi-2021'!Q95+'Rashodi-2021'!Q375+'Rashodi-2021'!Q94</f>
        <v>0</v>
      </c>
      <c r="H28" s="991">
        <f>'Rashodi-2021'!R95+'Rashodi-2021'!R375+'Rashodi-2021'!R94</f>
        <v>0</v>
      </c>
      <c r="I28" s="991">
        <f>'Rashodi-2021'!S95+'Rashodi-2021'!S375+'Rashodi-2021'!S94</f>
        <v>0</v>
      </c>
      <c r="J28" s="974">
        <f t="shared" si="2"/>
        <v>1400000</v>
      </c>
    </row>
    <row r="29" spans="1:10" s="23" customFormat="1" ht="15" customHeight="1" thickBot="1">
      <c r="A29" s="968">
        <v>47</v>
      </c>
      <c r="B29" s="983" t="s">
        <v>71</v>
      </c>
      <c r="C29" s="982">
        <f aca="true" t="shared" si="7" ref="C29:I29">SUM(C30)</f>
        <v>16172000</v>
      </c>
      <c r="D29" s="982">
        <f t="shared" si="7"/>
        <v>0</v>
      </c>
      <c r="E29" s="982">
        <f t="shared" si="7"/>
        <v>0</v>
      </c>
      <c r="F29" s="982">
        <f t="shared" si="7"/>
        <v>4261494.5</v>
      </c>
      <c r="G29" s="982">
        <f t="shared" si="7"/>
        <v>7837500</v>
      </c>
      <c r="H29" s="982">
        <f t="shared" si="7"/>
        <v>0</v>
      </c>
      <c r="I29" s="982">
        <f t="shared" si="7"/>
        <v>0</v>
      </c>
      <c r="J29" s="967">
        <f t="shared" si="2"/>
        <v>28270994.5</v>
      </c>
    </row>
    <row r="30" spans="1:10" s="349" customFormat="1" ht="13.5" thickBot="1">
      <c r="A30" s="984">
        <v>472</v>
      </c>
      <c r="B30" s="985" t="s">
        <v>44</v>
      </c>
      <c r="C30" s="986">
        <f>'Rashodi-2021'!M96+'Rashodi-2021'!M233+'Rashodi-2021'!M238+'Rashodi-2021'!M242+'Rashodi-2021'!M329+'Rashodi-2021'!M328+'Rashodi-2021'!M234+'Rashodi-2021'!M235+'Rashodi-2021'!M236+'Rashodi-2021'!M237+'Rashodi-2021'!M121+'Rashodi-2021'!M71</f>
        <v>16172000</v>
      </c>
      <c r="D30" s="986">
        <f>'Rashodi-2021'!N96+'Rashodi-2021'!N233+'Rashodi-2021'!N238+'Rashodi-2021'!N242+'Rashodi-2021'!N329+'Rashodi-2021'!N328+'Rashodi-2021'!N234+'Rashodi-2021'!N235+'Rashodi-2021'!N236+'Rashodi-2021'!N237+'Rashodi-2021'!N121+'Rashodi-2021'!N71</f>
        <v>0</v>
      </c>
      <c r="E30" s="986">
        <f>'Rashodi-2021'!O96+'Rashodi-2021'!O233+'Rashodi-2021'!O238+'Rashodi-2021'!O242+'Rashodi-2021'!O329+'Rashodi-2021'!O328+'Rashodi-2021'!O234+'Rashodi-2021'!O235+'Rashodi-2021'!O236+'Rashodi-2021'!O237+'Rashodi-2021'!O121+'Rashodi-2021'!O71</f>
        <v>0</v>
      </c>
      <c r="F30" s="986">
        <f>'Rashodi-2021'!P96+'Rashodi-2021'!P233+'Rashodi-2021'!P238+'Rashodi-2021'!P242+'Rashodi-2021'!P329+'Rashodi-2021'!P328+'Rashodi-2021'!P234+'Rashodi-2021'!P235+'Rashodi-2021'!P236+'Rashodi-2021'!P237+'Rashodi-2021'!P121+'Rashodi-2021'!P71</f>
        <v>4261494.5</v>
      </c>
      <c r="G30" s="986">
        <f>'Rashodi-2021'!Q96+'Rashodi-2021'!Q233+'Rashodi-2021'!Q238+'Rashodi-2021'!Q242+'Rashodi-2021'!Q329+'Rashodi-2021'!Q328+'Rashodi-2021'!Q234+'Rashodi-2021'!Q235+'Rashodi-2021'!Q236+'Rashodi-2021'!Q237+'Rashodi-2021'!Q121+'Rashodi-2021'!Q71</f>
        <v>7837500</v>
      </c>
      <c r="H30" s="986">
        <f>'Rashodi-2021'!R96+'Rashodi-2021'!R233+'Rashodi-2021'!R238+'Rashodi-2021'!R242+'Rashodi-2021'!R329+'Rashodi-2021'!R328+'Rashodi-2021'!R234+'Rashodi-2021'!R235+'Rashodi-2021'!R236+'Rashodi-2021'!R237+'Rashodi-2021'!R121+'Rashodi-2021'!R71</f>
        <v>0</v>
      </c>
      <c r="I30" s="986">
        <f>'Rashodi-2021'!S96+'Rashodi-2021'!S233+'Rashodi-2021'!S238+'Rashodi-2021'!S242+'Rashodi-2021'!S329+'Rashodi-2021'!S328+'Rashodi-2021'!S234+'Rashodi-2021'!S235+'Rashodi-2021'!S236+'Rashodi-2021'!S237+'Rashodi-2021'!S121+'Rashodi-2021'!S71</f>
        <v>0</v>
      </c>
      <c r="J30" s="987">
        <f t="shared" si="2"/>
        <v>28270994.5</v>
      </c>
    </row>
    <row r="31" spans="1:10" s="23" customFormat="1" ht="15" customHeight="1" thickBot="1">
      <c r="A31" s="968">
        <v>48</v>
      </c>
      <c r="B31" s="983" t="s">
        <v>45</v>
      </c>
      <c r="C31" s="982">
        <f>SUM(C32:C35)</f>
        <v>24722439</v>
      </c>
      <c r="D31" s="982">
        <f aca="true" t="shared" si="8" ref="D31:I31">SUM(D32:D35)</f>
        <v>1500</v>
      </c>
      <c r="E31" s="982">
        <f t="shared" si="8"/>
        <v>0</v>
      </c>
      <c r="F31" s="982">
        <f t="shared" si="8"/>
        <v>5000</v>
      </c>
      <c r="G31" s="982">
        <f t="shared" si="8"/>
        <v>0</v>
      </c>
      <c r="H31" s="982">
        <f t="shared" si="8"/>
        <v>0</v>
      </c>
      <c r="I31" s="982">
        <f t="shared" si="8"/>
        <v>0</v>
      </c>
      <c r="J31" s="967">
        <f t="shared" si="2"/>
        <v>24728939</v>
      </c>
    </row>
    <row r="32" spans="1:10" ht="13.5" thickBot="1">
      <c r="A32" s="971">
        <v>481</v>
      </c>
      <c r="B32" s="972" t="s">
        <v>46</v>
      </c>
      <c r="C32" s="973">
        <f>'Rashodi-2021'!M26+'Rashodi-2021'!M432+'Rashodi-2021'!M133+'Rashodi-2021'!M134+'Rashodi-2021'!M141+'Rashodi-2021'!M336+'Rashodi-2021'!M241+'Rashodi-2021'!M284+'Rashodi-2021'!M491+'Rashodi-2021'!M30+'Rashodi-2021'!M98+'Rashodi-2021'!M97+'Rashodi-2021'!M142</f>
        <v>20991000</v>
      </c>
      <c r="D32" s="973">
        <f>'Rashodi-2021'!N26+'Rashodi-2021'!N432+'Rashodi-2021'!N133+'Rashodi-2021'!N134+'Rashodi-2021'!N141+'Rashodi-2021'!N336+'Rashodi-2021'!N241+'Rashodi-2021'!N284+'Rashodi-2021'!N491+'Rashodi-2021'!N30+'Rashodi-2021'!N98+'Rashodi-2021'!N97+'Rashodi-2021'!N142</f>
        <v>0</v>
      </c>
      <c r="E32" s="973">
        <f>'Rashodi-2021'!O26+'Rashodi-2021'!O432+'Rashodi-2021'!O133+'Rashodi-2021'!O134+'Rashodi-2021'!O141+'Rashodi-2021'!O336+'Rashodi-2021'!O241+'Rashodi-2021'!O284+'Rashodi-2021'!O491+'Rashodi-2021'!O30+'Rashodi-2021'!O98+'Rashodi-2021'!O97+'Rashodi-2021'!O142</f>
        <v>0</v>
      </c>
      <c r="F32" s="973">
        <f>'Rashodi-2021'!P26+'Rashodi-2021'!P432+'Rashodi-2021'!P133+'Rashodi-2021'!P134+'Rashodi-2021'!P141+'Rashodi-2021'!P336+'Rashodi-2021'!P241+'Rashodi-2021'!P284+'Rashodi-2021'!P491+'Rashodi-2021'!P30+'Rashodi-2021'!P98+'Rashodi-2021'!P97+'Rashodi-2021'!P142</f>
        <v>0</v>
      </c>
      <c r="G32" s="973">
        <f>'Rashodi-2021'!Q26+'Rashodi-2021'!Q432+'Rashodi-2021'!Q133+'Rashodi-2021'!Q134+'Rashodi-2021'!Q141+'Rashodi-2021'!Q336+'Rashodi-2021'!Q241+'Rashodi-2021'!Q284+'Rashodi-2021'!Q491+'Rashodi-2021'!Q30+'Rashodi-2021'!Q98+'Rashodi-2021'!Q97+'Rashodi-2021'!Q142</f>
        <v>0</v>
      </c>
      <c r="H32" s="973">
        <f>'Rashodi-2021'!R26+'Rashodi-2021'!R432+'Rashodi-2021'!R133+'Rashodi-2021'!R134+'Rashodi-2021'!R141+'Rashodi-2021'!R336+'Rashodi-2021'!R241+'Rashodi-2021'!R284+'Rashodi-2021'!R491+'Rashodi-2021'!R30+'Rashodi-2021'!R98+'Rashodi-2021'!R97+'Rashodi-2021'!R142</f>
        <v>0</v>
      </c>
      <c r="I32" s="973">
        <f>'Rashodi-2021'!S26+'Rashodi-2021'!S432+'Rashodi-2021'!S133+'Rashodi-2021'!S134+'Rashodi-2021'!S141+'Rashodi-2021'!S336+'Rashodi-2021'!S241+'Rashodi-2021'!S284+'Rashodi-2021'!S491+'Rashodi-2021'!S30+'Rashodi-2021'!S98+'Rashodi-2021'!S97+'Rashodi-2021'!S142</f>
        <v>0</v>
      </c>
      <c r="J32" s="974">
        <f t="shared" si="2"/>
        <v>20991000</v>
      </c>
    </row>
    <row r="33" spans="1:10" ht="13.5" thickBot="1">
      <c r="A33" s="975">
        <v>482</v>
      </c>
      <c r="B33" s="976" t="s">
        <v>47</v>
      </c>
      <c r="C33" s="977">
        <f>'Rashodi-2021'!M99+'Rashodi-2021'!M446+'Rashodi-2021'!M475+'Rashodi-2021'!M506+'Rashodi-2021'!M459+'Rashodi-2021'!M415+'Rashodi-2021'!M55+'Rashodi-2021'!M270+'Rashodi-2021'!M396+'Rashodi-2021'!M376+'Rashodi-2021'!M492</f>
        <v>2930439</v>
      </c>
      <c r="D33" s="977">
        <f>'Rashodi-2021'!N99+'Rashodi-2021'!N446+'Rashodi-2021'!N475+'Rashodi-2021'!N506+'Rashodi-2021'!N459+'Rashodi-2021'!N415+'Rashodi-2021'!N55+'Rashodi-2021'!N270+'Rashodi-2021'!N396+'Rashodi-2021'!N376+'Rashodi-2021'!N492</f>
        <v>1500</v>
      </c>
      <c r="E33" s="977">
        <f>'Rashodi-2021'!O99+'Rashodi-2021'!O446+'Rashodi-2021'!O475+'Rashodi-2021'!O506+'Rashodi-2021'!O459+'Rashodi-2021'!O415+'Rashodi-2021'!O55+'Rashodi-2021'!O270+'Rashodi-2021'!O396+'Rashodi-2021'!O376+'Rashodi-2021'!O492</f>
        <v>0</v>
      </c>
      <c r="F33" s="977">
        <f>'Rashodi-2021'!P99+'Rashodi-2021'!P446+'Rashodi-2021'!P475+'Rashodi-2021'!P506+'Rashodi-2021'!P459+'Rashodi-2021'!P415+'Rashodi-2021'!P55+'Rashodi-2021'!P270+'Rashodi-2021'!P396+'Rashodi-2021'!P376+'Rashodi-2021'!P492</f>
        <v>5000</v>
      </c>
      <c r="G33" s="977">
        <f>'Rashodi-2021'!Q99+'Rashodi-2021'!Q446+'Rashodi-2021'!Q475+'Rashodi-2021'!Q506+'Rashodi-2021'!Q459+'Rashodi-2021'!Q415+'Rashodi-2021'!Q55+'Rashodi-2021'!Q270+'Rashodi-2021'!Q396+'Rashodi-2021'!Q376+'Rashodi-2021'!Q492</f>
        <v>0</v>
      </c>
      <c r="H33" s="977">
        <f>'Rashodi-2021'!R99+'Rashodi-2021'!R446+'Rashodi-2021'!R475+'Rashodi-2021'!R506+'Rashodi-2021'!R459+'Rashodi-2021'!R415+'Rashodi-2021'!R55+'Rashodi-2021'!R270+'Rashodi-2021'!R396+'Rashodi-2021'!R376+'Rashodi-2021'!R492</f>
        <v>0</v>
      </c>
      <c r="I33" s="977">
        <f>'Rashodi-2021'!S99+'Rashodi-2021'!S446+'Rashodi-2021'!S475+'Rashodi-2021'!S506+'Rashodi-2021'!S459+'Rashodi-2021'!S415+'Rashodi-2021'!S55+'Rashodi-2021'!S270+'Rashodi-2021'!S396+'Rashodi-2021'!S376+'Rashodi-2021'!S492</f>
        <v>0</v>
      </c>
      <c r="J33" s="974">
        <f t="shared" si="2"/>
        <v>2936939</v>
      </c>
    </row>
    <row r="34" spans="1:10" ht="13.5" thickBot="1">
      <c r="A34" s="975">
        <v>483</v>
      </c>
      <c r="B34" s="976" t="s">
        <v>72</v>
      </c>
      <c r="C34" s="977">
        <f>'Rashodi-2021'!M100</f>
        <v>400000</v>
      </c>
      <c r="D34" s="977">
        <f>'Rashodi-2021'!N100</f>
        <v>0</v>
      </c>
      <c r="E34" s="977">
        <f>'Rashodi-2021'!O100</f>
        <v>0</v>
      </c>
      <c r="F34" s="977">
        <f>'Rashodi-2021'!P100</f>
        <v>0</v>
      </c>
      <c r="G34" s="977">
        <f>'Rashodi-2021'!Q100</f>
        <v>0</v>
      </c>
      <c r="H34" s="977">
        <f>'Rashodi-2021'!R100</f>
        <v>0</v>
      </c>
      <c r="I34" s="977">
        <f>'Rashodi-2021'!S100</f>
        <v>0</v>
      </c>
      <c r="J34" s="974">
        <f t="shared" si="2"/>
        <v>400000</v>
      </c>
    </row>
    <row r="35" spans="1:10" ht="13.5" thickBot="1">
      <c r="A35" s="984">
        <v>485</v>
      </c>
      <c r="B35" s="985" t="s">
        <v>75</v>
      </c>
      <c r="C35" s="986">
        <f>'Rashodi-2021'!M101+'Rashodi-2021'!M221</f>
        <v>401000</v>
      </c>
      <c r="D35" s="986">
        <f>'Rashodi-2021'!N101+'Rashodi-2021'!N221</f>
        <v>0</v>
      </c>
      <c r="E35" s="986">
        <f>'Rashodi-2021'!O101+'Rashodi-2021'!O221</f>
        <v>0</v>
      </c>
      <c r="F35" s="986">
        <f>'Rashodi-2021'!P101+'Rashodi-2021'!P221</f>
        <v>0</v>
      </c>
      <c r="G35" s="986">
        <f>'Rashodi-2021'!Q101+'Rashodi-2021'!Q221</f>
        <v>0</v>
      </c>
      <c r="H35" s="986">
        <f>'Rashodi-2021'!R101+'Rashodi-2021'!R221</f>
        <v>0</v>
      </c>
      <c r="I35" s="986">
        <f>'Rashodi-2021'!S101+'Rashodi-2021'!S221</f>
        <v>0</v>
      </c>
      <c r="J35" s="974">
        <f t="shared" si="2"/>
        <v>401000</v>
      </c>
    </row>
    <row r="36" spans="1:10" s="23" customFormat="1" ht="15" customHeight="1" thickBot="1">
      <c r="A36" s="968">
        <v>49</v>
      </c>
      <c r="B36" s="983" t="s">
        <v>70</v>
      </c>
      <c r="C36" s="982">
        <f aca="true" t="shared" si="9" ref="C36:I36">SUM(C37)</f>
        <v>1000000</v>
      </c>
      <c r="D36" s="982">
        <f t="shared" si="9"/>
        <v>0</v>
      </c>
      <c r="E36" s="982">
        <f t="shared" si="9"/>
        <v>0</v>
      </c>
      <c r="F36" s="982">
        <f t="shared" si="9"/>
        <v>0</v>
      </c>
      <c r="G36" s="982">
        <f t="shared" si="9"/>
        <v>0</v>
      </c>
      <c r="H36" s="982">
        <f t="shared" si="9"/>
        <v>0</v>
      </c>
      <c r="I36" s="982">
        <f t="shared" si="9"/>
        <v>0</v>
      </c>
      <c r="J36" s="967">
        <f t="shared" si="2"/>
        <v>1000000</v>
      </c>
    </row>
    <row r="37" spans="1:10" ht="13.5" thickBot="1">
      <c r="A37" s="984">
        <v>499</v>
      </c>
      <c r="B37" s="985" t="s">
        <v>48</v>
      </c>
      <c r="C37" s="986">
        <f>'Rashodi-2021'!M126+'Rashodi-2021'!M129</f>
        <v>1000000</v>
      </c>
      <c r="D37" s="986">
        <f>'Rashodi-2021'!N126+'Rashodi-2021'!N129</f>
        <v>0</v>
      </c>
      <c r="E37" s="986">
        <f>'Rashodi-2021'!O126+'Rashodi-2021'!O129</f>
        <v>0</v>
      </c>
      <c r="F37" s="986">
        <f>'Rashodi-2021'!P126+'Rashodi-2021'!P129</f>
        <v>0</v>
      </c>
      <c r="G37" s="986">
        <f>'Rashodi-2021'!Q126+'Rashodi-2021'!Q129</f>
        <v>0</v>
      </c>
      <c r="H37" s="986">
        <f>'Rashodi-2021'!R126+'Rashodi-2021'!R129</f>
        <v>0</v>
      </c>
      <c r="I37" s="986">
        <f>'Rashodi-2021'!S126+'Rashodi-2021'!S129</f>
        <v>0</v>
      </c>
      <c r="J37" s="987">
        <f t="shared" si="2"/>
        <v>1000000</v>
      </c>
    </row>
    <row r="38" spans="1:11" s="23" customFormat="1" ht="15" customHeight="1" thickBot="1">
      <c r="A38" s="968">
        <v>51</v>
      </c>
      <c r="B38" s="983" t="s">
        <v>49</v>
      </c>
      <c r="C38" s="982">
        <f>SUM(C39:C44)</f>
        <v>25948000</v>
      </c>
      <c r="D38" s="982">
        <f aca="true" t="shared" si="10" ref="D38:I38">SUM(D39:D44)</f>
        <v>29000</v>
      </c>
      <c r="E38" s="982">
        <f t="shared" si="10"/>
        <v>400000</v>
      </c>
      <c r="F38" s="982">
        <f t="shared" si="10"/>
        <v>46248815.21</v>
      </c>
      <c r="G38" s="982">
        <f t="shared" si="10"/>
        <v>8310000</v>
      </c>
      <c r="H38" s="982">
        <f t="shared" si="10"/>
        <v>5</v>
      </c>
      <c r="I38" s="982">
        <f t="shared" si="10"/>
        <v>0</v>
      </c>
      <c r="J38" s="967">
        <f>C38+D38+E38+F38+G38+I38</f>
        <v>80935815.21000001</v>
      </c>
      <c r="K38" s="270"/>
    </row>
    <row r="39" spans="1:10" ht="12.75">
      <c r="A39" s="971">
        <v>511</v>
      </c>
      <c r="B39" s="972" t="s">
        <v>50</v>
      </c>
      <c r="C39" s="973">
        <f>'Rashodi-2021'!M315+'Rashodi-2021'!M303+'Rashodi-2021'!M115+'Rashodi-2021'!M352+'Rashodi-2021'!M324+'Rashodi-2021'!M377+'Rashodi-2021'!M332+'Rashodi-2021'!M476+'Rashodi-2021'!M356+'Rashodi-2021'!M320</f>
        <v>19330000</v>
      </c>
      <c r="D39" s="973">
        <f>'Rashodi-2021'!N315+'Rashodi-2021'!N303+'Rashodi-2021'!N115+'Rashodi-2021'!N352+'Rashodi-2021'!N324+'Rashodi-2021'!N377+'Rashodi-2021'!N332+'Rashodi-2021'!N476+'Rashodi-2021'!N356</f>
        <v>0</v>
      </c>
      <c r="E39" s="973">
        <f>'Rashodi-2021'!O315+'Rashodi-2021'!O303+'Rashodi-2021'!O115+'Rashodi-2021'!O352+'Rashodi-2021'!O324+'Rashodi-2021'!O377+'Rashodi-2021'!O332+'Rashodi-2021'!O476+'Rashodi-2021'!O356</f>
        <v>0</v>
      </c>
      <c r="F39" s="973">
        <f>'Rashodi-2021'!P315+'Rashodi-2021'!P303+'Rashodi-2021'!P115+'Rashodi-2021'!P352+'Rashodi-2021'!P324+'Rashodi-2021'!P377+'Rashodi-2021'!P332+'Rashodi-2021'!P476+'Rashodi-2021'!P356</f>
        <v>45286871.21</v>
      </c>
      <c r="G39" s="973">
        <f>'Rashodi-2021'!Q315+'Rashodi-2021'!Q303+'Rashodi-2021'!Q115+'Rashodi-2021'!Q352+'Rashodi-2021'!Q324+'Rashodi-2021'!Q377+'Rashodi-2021'!Q332+'Rashodi-2021'!Q476+'Rashodi-2021'!Q356</f>
        <v>5750000</v>
      </c>
      <c r="H39" s="973">
        <f>'Rashodi-2021'!R315+'Rashodi-2021'!R303+'Rashodi-2021'!R115+'Rashodi-2021'!R352+'Rashodi-2021'!R324+'Rashodi-2021'!R377+'Rashodi-2021'!R332+'Rashodi-2021'!R476+'Rashodi-2021'!R356</f>
        <v>0</v>
      </c>
      <c r="I39" s="973">
        <f>'Rashodi-2021'!S315+'Rashodi-2021'!S303+'Rashodi-2021'!S115+'Rashodi-2021'!S352+'Rashodi-2021'!S324+'Rashodi-2021'!S377+'Rashodi-2021'!S332+'Rashodi-2021'!S476+'Rashodi-2021'!S356</f>
        <v>0</v>
      </c>
      <c r="J39" s="973">
        <f aca="true" t="shared" si="11" ref="J39:J44">SUM(C39:I39)</f>
        <v>70366871.21000001</v>
      </c>
    </row>
    <row r="40" spans="1:10" ht="12.75">
      <c r="A40" s="978">
        <v>512</v>
      </c>
      <c r="B40" s="976" t="s">
        <v>51</v>
      </c>
      <c r="C40" s="977">
        <f>'Rashodi-2021'!M102+'Rashodi-2021'!M477+'Rashodi-2021'!M271+'Rashodi-2021'!M103+'Rashodi-2021'!M433+'Rashodi-2021'!M123+'Rashodi-2021'!M397+'Rashodi-2021'!M378+'Rashodi-2021'!M116+'Rashodi-2021'!M357</f>
        <v>5008000</v>
      </c>
      <c r="D40" s="977">
        <f>'Rashodi-2021'!N102+'Rashodi-2021'!N477+'Rashodi-2021'!N271+'Rashodi-2021'!N103+'Rashodi-2021'!N433+'Rashodi-2021'!N123+'Rashodi-2021'!N397+'Rashodi-2021'!N378+'Rashodi-2021'!N116+'Rashodi-2021'!N357</f>
        <v>9000</v>
      </c>
      <c r="E40" s="977">
        <f>'Rashodi-2021'!O102+'Rashodi-2021'!O477+'Rashodi-2021'!O271+'Rashodi-2021'!O103+'Rashodi-2021'!O433+'Rashodi-2021'!O123+'Rashodi-2021'!O397+'Rashodi-2021'!O378+'Rashodi-2021'!O116+'Rashodi-2021'!O357</f>
        <v>400000</v>
      </c>
      <c r="F40" s="977">
        <f>'Rashodi-2021'!P102+'Rashodi-2021'!P477+'Rashodi-2021'!P271+'Rashodi-2021'!P103+'Rashodi-2021'!P433+'Rashodi-2021'!P123+'Rashodi-2021'!P397+'Rashodi-2021'!P378+'Rashodi-2021'!P116+'Rashodi-2021'!P357</f>
        <v>271944</v>
      </c>
      <c r="G40" s="977">
        <f>'Rashodi-2021'!Q102+'Rashodi-2021'!Q477+'Rashodi-2021'!Q271+'Rashodi-2021'!Q103+'Rashodi-2021'!Q433+'Rashodi-2021'!Q123+'Rashodi-2021'!Q397+'Rashodi-2021'!Q378+'Rashodi-2021'!Q116+'Rashodi-2021'!Q357</f>
        <v>2530000</v>
      </c>
      <c r="H40" s="977">
        <f>'Rashodi-2021'!R102+'Rashodi-2021'!R477+'Rashodi-2021'!R271+'Rashodi-2021'!R103+'Rashodi-2021'!R433+'Rashodi-2021'!R123+'Rashodi-2021'!R397+'Rashodi-2021'!R378+'Rashodi-2021'!R116+'Rashodi-2021'!R357</f>
        <v>0</v>
      </c>
      <c r="I40" s="977">
        <f>'Rashodi-2021'!S102+'Rashodi-2021'!S477+'Rashodi-2021'!S271+'Rashodi-2021'!S103+'Rashodi-2021'!S433+'Rashodi-2021'!S123+'Rashodi-2021'!S397+'Rashodi-2021'!S378+'Rashodi-2021'!S116+'Rashodi-2021'!S357</f>
        <v>0</v>
      </c>
      <c r="J40" s="973">
        <f t="shared" si="11"/>
        <v>8218944</v>
      </c>
    </row>
    <row r="41" spans="1:10" ht="12.75">
      <c r="A41" s="978">
        <v>513</v>
      </c>
      <c r="B41" s="976" t="s">
        <v>866</v>
      </c>
      <c r="C41" s="977">
        <f>'Rashodi-2021'!M460</f>
        <v>200000</v>
      </c>
      <c r="D41" s="977">
        <f>'Rashodi-2021'!N460</f>
        <v>0</v>
      </c>
      <c r="E41" s="977">
        <f>'Rashodi-2021'!O460</f>
        <v>0</v>
      </c>
      <c r="F41" s="977">
        <f>'Rashodi-2021'!P460</f>
        <v>0</v>
      </c>
      <c r="G41" s="977">
        <f>'Rashodi-2021'!Q460</f>
        <v>0</v>
      </c>
      <c r="H41" s="977">
        <f>'Rashodi-2021'!R460</f>
        <v>0</v>
      </c>
      <c r="I41" s="977">
        <f>'Rashodi-2021'!S460</f>
        <v>0</v>
      </c>
      <c r="J41" s="973">
        <f t="shared" si="11"/>
        <v>200000</v>
      </c>
    </row>
    <row r="42" spans="1:10" ht="12.75">
      <c r="A42" s="978">
        <v>514</v>
      </c>
      <c r="B42" s="994" t="s">
        <v>214</v>
      </c>
      <c r="C42" s="995">
        <v>0</v>
      </c>
      <c r="D42" s="995">
        <v>0</v>
      </c>
      <c r="E42" s="995">
        <v>0</v>
      </c>
      <c r="F42" s="995">
        <v>0</v>
      </c>
      <c r="G42" s="995">
        <v>0</v>
      </c>
      <c r="H42" s="995">
        <v>5</v>
      </c>
      <c r="I42" s="995">
        <v>0</v>
      </c>
      <c r="J42" s="973">
        <f t="shared" si="11"/>
        <v>5</v>
      </c>
    </row>
    <row r="43" spans="1:10" ht="12.75">
      <c r="A43" s="975">
        <v>515</v>
      </c>
      <c r="B43" s="976" t="s">
        <v>215</v>
      </c>
      <c r="C43" s="977">
        <f>'Rashodi-2021'!M398+'Rashodi-2021'!M379+'Rashodi-2021'!M104</f>
        <v>910000</v>
      </c>
      <c r="D43" s="977">
        <f>'Rashodi-2021'!N398+'Rashodi-2021'!N379+'Rashodi-2021'!N104</f>
        <v>20000</v>
      </c>
      <c r="E43" s="977">
        <f>'Rashodi-2021'!O398+'Rashodi-2021'!O379+'Rashodi-2021'!O104</f>
        <v>0</v>
      </c>
      <c r="F43" s="977">
        <f>'Rashodi-2021'!P398+'Rashodi-2021'!P379+'Rashodi-2021'!P104</f>
        <v>690000</v>
      </c>
      <c r="G43" s="977">
        <f>'Rashodi-2021'!Q398+'Rashodi-2021'!Q379+'Rashodi-2021'!Q104</f>
        <v>30000</v>
      </c>
      <c r="H43" s="977">
        <f>'Rashodi-2021'!R398+'Rashodi-2021'!R379+'Rashodi-2021'!R104</f>
        <v>0</v>
      </c>
      <c r="I43" s="977">
        <f>'Rashodi-2021'!S398+'Rashodi-2021'!S379+'Rashodi-2021'!S104</f>
        <v>0</v>
      </c>
      <c r="J43" s="973">
        <f t="shared" si="11"/>
        <v>1650000</v>
      </c>
    </row>
    <row r="44" spans="1:10" ht="13.5" thickBot="1">
      <c r="A44" s="978">
        <v>541</v>
      </c>
      <c r="B44" s="996" t="s">
        <v>74</v>
      </c>
      <c r="C44" s="997">
        <f>'Rashodi-2021'!M105</f>
        <v>500000</v>
      </c>
      <c r="D44" s="997">
        <f>'Rashodi-2021'!N105</f>
        <v>0</v>
      </c>
      <c r="E44" s="997">
        <f>'Rashodi-2021'!O105</f>
        <v>0</v>
      </c>
      <c r="F44" s="997">
        <f>'Rashodi-2021'!P105</f>
        <v>0</v>
      </c>
      <c r="G44" s="997">
        <f>'Rashodi-2021'!Q105</f>
        <v>0</v>
      </c>
      <c r="H44" s="997">
        <f>'Rashodi-2021'!R105</f>
        <v>0</v>
      </c>
      <c r="I44" s="997">
        <f>'Rashodi-2021'!S105</f>
        <v>0</v>
      </c>
      <c r="J44" s="973">
        <f t="shared" si="11"/>
        <v>500000</v>
      </c>
    </row>
    <row r="45" spans="1:10" s="23" customFormat="1" ht="15" customHeight="1" thickBot="1">
      <c r="A45" s="968">
        <v>62</v>
      </c>
      <c r="B45" s="998" t="s">
        <v>1170</v>
      </c>
      <c r="C45" s="999">
        <f aca="true" t="shared" si="12" ref="C45:I45">SUM(C46)</f>
        <v>0</v>
      </c>
      <c r="D45" s="999">
        <f t="shared" si="12"/>
        <v>0</v>
      </c>
      <c r="E45" s="999">
        <f t="shared" si="12"/>
        <v>0</v>
      </c>
      <c r="F45" s="999">
        <f t="shared" si="12"/>
        <v>0</v>
      </c>
      <c r="G45" s="999">
        <f t="shared" si="12"/>
        <v>0</v>
      </c>
      <c r="H45" s="999">
        <f t="shared" si="12"/>
        <v>0</v>
      </c>
      <c r="I45" s="999">
        <f t="shared" si="12"/>
        <v>0</v>
      </c>
      <c r="J45" s="967">
        <v>0</v>
      </c>
    </row>
    <row r="46" spans="1:10" ht="13.5" thickBot="1">
      <c r="A46" s="984">
        <v>621</v>
      </c>
      <c r="B46" s="1000" t="s">
        <v>169</v>
      </c>
      <c r="C46" s="1001"/>
      <c r="D46" s="1001"/>
      <c r="E46" s="1001"/>
      <c r="F46" s="1001"/>
      <c r="G46" s="1001"/>
      <c r="H46" s="1001"/>
      <c r="I46" s="1001"/>
      <c r="J46" s="987">
        <v>0</v>
      </c>
    </row>
    <row r="47" spans="1:10" ht="26.25" customHeight="1" thickBot="1" thickTop="1">
      <c r="A47" s="1680" t="s">
        <v>1556</v>
      </c>
      <c r="B47" s="1681"/>
      <c r="C47" s="1002">
        <f>C4</f>
        <v>453286579</v>
      </c>
      <c r="D47" s="1002">
        <f aca="true" t="shared" si="13" ref="D47:I47">D4</f>
        <v>180000</v>
      </c>
      <c r="E47" s="1002">
        <f t="shared" si="13"/>
        <v>400000</v>
      </c>
      <c r="F47" s="1002">
        <f t="shared" si="13"/>
        <v>92252279.21000001</v>
      </c>
      <c r="G47" s="1002">
        <f t="shared" si="13"/>
        <v>81581123</v>
      </c>
      <c r="H47" s="1002">
        <f t="shared" si="13"/>
        <v>5</v>
      </c>
      <c r="I47" s="1002">
        <f t="shared" si="13"/>
        <v>427000</v>
      </c>
      <c r="J47" s="1002">
        <f>I47+G47+F47+E47+D47+C47</f>
        <v>628126981.21</v>
      </c>
    </row>
    <row r="48" spans="1:10" ht="12.75">
      <c r="A48" s="275"/>
      <c r="B48" s="276"/>
      <c r="C48" s="264"/>
      <c r="D48" s="265"/>
      <c r="E48" s="265"/>
      <c r="F48" s="265"/>
      <c r="G48" s="265"/>
      <c r="H48" s="265"/>
      <c r="I48" s="265"/>
      <c r="J48" s="24"/>
    </row>
    <row r="49" spans="1:10" ht="12.75">
      <c r="A49" s="277"/>
      <c r="B49" s="24"/>
      <c r="C49" s="265"/>
      <c r="D49" s="265"/>
      <c r="E49" s="265"/>
      <c r="F49" s="265"/>
      <c r="G49" s="265"/>
      <c r="H49" s="265"/>
      <c r="I49" s="265"/>
      <c r="J49" s="24"/>
    </row>
    <row r="50" spans="1:10" ht="12.75">
      <c r="A50" s="277"/>
      <c r="B50" s="24"/>
      <c r="C50" s="265"/>
      <c r="D50" s="265"/>
      <c r="E50" s="265"/>
      <c r="F50" s="265"/>
      <c r="G50" s="265"/>
      <c r="H50" s="265"/>
      <c r="I50" s="265"/>
      <c r="J50" s="278"/>
    </row>
    <row r="51" spans="1:10" ht="12.75">
      <c r="A51" s="277"/>
      <c r="B51" s="24"/>
      <c r="C51" s="265"/>
      <c r="D51" s="265"/>
      <c r="E51" s="264"/>
      <c r="F51" s="265"/>
      <c r="G51" s="265"/>
      <c r="H51" s="265"/>
      <c r="I51" s="265"/>
      <c r="J51" s="278"/>
    </row>
    <row r="52" spans="1:10" s="23" customFormat="1" ht="16.5" customHeight="1">
      <c r="A52" s="277"/>
      <c r="B52" s="24"/>
      <c r="C52" s="265"/>
      <c r="D52" s="265"/>
      <c r="E52" s="265"/>
      <c r="F52" s="264"/>
      <c r="G52" s="264"/>
      <c r="H52" s="264"/>
      <c r="I52" s="264"/>
      <c r="J52" s="276"/>
    </row>
    <row r="53" spans="1:10" ht="12.75">
      <c r="A53" s="277"/>
      <c r="B53" s="24"/>
      <c r="C53" s="265"/>
      <c r="D53" s="265"/>
      <c r="E53" s="265"/>
      <c r="F53" s="265"/>
      <c r="G53" s="265"/>
      <c r="H53" s="265"/>
      <c r="I53" s="265"/>
      <c r="J53" s="24"/>
    </row>
    <row r="54" spans="1:10" ht="12.75">
      <c r="A54" s="277"/>
      <c r="B54" s="24"/>
      <c r="C54" s="265"/>
      <c r="D54" s="265"/>
      <c r="E54" s="265"/>
      <c r="F54" s="265"/>
      <c r="G54" s="265"/>
      <c r="H54" s="265"/>
      <c r="I54" s="265"/>
      <c r="J54" s="278"/>
    </row>
    <row r="55" spans="1:10" ht="12.75">
      <c r="A55" s="275"/>
      <c r="B55" s="276"/>
      <c r="C55" s="264"/>
      <c r="D55" s="265"/>
      <c r="E55" s="265"/>
      <c r="F55" s="265"/>
      <c r="G55" s="265"/>
      <c r="H55" s="265"/>
      <c r="I55" s="265"/>
      <c r="J55" s="24"/>
    </row>
    <row r="56" spans="1:10" ht="12.75" customHeight="1">
      <c r="A56" s="277"/>
      <c r="B56" s="24"/>
      <c r="C56" s="265"/>
      <c r="D56" s="265"/>
      <c r="E56" s="265"/>
      <c r="F56" s="265"/>
      <c r="G56" s="265"/>
      <c r="H56" s="265"/>
      <c r="I56" s="265"/>
      <c r="J56" s="24"/>
    </row>
    <row r="57" spans="1:10" ht="12.75">
      <c r="A57" s="277"/>
      <c r="B57" s="24"/>
      <c r="C57" s="265"/>
      <c r="D57" s="264"/>
      <c r="E57" s="264"/>
      <c r="F57" s="265"/>
      <c r="G57" s="265"/>
      <c r="H57" s="265"/>
      <c r="I57" s="265"/>
      <c r="J57" s="24"/>
    </row>
    <row r="58" spans="1:10" s="23" customFormat="1" ht="12" customHeight="1">
      <c r="A58" s="277"/>
      <c r="B58" s="24"/>
      <c r="C58" s="265"/>
      <c r="D58" s="265"/>
      <c r="E58" s="265"/>
      <c r="F58" s="264"/>
      <c r="G58" s="264"/>
      <c r="H58" s="264"/>
      <c r="I58" s="264"/>
      <c r="J58" s="276"/>
    </row>
    <row r="59" spans="1:10" ht="12.75">
      <c r="A59" s="277"/>
      <c r="B59" s="24"/>
      <c r="C59" s="265"/>
      <c r="D59" s="265"/>
      <c r="E59" s="265"/>
      <c r="F59" s="265"/>
      <c r="G59" s="265"/>
      <c r="H59" s="265"/>
      <c r="I59" s="265"/>
      <c r="J59" s="24"/>
    </row>
    <row r="60" spans="1:10" s="23" customFormat="1" ht="12.75" customHeight="1">
      <c r="A60" s="277"/>
      <c r="B60" s="24"/>
      <c r="C60" s="265"/>
      <c r="D60" s="265"/>
      <c r="E60" s="265"/>
      <c r="F60" s="264"/>
      <c r="G60" s="264"/>
      <c r="H60" s="264"/>
      <c r="I60" s="264"/>
      <c r="J60" s="276"/>
    </row>
    <row r="61" spans="1:10" ht="12.75" customHeight="1">
      <c r="A61" s="277"/>
      <c r="B61" s="24"/>
      <c r="C61" s="265"/>
      <c r="D61" s="265"/>
      <c r="E61" s="265"/>
      <c r="F61" s="265"/>
      <c r="G61" s="265"/>
      <c r="H61" s="265"/>
      <c r="I61" s="265"/>
      <c r="J61" s="24"/>
    </row>
    <row r="62" spans="1:10" s="23" customFormat="1" ht="16.5" customHeight="1">
      <c r="A62" s="275"/>
      <c r="B62" s="276"/>
      <c r="C62" s="264"/>
      <c r="D62" s="265"/>
      <c r="E62" s="265"/>
      <c r="F62" s="264"/>
      <c r="G62" s="264"/>
      <c r="H62" s="264"/>
      <c r="I62" s="264"/>
      <c r="J62" s="276"/>
    </row>
    <row r="63" spans="1:10" ht="12.75">
      <c r="A63" s="277"/>
      <c r="B63" s="24"/>
      <c r="C63" s="265"/>
      <c r="D63" s="265"/>
      <c r="E63" s="265"/>
      <c r="F63" s="265"/>
      <c r="G63" s="265"/>
      <c r="H63" s="265"/>
      <c r="I63" s="265"/>
      <c r="J63" s="24"/>
    </row>
    <row r="64" spans="1:10" s="23" customFormat="1" ht="16.5" customHeight="1">
      <c r="A64" s="275"/>
      <c r="B64" s="276"/>
      <c r="C64" s="264"/>
      <c r="D64" s="264"/>
      <c r="E64" s="264"/>
      <c r="F64" s="264"/>
      <c r="G64" s="264"/>
      <c r="H64" s="264"/>
      <c r="I64" s="264"/>
      <c r="J64" s="276"/>
    </row>
    <row r="65" spans="1:10" ht="12.75">
      <c r="A65" s="277"/>
      <c r="B65" s="24"/>
      <c r="C65" s="265"/>
      <c r="D65" s="265"/>
      <c r="E65" s="265"/>
      <c r="F65" s="265"/>
      <c r="G65" s="265"/>
      <c r="H65" s="265"/>
      <c r="I65" s="265"/>
      <c r="J65" s="24"/>
    </row>
    <row r="66" spans="1:10" ht="12.75">
      <c r="A66" s="275"/>
      <c r="B66" s="276"/>
      <c r="C66" s="264"/>
      <c r="D66" s="265"/>
      <c r="E66" s="265"/>
      <c r="F66" s="265"/>
      <c r="G66" s="265"/>
      <c r="H66" s="265"/>
      <c r="I66" s="265"/>
      <c r="J66" s="24"/>
    </row>
    <row r="67" spans="1:10" ht="12.75">
      <c r="A67" s="277"/>
      <c r="B67" s="24"/>
      <c r="C67" s="265"/>
      <c r="D67" s="265"/>
      <c r="E67" s="265"/>
      <c r="F67" s="265"/>
      <c r="G67" s="265"/>
      <c r="H67" s="265"/>
      <c r="I67" s="265"/>
      <c r="J67" s="24"/>
    </row>
    <row r="68" spans="1:10" s="23" customFormat="1" ht="12.75" customHeight="1">
      <c r="A68" s="275"/>
      <c r="B68" s="276"/>
      <c r="C68" s="264"/>
      <c r="D68" s="265"/>
      <c r="E68" s="265"/>
      <c r="F68" s="264"/>
      <c r="G68" s="264"/>
      <c r="H68" s="264"/>
      <c r="I68" s="264"/>
      <c r="J68" s="276"/>
    </row>
    <row r="69" spans="1:10" ht="12.75">
      <c r="A69" s="277"/>
      <c r="B69" s="24"/>
      <c r="C69" s="265"/>
      <c r="D69" s="265"/>
      <c r="E69" s="265"/>
      <c r="F69" s="265"/>
      <c r="G69" s="265"/>
      <c r="H69" s="265"/>
      <c r="I69" s="265"/>
      <c r="J69" s="24"/>
    </row>
    <row r="70" spans="1:10" ht="12.75">
      <c r="A70" s="275"/>
      <c r="B70" s="276"/>
      <c r="C70" s="264"/>
      <c r="D70" s="264"/>
      <c r="E70" s="264"/>
      <c r="F70" s="265"/>
      <c r="G70" s="265"/>
      <c r="H70" s="265"/>
      <c r="I70" s="265"/>
      <c r="J70" s="24"/>
    </row>
    <row r="71" spans="1:10" ht="12.75">
      <c r="A71" s="277"/>
      <c r="B71" s="24"/>
      <c r="C71" s="265"/>
      <c r="D71" s="265"/>
      <c r="E71" s="265"/>
      <c r="F71" s="265"/>
      <c r="G71" s="265"/>
      <c r="H71" s="265"/>
      <c r="I71" s="265"/>
      <c r="J71" s="24"/>
    </row>
    <row r="72" spans="1:10" ht="11.25" customHeight="1">
      <c r="A72" s="277"/>
      <c r="B72" s="24"/>
      <c r="C72" s="265"/>
      <c r="D72" s="264"/>
      <c r="E72" s="264"/>
      <c r="F72" s="265"/>
      <c r="G72" s="265"/>
      <c r="H72" s="265"/>
      <c r="I72" s="265"/>
      <c r="J72" s="24"/>
    </row>
    <row r="73" spans="1:10" s="23" customFormat="1" ht="27.75" customHeight="1">
      <c r="A73" s="1676"/>
      <c r="B73" s="1676"/>
      <c r="C73" s="264"/>
      <c r="D73" s="265"/>
      <c r="E73" s="265"/>
      <c r="F73" s="264"/>
      <c r="G73" s="264"/>
      <c r="H73" s="264"/>
      <c r="I73" s="264"/>
      <c r="J73" s="276"/>
    </row>
    <row r="74" spans="1:10" s="23" customFormat="1" ht="12.75" customHeight="1">
      <c r="A74" s="275"/>
      <c r="B74" s="276"/>
      <c r="C74" s="264"/>
      <c r="D74" s="265"/>
      <c r="E74" s="265"/>
      <c r="F74" s="264"/>
      <c r="G74" s="264"/>
      <c r="H74" s="264"/>
      <c r="I74" s="264"/>
      <c r="J74" s="276"/>
    </row>
    <row r="75" spans="1:10" ht="12.75">
      <c r="A75" s="24"/>
      <c r="B75" s="24"/>
      <c r="C75" s="265"/>
      <c r="D75" s="264"/>
      <c r="E75" s="264"/>
      <c r="F75" s="265"/>
      <c r="G75" s="265"/>
      <c r="H75" s="265"/>
      <c r="I75" s="265"/>
      <c r="J75" s="24"/>
    </row>
    <row r="76" spans="1:10" ht="23.25" customHeight="1">
      <c r="A76" s="1676"/>
      <c r="B76" s="1676"/>
      <c r="C76" s="264"/>
      <c r="D76" s="265"/>
      <c r="E76" s="265"/>
      <c r="F76" s="43"/>
      <c r="G76" s="43"/>
      <c r="H76" s="43"/>
      <c r="I76" s="43"/>
      <c r="J76" s="22"/>
    </row>
    <row r="77" spans="1:10" ht="12.75" customHeight="1">
      <c r="A77" s="275"/>
      <c r="B77" s="276"/>
      <c r="C77" s="264"/>
      <c r="D77" s="265"/>
      <c r="E77" s="265"/>
      <c r="F77" s="43"/>
      <c r="G77" s="43"/>
      <c r="H77" s="43"/>
      <c r="I77" s="43"/>
      <c r="J77" s="22"/>
    </row>
    <row r="78" spans="1:10" ht="12.75" customHeight="1">
      <c r="A78" s="279"/>
      <c r="B78" s="24"/>
      <c r="C78" s="265"/>
      <c r="D78" s="265"/>
      <c r="E78" s="265"/>
      <c r="F78" s="43"/>
      <c r="G78" s="43"/>
      <c r="H78" s="43"/>
      <c r="I78" s="43"/>
      <c r="J78" s="22"/>
    </row>
    <row r="79" spans="1:10" ht="12.75" customHeight="1">
      <c r="A79" s="279"/>
      <c r="B79" s="24"/>
      <c r="C79" s="265"/>
      <c r="D79" s="265"/>
      <c r="E79" s="265"/>
      <c r="F79" s="43"/>
      <c r="G79" s="43"/>
      <c r="H79" s="43"/>
      <c r="I79" s="43"/>
      <c r="J79" s="22"/>
    </row>
    <row r="80" spans="1:10" ht="12.75" customHeight="1">
      <c r="A80" s="279"/>
      <c r="B80" s="24"/>
      <c r="C80" s="265"/>
      <c r="D80" s="265"/>
      <c r="E80" s="265"/>
      <c r="F80" s="43"/>
      <c r="G80" s="43"/>
      <c r="H80" s="43"/>
      <c r="I80" s="43"/>
      <c r="J80" s="22"/>
    </row>
    <row r="81" spans="1:10" ht="12.75">
      <c r="A81" s="24"/>
      <c r="B81" s="278"/>
      <c r="C81" s="265"/>
      <c r="D81" s="264"/>
      <c r="E81" s="264"/>
      <c r="F81" s="43"/>
      <c r="G81" s="43"/>
      <c r="H81" s="43"/>
      <c r="I81" s="43"/>
      <c r="J81" s="22"/>
    </row>
    <row r="82" spans="1:10" ht="12.75">
      <c r="A82" s="279"/>
      <c r="B82" s="24"/>
      <c r="C82" s="265"/>
      <c r="D82" s="264"/>
      <c r="E82" s="264"/>
      <c r="F82" s="43"/>
      <c r="G82" s="43"/>
      <c r="H82" s="43"/>
      <c r="I82" s="43"/>
      <c r="J82" s="22"/>
    </row>
    <row r="83" spans="1:10" ht="12.75">
      <c r="A83" s="279"/>
      <c r="B83" s="24"/>
      <c r="C83" s="265"/>
      <c r="D83" s="264"/>
      <c r="E83" s="264"/>
      <c r="F83" s="43"/>
      <c r="G83" s="43"/>
      <c r="H83" s="43"/>
      <c r="I83" s="43"/>
      <c r="J83" s="22"/>
    </row>
    <row r="84" spans="1:10" ht="12.75">
      <c r="A84" s="275"/>
      <c r="B84" s="276"/>
      <c r="C84" s="265"/>
      <c r="D84" s="264"/>
      <c r="E84" s="264"/>
      <c r="F84" s="43"/>
      <c r="G84" s="43"/>
      <c r="H84" s="43"/>
      <c r="I84" s="43"/>
      <c r="J84" s="22"/>
    </row>
    <row r="85" spans="1:10" ht="12.75">
      <c r="A85" s="279"/>
      <c r="B85" s="24"/>
      <c r="C85" s="265"/>
      <c r="D85" s="264"/>
      <c r="E85" s="264"/>
      <c r="F85" s="43"/>
      <c r="G85" s="43"/>
      <c r="H85" s="43"/>
      <c r="I85" s="43"/>
      <c r="J85" s="22"/>
    </row>
    <row r="86" spans="1:10" ht="12.75">
      <c r="A86" s="275"/>
      <c r="B86" s="276"/>
      <c r="C86" s="265"/>
      <c r="D86" s="264"/>
      <c r="E86" s="264"/>
      <c r="F86" s="43"/>
      <c r="G86" s="43"/>
      <c r="H86" s="43"/>
      <c r="I86" s="43"/>
      <c r="J86" s="22"/>
    </row>
    <row r="87" spans="1:10" ht="12.75">
      <c r="A87" s="24"/>
      <c r="B87" s="278"/>
      <c r="C87" s="265"/>
      <c r="D87" s="265"/>
      <c r="E87" s="265"/>
      <c r="F87" s="43"/>
      <c r="G87" s="43"/>
      <c r="H87" s="43"/>
      <c r="I87" s="43"/>
      <c r="J87" s="22"/>
    </row>
    <row r="88" spans="1:10" ht="12.75">
      <c r="A88" s="279"/>
      <c r="B88" s="24"/>
      <c r="C88" s="265"/>
      <c r="D88" s="265"/>
      <c r="E88" s="265"/>
      <c r="F88" s="43"/>
      <c r="G88" s="43"/>
      <c r="H88" s="43"/>
      <c r="I88" s="43"/>
      <c r="J88" s="22"/>
    </row>
    <row r="89" spans="1:10" ht="12.75">
      <c r="A89" s="275"/>
      <c r="B89" s="276"/>
      <c r="C89" s="264"/>
      <c r="D89" s="264"/>
      <c r="E89" s="264"/>
      <c r="F89" s="43"/>
      <c r="G89" s="43"/>
      <c r="H89" s="43"/>
      <c r="I89" s="43"/>
      <c r="J89" s="22"/>
    </row>
    <row r="90" spans="1:10" ht="12.75">
      <c r="A90" s="24"/>
      <c r="B90" s="24"/>
      <c r="C90" s="265"/>
      <c r="D90" s="265"/>
      <c r="E90" s="265"/>
      <c r="F90" s="43"/>
      <c r="G90" s="43"/>
      <c r="H90" s="43"/>
      <c r="I90" s="43"/>
      <c r="J90" s="22"/>
    </row>
    <row r="91" spans="1:10" ht="12.75">
      <c r="A91" s="24"/>
      <c r="B91" s="278"/>
      <c r="C91" s="265"/>
      <c r="D91" s="265"/>
      <c r="E91" s="265"/>
      <c r="F91" s="43"/>
      <c r="G91" s="43"/>
      <c r="H91" s="43"/>
      <c r="I91" s="43"/>
      <c r="J91" s="22"/>
    </row>
    <row r="92" spans="1:5" ht="12.75">
      <c r="A92" s="279"/>
      <c r="B92" s="24"/>
      <c r="C92" s="265"/>
      <c r="D92" s="265"/>
      <c r="E92" s="265"/>
    </row>
    <row r="93" spans="1:10" ht="25.5" customHeight="1">
      <c r="A93" s="1677"/>
      <c r="B93" s="1677"/>
      <c r="C93" s="264"/>
      <c r="D93" s="266"/>
      <c r="E93" s="265"/>
      <c r="J93" s="22"/>
    </row>
    <row r="94" spans="1:5" ht="12.75">
      <c r="A94" s="277"/>
      <c r="B94" s="24"/>
      <c r="C94" s="265"/>
      <c r="D94" s="265"/>
      <c r="E94" s="265"/>
    </row>
    <row r="95" spans="1:5" ht="12.75">
      <c r="A95" s="277"/>
      <c r="B95" s="24"/>
      <c r="C95" s="265"/>
      <c r="D95" s="265"/>
      <c r="E95" s="265"/>
    </row>
    <row r="96" spans="1:5" ht="12.75">
      <c r="A96" s="277"/>
      <c r="B96" s="24"/>
      <c r="C96" s="265"/>
      <c r="D96" s="265"/>
      <c r="E96" s="265"/>
    </row>
    <row r="97" spans="1:5" ht="12.75">
      <c r="A97" s="277"/>
      <c r="B97" s="24"/>
      <c r="C97" s="265"/>
      <c r="D97" s="265"/>
      <c r="E97" s="265"/>
    </row>
    <row r="98" spans="1:5" ht="12.75">
      <c r="A98" s="277"/>
      <c r="B98" s="24"/>
      <c r="C98" s="265"/>
      <c r="D98" s="265"/>
      <c r="E98" s="265"/>
    </row>
    <row r="99" spans="1:5" ht="12.75">
      <c r="A99" s="277"/>
      <c r="B99" s="24"/>
      <c r="C99" s="266"/>
      <c r="D99" s="265"/>
      <c r="E99" s="265"/>
    </row>
    <row r="100" spans="1:5" ht="12.75">
      <c r="A100" s="277"/>
      <c r="B100" s="24"/>
      <c r="C100" s="266"/>
      <c r="D100" s="265"/>
      <c r="E100" s="265"/>
    </row>
  </sheetData>
  <sheetProtection/>
  <mergeCells count="6">
    <mergeCell ref="A76:B76"/>
    <mergeCell ref="A93:B93"/>
    <mergeCell ref="A1:F1"/>
    <mergeCell ref="A4:B4"/>
    <mergeCell ref="A47:B47"/>
    <mergeCell ref="A73:B73"/>
  </mergeCells>
  <printOptions/>
  <pageMargins left="0.4724409448818898" right="0.31" top="0.15748031496062992" bottom="0.2755905511811024" header="0" footer="0.15748031496062992"/>
  <pageSetup horizontalDpi="600" verticalDpi="600" orientation="landscape" paperSize="10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42"/>
  <sheetViews>
    <sheetView tabSelected="1" zoomScale="89" zoomScaleNormal="89" zoomScalePageLayoutView="0" workbookViewId="0" topLeftCell="A1">
      <pane xSplit="10" ySplit="6" topLeftCell="M7" activePane="bottomRight" state="frozen"/>
      <selection pane="topLeft" activeCell="B1" sqref="B1"/>
      <selection pane="topRight" activeCell="J1" sqref="J1"/>
      <selection pane="bottomLeft" activeCell="B7" sqref="B7"/>
      <selection pane="bottomRight" activeCell="W390" sqref="W390"/>
    </sheetView>
  </sheetViews>
  <sheetFormatPr defaultColWidth="8.8515625" defaultRowHeight="12.75"/>
  <cols>
    <col min="1" max="1" width="2.8515625" style="349" hidden="1" customWidth="1"/>
    <col min="2" max="2" width="3.57421875" style="424" customWidth="1"/>
    <col min="3" max="3" width="6.57421875" style="424" customWidth="1"/>
    <col min="4" max="4" width="5.421875" style="347" customWidth="1"/>
    <col min="5" max="5" width="11.00390625" style="424" customWidth="1"/>
    <col min="6" max="6" width="6.57421875" style="347" hidden="1" customWidth="1"/>
    <col min="7" max="7" width="6.00390625" style="347" customWidth="1"/>
    <col min="8" max="8" width="7.00390625" style="349" customWidth="1"/>
    <col min="9" max="9" width="20.28125" style="349" customWidth="1"/>
    <col min="10" max="10" width="15.57421875" style="349" customWidth="1"/>
    <col min="11" max="11" width="22.8515625" style="400" hidden="1" customWidth="1"/>
    <col min="12" max="12" width="14.57421875" style="400" hidden="1" customWidth="1"/>
    <col min="13" max="13" width="15.421875" style="356" customWidth="1"/>
    <col min="14" max="14" width="15.421875" style="356" hidden="1" customWidth="1"/>
    <col min="15" max="15" width="13.28125" style="349" customWidth="1"/>
    <col min="16" max="16" width="12.00390625" style="349" customWidth="1"/>
    <col min="17" max="17" width="14.421875" style="349" customWidth="1"/>
    <col min="18" max="18" width="15.7109375" style="349" customWidth="1"/>
    <col min="19" max="19" width="11.57421875" style="349" hidden="1" customWidth="1"/>
    <col min="20" max="20" width="13.140625" style="349" customWidth="1"/>
    <col min="21" max="21" width="2.7109375" style="349" hidden="1" customWidth="1"/>
    <col min="22" max="22" width="17.421875" style="360" customWidth="1"/>
    <col min="23" max="24" width="16.00390625" style="360" customWidth="1"/>
    <col min="25" max="27" width="16.00390625" style="349" customWidth="1"/>
    <col min="28" max="28" width="14.8515625" style="349" customWidth="1"/>
    <col min="29" max="33" width="8.8515625" style="349" customWidth="1"/>
    <col min="34" max="16384" width="8.8515625" style="349" customWidth="1"/>
  </cols>
  <sheetData>
    <row r="1" spans="2:3" ht="12.75">
      <c r="B1" s="44" t="s">
        <v>134</v>
      </c>
      <c r="C1" s="45"/>
    </row>
    <row r="2" spans="2:17" ht="12.75">
      <c r="B2" s="46" t="s">
        <v>135</v>
      </c>
      <c r="I2" s="1675" t="s">
        <v>1520</v>
      </c>
      <c r="J2" s="1675"/>
      <c r="K2" s="1675"/>
      <c r="L2" s="1675"/>
      <c r="M2" s="1675"/>
      <c r="N2" s="1675"/>
      <c r="O2" s="1675"/>
      <c r="P2" s="1675"/>
      <c r="Q2" s="1675"/>
    </row>
    <row r="3" spans="6:17" ht="12.75">
      <c r="F3" s="47"/>
      <c r="G3" s="47"/>
      <c r="H3" s="47"/>
      <c r="I3" s="48"/>
      <c r="J3" s="595"/>
      <c r="K3" s="909"/>
      <c r="L3" s="909"/>
      <c r="M3" s="595"/>
      <c r="N3" s="595"/>
      <c r="O3" s="595"/>
      <c r="P3" s="595"/>
      <c r="Q3" s="595"/>
    </row>
    <row r="4" spans="6:24" ht="27.75" customHeight="1" hidden="1">
      <c r="F4" s="47"/>
      <c r="G4" s="47"/>
      <c r="H4" s="47"/>
      <c r="I4" s="331"/>
      <c r="J4" s="182"/>
      <c r="K4" s="909"/>
      <c r="L4" s="909"/>
      <c r="M4" s="1649"/>
      <c r="N4" s="1649"/>
      <c r="O4" s="1650"/>
      <c r="P4" s="1650"/>
      <c r="Q4" s="1650"/>
      <c r="R4" s="1650"/>
      <c r="S4" s="1650"/>
      <c r="T4" s="1650"/>
      <c r="U4" s="1650"/>
      <c r="V4" s="1650"/>
      <c r="W4" s="349"/>
      <c r="X4" s="349"/>
    </row>
    <row r="5" spans="2:23" ht="21.75" customHeight="1" thickBot="1">
      <c r="B5" s="49"/>
      <c r="C5" s="425"/>
      <c r="D5" s="50"/>
      <c r="E5" s="49"/>
      <c r="F5" s="426"/>
      <c r="G5" s="426"/>
      <c r="H5" s="427"/>
      <c r="I5" s="427"/>
      <c r="J5" s="427"/>
      <c r="K5" s="910"/>
      <c r="L5" s="910"/>
      <c r="M5" s="403"/>
      <c r="N5" s="403"/>
      <c r="O5" s="377"/>
      <c r="P5" s="377"/>
      <c r="Q5" s="377"/>
      <c r="S5" s="349" t="s">
        <v>1506</v>
      </c>
      <c r="T5" s="377"/>
      <c r="U5" s="377"/>
      <c r="V5" s="791"/>
      <c r="W5" s="715"/>
    </row>
    <row r="6" spans="2:24" ht="81" customHeight="1" thickBot="1" thickTop="1">
      <c r="B6" s="69" t="s">
        <v>130</v>
      </c>
      <c r="C6" s="70" t="s">
        <v>131</v>
      </c>
      <c r="D6" s="70" t="s">
        <v>132</v>
      </c>
      <c r="E6" s="281" t="s">
        <v>283</v>
      </c>
      <c r="F6" s="70" t="s">
        <v>282</v>
      </c>
      <c r="G6" s="71" t="s">
        <v>133</v>
      </c>
      <c r="H6" s="1651" t="s">
        <v>77</v>
      </c>
      <c r="I6" s="1651"/>
      <c r="J6" s="1651"/>
      <c r="K6" s="1099" t="s">
        <v>1513</v>
      </c>
      <c r="L6" s="1100" t="s">
        <v>1514</v>
      </c>
      <c r="M6" s="1217" t="s">
        <v>1562</v>
      </c>
      <c r="N6" s="1218" t="s">
        <v>1530</v>
      </c>
      <c r="O6" s="172" t="s">
        <v>1318</v>
      </c>
      <c r="P6" s="172" t="s">
        <v>1216</v>
      </c>
      <c r="Q6" s="172" t="s">
        <v>1217</v>
      </c>
      <c r="R6" s="172" t="s">
        <v>1218</v>
      </c>
      <c r="S6" s="172" t="s">
        <v>1219</v>
      </c>
      <c r="T6" s="172" t="s">
        <v>1220</v>
      </c>
      <c r="U6" s="378" t="s">
        <v>1184</v>
      </c>
      <c r="V6" s="834" t="s">
        <v>1369</v>
      </c>
      <c r="W6" s="834" t="s">
        <v>1497</v>
      </c>
      <c r="X6" s="834" t="s">
        <v>1519</v>
      </c>
    </row>
    <row r="7" spans="2:24" s="500" customFormat="1" ht="12.75">
      <c r="B7" s="494">
        <v>1</v>
      </c>
      <c r="C7" s="495"/>
      <c r="D7" s="496"/>
      <c r="E7" s="497"/>
      <c r="F7" s="496"/>
      <c r="G7" s="496"/>
      <c r="H7" s="1642" t="s">
        <v>78</v>
      </c>
      <c r="I7" s="1643"/>
      <c r="J7" s="1644"/>
      <c r="K7" s="911">
        <f>K8+K24</f>
        <v>8255000</v>
      </c>
      <c r="L7" s="1116">
        <f>L8+L24</f>
        <v>5182851.969999999</v>
      </c>
      <c r="M7" s="1129">
        <f>'Rashodi-2021'!M7</f>
        <v>13968000</v>
      </c>
      <c r="N7" s="1129" t="e">
        <f>'Rashodi-2021'!#REF!</f>
        <v>#REF!</v>
      </c>
      <c r="O7" s="1212">
        <f>'Rashodi-2021'!N7</f>
        <v>0</v>
      </c>
      <c r="P7" s="508">
        <f>'Rashodi-2021'!O7</f>
        <v>0</v>
      </c>
      <c r="Q7" s="508">
        <f>'Rashodi-2021'!P7</f>
        <v>0</v>
      </c>
      <c r="R7" s="508">
        <f>'Rashodi-2021'!Q7</f>
        <v>0</v>
      </c>
      <c r="S7" s="508">
        <f>'Rashodi-2021'!R7</f>
        <v>0</v>
      </c>
      <c r="T7" s="508">
        <f>'Rashodi-2021'!S7</f>
        <v>0</v>
      </c>
      <c r="U7" s="509">
        <f>SUM(O7:T7)</f>
        <v>0</v>
      </c>
      <c r="V7" s="835">
        <f>'Rashodi-2021'!U7</f>
        <v>13968000</v>
      </c>
      <c r="W7" s="835">
        <v>13968000</v>
      </c>
      <c r="X7" s="835">
        <v>13968000</v>
      </c>
    </row>
    <row r="8" spans="2:24" ht="12.75">
      <c r="B8" s="284"/>
      <c r="C8" s="285"/>
      <c r="D8" s="428"/>
      <c r="E8" s="610" t="s">
        <v>1199</v>
      </c>
      <c r="F8" s="428"/>
      <c r="G8" s="429"/>
      <c r="H8" s="1511" t="s">
        <v>1198</v>
      </c>
      <c r="I8" s="1512"/>
      <c r="J8" s="1512"/>
      <c r="K8" s="957">
        <f>K9</f>
        <v>8055000</v>
      </c>
      <c r="L8" s="1113">
        <f>L9</f>
        <v>5182851.969999999</v>
      </c>
      <c r="M8" s="957">
        <f>'Rashodi-2021'!M8</f>
        <v>13768000</v>
      </c>
      <c r="N8" s="957" t="e">
        <f>'Rashodi-2021'!#REF!</f>
        <v>#REF!</v>
      </c>
      <c r="O8" s="1213">
        <f>'Rashodi-2021'!N8</f>
        <v>0</v>
      </c>
      <c r="P8" s="1189">
        <f>'Rashodi-2021'!O8</f>
        <v>0</v>
      </c>
      <c r="Q8" s="1189">
        <f>'Rashodi-2021'!P8</f>
        <v>0</v>
      </c>
      <c r="R8" s="1189">
        <f>'Rashodi-2021'!Q8</f>
        <v>0</v>
      </c>
      <c r="S8" s="1189">
        <f>'Rashodi-2021'!R8</f>
        <v>0</v>
      </c>
      <c r="T8" s="1189">
        <f>'Rashodi-2021'!S8</f>
        <v>0</v>
      </c>
      <c r="U8" s="1190">
        <f aca="true" t="shared" si="0" ref="U8:U72">SUM(O8:T8)</f>
        <v>0</v>
      </c>
      <c r="V8" s="1107">
        <f>'Rashodi-2021'!U8</f>
        <v>13768000</v>
      </c>
      <c r="W8" s="848">
        <v>13768000</v>
      </c>
      <c r="X8" s="848">
        <v>13768000</v>
      </c>
    </row>
    <row r="9" spans="2:24" ht="14.25" customHeight="1">
      <c r="B9" s="284"/>
      <c r="C9" s="285"/>
      <c r="D9" s="428"/>
      <c r="E9" s="346" t="s">
        <v>1200</v>
      </c>
      <c r="F9" s="428"/>
      <c r="G9" s="429"/>
      <c r="H9" s="1537" t="s">
        <v>1201</v>
      </c>
      <c r="I9" s="1600"/>
      <c r="J9" s="1600"/>
      <c r="K9" s="1062">
        <f>K10</f>
        <v>8055000</v>
      </c>
      <c r="L9" s="1114">
        <f>L10</f>
        <v>5182851.969999999</v>
      </c>
      <c r="M9" s="1128">
        <f>'Rashodi-2021'!M9</f>
        <v>13768000</v>
      </c>
      <c r="N9" s="1128" t="e">
        <f>'Rashodi-2021'!#REF!</f>
        <v>#REF!</v>
      </c>
      <c r="O9" s="1214">
        <f>'Rashodi-2021'!N9</f>
        <v>0</v>
      </c>
      <c r="P9" s="1194">
        <f>'Rashodi-2021'!O9</f>
        <v>0</v>
      </c>
      <c r="Q9" s="1194">
        <f>'Rashodi-2021'!P9</f>
        <v>0</v>
      </c>
      <c r="R9" s="1194">
        <f>'Rashodi-2021'!Q9</f>
        <v>0</v>
      </c>
      <c r="S9" s="1194">
        <f>'Rashodi-2021'!R9</f>
        <v>0</v>
      </c>
      <c r="T9" s="1194">
        <f>'Rashodi-2021'!S9</f>
        <v>0</v>
      </c>
      <c r="U9" s="1195">
        <f t="shared" si="0"/>
        <v>0</v>
      </c>
      <c r="V9" s="1196">
        <f>'Rashodi-2021'!U9</f>
        <v>13768000</v>
      </c>
      <c r="W9" s="652">
        <v>13768000</v>
      </c>
      <c r="X9" s="652">
        <v>13768000</v>
      </c>
    </row>
    <row r="10" spans="2:24" ht="24.75" customHeight="1">
      <c r="B10" s="430"/>
      <c r="C10" s="431"/>
      <c r="D10" s="56">
        <v>110</v>
      </c>
      <c r="E10" s="58"/>
      <c r="F10" s="432"/>
      <c r="G10" s="433"/>
      <c r="H10" s="1652" t="s">
        <v>1221</v>
      </c>
      <c r="I10" s="1527"/>
      <c r="J10" s="1527"/>
      <c r="K10" s="838">
        <f>SUM(K11:K23)</f>
        <v>8055000</v>
      </c>
      <c r="L10" s="1115">
        <f>SUM(L11:L23)</f>
        <v>5182851.969999999</v>
      </c>
      <c r="M10" s="1130">
        <f>'Rashodi-2021'!M10</f>
        <v>13768000</v>
      </c>
      <c r="N10" s="1130" t="e">
        <f>'Rashodi-2021'!#REF!</f>
        <v>#REF!</v>
      </c>
      <c r="O10" s="1216">
        <f>'Rashodi-2021'!N10</f>
        <v>0</v>
      </c>
      <c r="P10" s="1202">
        <f>'Rashodi-2021'!O10</f>
        <v>0</v>
      </c>
      <c r="Q10" s="1202">
        <f>'Rashodi-2021'!P10</f>
        <v>0</v>
      </c>
      <c r="R10" s="1202">
        <f>'Rashodi-2021'!Q10</f>
        <v>0</v>
      </c>
      <c r="S10" s="1202">
        <f>'Rashodi-2021'!R10</f>
        <v>0</v>
      </c>
      <c r="T10" s="1202">
        <f>'Rashodi-2021'!S10</f>
        <v>0</v>
      </c>
      <c r="U10" s="1219">
        <f t="shared" si="0"/>
        <v>0</v>
      </c>
      <c r="V10" s="1203">
        <f>'Rashodi-2021'!U10</f>
        <v>13768000</v>
      </c>
      <c r="W10" s="837">
        <v>13768000</v>
      </c>
      <c r="X10" s="1175">
        <v>13768000</v>
      </c>
    </row>
    <row r="11" spans="2:24" s="356" customFormat="1" ht="12.75">
      <c r="B11" s="350"/>
      <c r="C11" s="357"/>
      <c r="D11" s="352"/>
      <c r="E11" s="357"/>
      <c r="F11" s="368">
        <v>1</v>
      </c>
      <c r="G11" s="434">
        <v>411</v>
      </c>
      <c r="H11" s="1492" t="s">
        <v>27</v>
      </c>
      <c r="I11" s="1493"/>
      <c r="J11" s="1494"/>
      <c r="K11" s="922">
        <v>2114000</v>
      </c>
      <c r="L11" s="1110">
        <v>1505694.74</v>
      </c>
      <c r="M11" s="1112">
        <f>'Rashodi-2021'!M11</f>
        <v>3976000</v>
      </c>
      <c r="N11" s="1112" t="e">
        <f>'Rashodi-2021'!#REF!</f>
        <v>#REF!</v>
      </c>
      <c r="O11" s="1215">
        <f>'Rashodi-2021'!N11</f>
        <v>0</v>
      </c>
      <c r="P11" s="1208">
        <f>'Rashodi-2021'!O11</f>
        <v>0</v>
      </c>
      <c r="Q11" s="1208">
        <f>'Rashodi-2021'!P11</f>
        <v>0</v>
      </c>
      <c r="R11" s="1208">
        <f>'Rashodi-2021'!Q11</f>
        <v>0</v>
      </c>
      <c r="S11" s="1208">
        <f>'Rashodi-2021'!R11</f>
        <v>0</v>
      </c>
      <c r="T11" s="1208">
        <f>'Rashodi-2021'!S11</f>
        <v>0</v>
      </c>
      <c r="U11" s="1220">
        <f t="shared" si="0"/>
        <v>0</v>
      </c>
      <c r="V11" s="1138">
        <f>'Rashodi-2021'!U11</f>
        <v>3976000</v>
      </c>
      <c r="W11" s="608">
        <v>3976000</v>
      </c>
      <c r="X11" s="844">
        <v>3976000</v>
      </c>
    </row>
    <row r="12" spans="2:24" s="356" customFormat="1" ht="12.75">
      <c r="B12" s="350"/>
      <c r="C12" s="357"/>
      <c r="D12" s="352"/>
      <c r="E12" s="357"/>
      <c r="F12" s="368">
        <v>2</v>
      </c>
      <c r="G12" s="434">
        <v>412</v>
      </c>
      <c r="H12" s="1492" t="s">
        <v>79</v>
      </c>
      <c r="I12" s="1493"/>
      <c r="J12" s="1494"/>
      <c r="K12" s="914">
        <v>376000</v>
      </c>
      <c r="L12" s="917">
        <v>250698.19</v>
      </c>
      <c r="M12" s="1112">
        <f>'Rashodi-2021'!M12</f>
        <v>597000</v>
      </c>
      <c r="N12" s="1112" t="e">
        <f>'Rashodi-2021'!#REF!</f>
        <v>#REF!</v>
      </c>
      <c r="O12" s="1215">
        <f>'Rashodi-2021'!N12</f>
        <v>0</v>
      </c>
      <c r="P12" s="1208">
        <f>'Rashodi-2021'!O12</f>
        <v>0</v>
      </c>
      <c r="Q12" s="1208">
        <f>'Rashodi-2021'!P12</f>
        <v>0</v>
      </c>
      <c r="R12" s="1208">
        <f>'Rashodi-2021'!Q12</f>
        <v>0</v>
      </c>
      <c r="S12" s="1208">
        <f>'Rashodi-2021'!R12</f>
        <v>0</v>
      </c>
      <c r="T12" s="1208">
        <f>'Rashodi-2021'!S12</f>
        <v>0</v>
      </c>
      <c r="U12" s="1220">
        <f t="shared" si="0"/>
        <v>0</v>
      </c>
      <c r="V12" s="1138">
        <f>'Rashodi-2021'!U12</f>
        <v>597000</v>
      </c>
      <c r="W12" s="608">
        <v>597000</v>
      </c>
      <c r="X12" s="844">
        <v>597000</v>
      </c>
    </row>
    <row r="13" spans="2:24" s="356" customFormat="1" ht="12.75">
      <c r="B13" s="350"/>
      <c r="C13" s="357"/>
      <c r="D13" s="352"/>
      <c r="E13" s="357"/>
      <c r="F13" s="368">
        <v>3</v>
      </c>
      <c r="G13" s="434">
        <v>414</v>
      </c>
      <c r="H13" s="1495" t="s">
        <v>203</v>
      </c>
      <c r="I13" s="1496"/>
      <c r="J13" s="1497"/>
      <c r="K13" s="914">
        <v>110000</v>
      </c>
      <c r="L13" s="917">
        <v>0</v>
      </c>
      <c r="M13" s="1112">
        <f>'Rashodi-2021'!M13</f>
        <v>110000</v>
      </c>
      <c r="N13" s="1112" t="e">
        <f>'Rashodi-2021'!#REF!</f>
        <v>#REF!</v>
      </c>
      <c r="O13" s="1215">
        <f>'Rashodi-2021'!N13</f>
        <v>0</v>
      </c>
      <c r="P13" s="1208">
        <f>'Rashodi-2021'!O13</f>
        <v>0</v>
      </c>
      <c r="Q13" s="1208">
        <f>'Rashodi-2021'!P13</f>
        <v>0</v>
      </c>
      <c r="R13" s="1208">
        <f>'Rashodi-2021'!Q13</f>
        <v>0</v>
      </c>
      <c r="S13" s="1208">
        <f>'Rashodi-2021'!R13</f>
        <v>0</v>
      </c>
      <c r="T13" s="1208">
        <f>'Rashodi-2021'!S13</f>
        <v>0</v>
      </c>
      <c r="U13" s="1220">
        <f t="shared" si="0"/>
        <v>0</v>
      </c>
      <c r="V13" s="1138">
        <f>'Rashodi-2021'!U13</f>
        <v>110000</v>
      </c>
      <c r="W13" s="608">
        <v>110000</v>
      </c>
      <c r="X13" s="844">
        <v>110000</v>
      </c>
    </row>
    <row r="14" spans="2:24" s="356" customFormat="1" ht="12.75">
      <c r="B14" s="350"/>
      <c r="C14" s="357"/>
      <c r="D14" s="352"/>
      <c r="E14" s="357"/>
      <c r="F14" s="368">
        <v>4</v>
      </c>
      <c r="G14" s="434">
        <v>415</v>
      </c>
      <c r="H14" s="1492" t="s">
        <v>31</v>
      </c>
      <c r="I14" s="1493"/>
      <c r="J14" s="1494"/>
      <c r="K14" s="914">
        <v>130000</v>
      </c>
      <c r="L14" s="917">
        <v>76724.45</v>
      </c>
      <c r="M14" s="1112">
        <f>'Rashodi-2021'!M14</f>
        <v>360000</v>
      </c>
      <c r="N14" s="1112" t="e">
        <f>'Rashodi-2021'!#REF!</f>
        <v>#REF!</v>
      </c>
      <c r="O14" s="1215">
        <f>'Rashodi-2021'!N14</f>
        <v>0</v>
      </c>
      <c r="P14" s="1208">
        <f>'Rashodi-2021'!O14</f>
        <v>0</v>
      </c>
      <c r="Q14" s="1208">
        <f>'Rashodi-2021'!P14</f>
        <v>0</v>
      </c>
      <c r="R14" s="1208">
        <f>'Rashodi-2021'!Q14</f>
        <v>0</v>
      </c>
      <c r="S14" s="1208">
        <f>'Rashodi-2021'!R14</f>
        <v>0</v>
      </c>
      <c r="T14" s="1208">
        <f>'Rashodi-2021'!S14</f>
        <v>0</v>
      </c>
      <c r="U14" s="1220">
        <f t="shared" si="0"/>
        <v>0</v>
      </c>
      <c r="V14" s="1138">
        <f>'Rashodi-2021'!U14</f>
        <v>360000</v>
      </c>
      <c r="W14" s="608">
        <v>360000</v>
      </c>
      <c r="X14" s="844">
        <v>360000</v>
      </c>
    </row>
    <row r="15" spans="2:24" s="356" customFormat="1" ht="12.75">
      <c r="B15" s="350"/>
      <c r="C15" s="357"/>
      <c r="D15" s="352"/>
      <c r="E15" s="357"/>
      <c r="F15" s="368"/>
      <c r="G15" s="434">
        <v>416</v>
      </c>
      <c r="H15" s="1495" t="s">
        <v>200</v>
      </c>
      <c r="I15" s="1496"/>
      <c r="J15" s="1497"/>
      <c r="K15" s="914"/>
      <c r="L15" s="917"/>
      <c r="M15" s="1112">
        <f>'Rashodi-2021'!M15</f>
        <v>100000</v>
      </c>
      <c r="N15" s="1112">
        <v>0</v>
      </c>
      <c r="O15" s="1215">
        <v>0</v>
      </c>
      <c r="P15" s="1208">
        <v>0</v>
      </c>
      <c r="Q15" s="1208">
        <v>0</v>
      </c>
      <c r="R15" s="1208">
        <v>0</v>
      </c>
      <c r="S15" s="1208">
        <v>0</v>
      </c>
      <c r="T15" s="1208">
        <v>0</v>
      </c>
      <c r="U15" s="1220"/>
      <c r="V15" s="1138">
        <f>T15+S15+R15+Q15+P15+O15+M15</f>
        <v>100000</v>
      </c>
      <c r="W15" s="608">
        <v>100000</v>
      </c>
      <c r="X15" s="844">
        <v>100000</v>
      </c>
    </row>
    <row r="16" spans="2:24" s="356" customFormat="1" ht="12.75">
      <c r="B16" s="350"/>
      <c r="C16" s="357"/>
      <c r="D16" s="352"/>
      <c r="E16" s="357"/>
      <c r="F16" s="368">
        <v>5</v>
      </c>
      <c r="G16" s="434">
        <v>421</v>
      </c>
      <c r="H16" s="1495" t="s">
        <v>33</v>
      </c>
      <c r="I16" s="1496"/>
      <c r="J16" s="1497"/>
      <c r="K16" s="914">
        <v>45000</v>
      </c>
      <c r="L16" s="917">
        <v>10132.79</v>
      </c>
      <c r="M16" s="1112">
        <f>'Rashodi-2021'!M16</f>
        <v>45000</v>
      </c>
      <c r="N16" s="1112" t="e">
        <f>'Rashodi-2021'!#REF!</f>
        <v>#REF!</v>
      </c>
      <c r="O16" s="1215">
        <f>'Rashodi-2021'!N16</f>
        <v>0</v>
      </c>
      <c r="P16" s="1208">
        <f>'Rashodi-2021'!O16</f>
        <v>0</v>
      </c>
      <c r="Q16" s="1208">
        <f>'Rashodi-2021'!P16</f>
        <v>0</v>
      </c>
      <c r="R16" s="1208">
        <f>'Rashodi-2021'!Q16</f>
        <v>0</v>
      </c>
      <c r="S16" s="1208">
        <f>'Rashodi-2021'!R16</f>
        <v>0</v>
      </c>
      <c r="T16" s="1208">
        <f>'Rashodi-2021'!S16</f>
        <v>0</v>
      </c>
      <c r="U16" s="1220">
        <f t="shared" si="0"/>
        <v>0</v>
      </c>
      <c r="V16" s="1138">
        <f>'Rashodi-2021'!U16</f>
        <v>45000</v>
      </c>
      <c r="W16" s="608">
        <v>45000</v>
      </c>
      <c r="X16" s="844">
        <v>45000</v>
      </c>
    </row>
    <row r="17" spans="2:24" s="356" customFormat="1" ht="12.75">
      <c r="B17" s="350"/>
      <c r="C17" s="357"/>
      <c r="D17" s="352"/>
      <c r="E17" s="357"/>
      <c r="F17" s="368">
        <v>6</v>
      </c>
      <c r="G17" s="434">
        <v>422</v>
      </c>
      <c r="H17" s="1495" t="s">
        <v>34</v>
      </c>
      <c r="I17" s="1496"/>
      <c r="J17" s="1497"/>
      <c r="K17" s="914">
        <v>20000</v>
      </c>
      <c r="L17" s="917">
        <v>0</v>
      </c>
      <c r="M17" s="1112">
        <f>'Rashodi-2021'!M18</f>
        <v>20000</v>
      </c>
      <c r="N17" s="1112" t="e">
        <f>'Rashodi-2021'!#REF!</f>
        <v>#REF!</v>
      </c>
      <c r="O17" s="1215">
        <f>'Rashodi-2021'!N18</f>
        <v>0</v>
      </c>
      <c r="P17" s="1208">
        <f>'Rashodi-2021'!O18</f>
        <v>0</v>
      </c>
      <c r="Q17" s="1208">
        <f>'Rashodi-2021'!P18</f>
        <v>0</v>
      </c>
      <c r="R17" s="1208">
        <f>'Rashodi-2021'!Q18</f>
        <v>0</v>
      </c>
      <c r="S17" s="1208">
        <f>'Rashodi-2021'!R18</f>
        <v>0</v>
      </c>
      <c r="T17" s="1208">
        <f>'Rashodi-2021'!S18</f>
        <v>0</v>
      </c>
      <c r="U17" s="1220">
        <f t="shared" si="0"/>
        <v>0</v>
      </c>
      <c r="V17" s="1138">
        <f>'Rashodi-2021'!U18</f>
        <v>20000</v>
      </c>
      <c r="W17" s="608">
        <v>20000</v>
      </c>
      <c r="X17" s="844">
        <v>20000</v>
      </c>
    </row>
    <row r="18" spans="2:24" s="356" customFormat="1" ht="12.75">
      <c r="B18" s="350"/>
      <c r="C18" s="357"/>
      <c r="D18" s="352"/>
      <c r="E18" s="357"/>
      <c r="F18" s="368">
        <v>7</v>
      </c>
      <c r="G18" s="444">
        <v>423</v>
      </c>
      <c r="H18" s="1508" t="s">
        <v>1370</v>
      </c>
      <c r="I18" s="1509"/>
      <c r="J18" s="1510"/>
      <c r="K18" s="746">
        <v>3150000</v>
      </c>
      <c r="L18" s="359">
        <v>2068569.6999999997</v>
      </c>
      <c r="M18" s="1112">
        <f>'Rashodi-2021'!M19</f>
        <v>3500000</v>
      </c>
      <c r="N18" s="1112" t="e">
        <f>'Rashodi-2021'!#REF!</f>
        <v>#REF!</v>
      </c>
      <c r="O18" s="1215">
        <f>'Rashodi-2021'!N19</f>
        <v>0</v>
      </c>
      <c r="P18" s="1208">
        <f>'Rashodi-2021'!O19</f>
        <v>0</v>
      </c>
      <c r="Q18" s="1208">
        <f>'Rashodi-2021'!P19</f>
        <v>0</v>
      </c>
      <c r="R18" s="1208">
        <f>'Rashodi-2021'!Q19</f>
        <v>0</v>
      </c>
      <c r="S18" s="1208">
        <f>'Rashodi-2021'!R19</f>
        <v>0</v>
      </c>
      <c r="T18" s="1208">
        <f>'Rashodi-2021'!S19</f>
        <v>0</v>
      </c>
      <c r="U18" s="1220">
        <f t="shared" si="0"/>
        <v>0</v>
      </c>
      <c r="V18" s="1138">
        <f>'Rashodi-2021'!U19</f>
        <v>3500000</v>
      </c>
      <c r="W18" s="608">
        <v>3500000</v>
      </c>
      <c r="X18" s="844">
        <v>3500000</v>
      </c>
    </row>
    <row r="19" spans="2:24" s="356" customFormat="1" ht="12.75">
      <c r="B19" s="350"/>
      <c r="C19" s="357"/>
      <c r="D19" s="352"/>
      <c r="E19" s="357"/>
      <c r="F19" s="368">
        <v>8</v>
      </c>
      <c r="G19" s="444">
        <v>423</v>
      </c>
      <c r="H19" s="1517" t="s">
        <v>1419</v>
      </c>
      <c r="I19" s="1518"/>
      <c r="J19" s="1519"/>
      <c r="K19" s="746">
        <v>350000</v>
      </c>
      <c r="L19" s="359">
        <v>178301.90000000002</v>
      </c>
      <c r="M19" s="1112">
        <f>'Rashodi-2021'!M20</f>
        <v>350000</v>
      </c>
      <c r="N19" s="1112" t="e">
        <f>'Rashodi-2021'!#REF!</f>
        <v>#REF!</v>
      </c>
      <c r="O19" s="1215">
        <f>'Rashodi-2021'!N20</f>
        <v>0</v>
      </c>
      <c r="P19" s="1208">
        <f>'Rashodi-2021'!O20</f>
        <v>0</v>
      </c>
      <c r="Q19" s="1208">
        <f>'Rashodi-2021'!P20</f>
        <v>0</v>
      </c>
      <c r="R19" s="1208">
        <f>'Rashodi-2021'!Q20</f>
        <v>0</v>
      </c>
      <c r="S19" s="1208">
        <f>'Rashodi-2021'!R20</f>
        <v>0</v>
      </c>
      <c r="T19" s="1208">
        <f>'Rashodi-2021'!S20</f>
        <v>0</v>
      </c>
      <c r="U19" s="1220">
        <f t="shared" si="0"/>
        <v>0</v>
      </c>
      <c r="V19" s="1138">
        <f>'Rashodi-2021'!U20</f>
        <v>350000</v>
      </c>
      <c r="W19" s="608">
        <v>350000</v>
      </c>
      <c r="X19" s="844">
        <v>350000</v>
      </c>
    </row>
    <row r="20" spans="2:24" s="356" customFormat="1" ht="12.75">
      <c r="B20" s="350"/>
      <c r="C20" s="357"/>
      <c r="D20" s="352"/>
      <c r="E20" s="357"/>
      <c r="F20" s="368">
        <v>9</v>
      </c>
      <c r="G20" s="434">
        <v>423</v>
      </c>
      <c r="H20" s="1495" t="s">
        <v>1371</v>
      </c>
      <c r="I20" s="1496"/>
      <c r="J20" s="1497"/>
      <c r="K20" s="914">
        <v>750000</v>
      </c>
      <c r="L20" s="917">
        <v>577281.35</v>
      </c>
      <c r="M20" s="1112">
        <f>'Rashodi-2021'!M21</f>
        <v>850000</v>
      </c>
      <c r="N20" s="1112" t="e">
        <f>'Rashodi-2021'!#REF!</f>
        <v>#REF!</v>
      </c>
      <c r="O20" s="1215">
        <f>'Rashodi-2021'!N21</f>
        <v>0</v>
      </c>
      <c r="P20" s="1208">
        <f>'Rashodi-2021'!O21</f>
        <v>0</v>
      </c>
      <c r="Q20" s="1208">
        <f>'Rashodi-2021'!P21</f>
        <v>0</v>
      </c>
      <c r="R20" s="1208">
        <f>'Rashodi-2021'!Q21</f>
        <v>0</v>
      </c>
      <c r="S20" s="1208">
        <f>'Rashodi-2021'!R21</f>
        <v>0</v>
      </c>
      <c r="T20" s="1208">
        <f>'Rashodi-2021'!S21</f>
        <v>0</v>
      </c>
      <c r="U20" s="1220">
        <f t="shared" si="0"/>
        <v>0</v>
      </c>
      <c r="V20" s="1138">
        <f>'Rashodi-2021'!U21</f>
        <v>850000</v>
      </c>
      <c r="W20" s="608">
        <v>850000</v>
      </c>
      <c r="X20" s="844">
        <v>850000</v>
      </c>
    </row>
    <row r="21" spans="2:24" s="356" customFormat="1" ht="12.75">
      <c r="B21" s="350"/>
      <c r="C21" s="357"/>
      <c r="D21" s="352"/>
      <c r="E21" s="357"/>
      <c r="F21" s="368">
        <v>10</v>
      </c>
      <c r="G21" s="434">
        <v>423</v>
      </c>
      <c r="H21" s="1495" t="s">
        <v>35</v>
      </c>
      <c r="I21" s="1496"/>
      <c r="J21" s="1497"/>
      <c r="K21" s="914">
        <v>500000</v>
      </c>
      <c r="L21" s="917">
        <v>257041.26</v>
      </c>
      <c r="M21" s="1112">
        <f>'Rashodi-2021'!M22</f>
        <v>450000</v>
      </c>
      <c r="N21" s="1112" t="e">
        <f>'Rashodi-2021'!#REF!</f>
        <v>#REF!</v>
      </c>
      <c r="O21" s="1215">
        <f>'Rashodi-2021'!N22</f>
        <v>0</v>
      </c>
      <c r="P21" s="1208">
        <f>'Rashodi-2021'!O22</f>
        <v>0</v>
      </c>
      <c r="Q21" s="1208">
        <f>'Rashodi-2021'!P22</f>
        <v>0</v>
      </c>
      <c r="R21" s="1208">
        <f>'Rashodi-2021'!Q22</f>
        <v>0</v>
      </c>
      <c r="S21" s="1208">
        <f>'Rashodi-2021'!R22</f>
        <v>0</v>
      </c>
      <c r="T21" s="1208">
        <f>'Rashodi-2021'!S22</f>
        <v>0</v>
      </c>
      <c r="U21" s="1220">
        <f t="shared" si="0"/>
        <v>0</v>
      </c>
      <c r="V21" s="1138">
        <f>'Rashodi-2021'!U22</f>
        <v>450000</v>
      </c>
      <c r="W21" s="608">
        <v>450000</v>
      </c>
      <c r="X21" s="844">
        <v>450000</v>
      </c>
    </row>
    <row r="22" spans="2:24" s="356" customFormat="1" ht="12.75">
      <c r="B22" s="350"/>
      <c r="C22" s="357"/>
      <c r="D22" s="352"/>
      <c r="E22" s="357"/>
      <c r="F22" s="368">
        <v>11</v>
      </c>
      <c r="G22" s="434">
        <v>426</v>
      </c>
      <c r="H22" s="1495" t="s">
        <v>38</v>
      </c>
      <c r="I22" s="1496"/>
      <c r="J22" s="1497"/>
      <c r="K22" s="914">
        <v>150000</v>
      </c>
      <c r="L22" s="917">
        <v>34914</v>
      </c>
      <c r="M22" s="1112">
        <f>'Rashodi-2021'!M24</f>
        <v>195000</v>
      </c>
      <c r="N22" s="1112" t="e">
        <f>'Rashodi-2021'!#REF!</f>
        <v>#REF!</v>
      </c>
      <c r="O22" s="1215">
        <f>'Rashodi-2021'!N24</f>
        <v>0</v>
      </c>
      <c r="P22" s="1208">
        <f>'Rashodi-2021'!O24</f>
        <v>0</v>
      </c>
      <c r="Q22" s="1208">
        <f>'Rashodi-2021'!P24</f>
        <v>0</v>
      </c>
      <c r="R22" s="1208">
        <f>'Rashodi-2021'!Q24</f>
        <v>0</v>
      </c>
      <c r="S22" s="1208">
        <f>'Rashodi-2021'!R24</f>
        <v>0</v>
      </c>
      <c r="T22" s="1208">
        <f>'Rashodi-2021'!S24</f>
        <v>0</v>
      </c>
      <c r="U22" s="1220">
        <f t="shared" si="0"/>
        <v>0</v>
      </c>
      <c r="V22" s="1138">
        <f>'Rashodi-2021'!U24</f>
        <v>195000</v>
      </c>
      <c r="W22" s="608">
        <v>195000</v>
      </c>
      <c r="X22" s="844">
        <v>195000</v>
      </c>
    </row>
    <row r="23" spans="2:24" s="356" customFormat="1" ht="12.75">
      <c r="B23" s="350"/>
      <c r="C23" s="357"/>
      <c r="D23" s="352"/>
      <c r="E23" s="357"/>
      <c r="F23" s="368">
        <v>12</v>
      </c>
      <c r="G23" s="434">
        <v>481</v>
      </c>
      <c r="H23" s="1555" t="s">
        <v>80</v>
      </c>
      <c r="I23" s="1556"/>
      <c r="J23" s="1557"/>
      <c r="K23" s="915">
        <v>360000</v>
      </c>
      <c r="L23" s="918">
        <v>223493.58999999997</v>
      </c>
      <c r="M23" s="1112">
        <f>'Rashodi-2021'!M26</f>
        <v>215000</v>
      </c>
      <c r="N23" s="1112" t="e">
        <f>'Rashodi-2021'!#REF!</f>
        <v>#REF!</v>
      </c>
      <c r="O23" s="1215">
        <f>'Rashodi-2021'!N26</f>
        <v>0</v>
      </c>
      <c r="P23" s="1208">
        <f>'Rashodi-2021'!O26</f>
        <v>0</v>
      </c>
      <c r="Q23" s="1208">
        <f>'Rashodi-2021'!P26</f>
        <v>0</v>
      </c>
      <c r="R23" s="1208">
        <f>'Rashodi-2021'!Q26</f>
        <v>0</v>
      </c>
      <c r="S23" s="1208">
        <f>'Rashodi-2021'!R26</f>
        <v>0</v>
      </c>
      <c r="T23" s="1208">
        <f>'Rashodi-2021'!S26</f>
        <v>0</v>
      </c>
      <c r="U23" s="1220">
        <f t="shared" si="0"/>
        <v>0</v>
      </c>
      <c r="V23" s="1138">
        <f>'Rashodi-2021'!U26</f>
        <v>215000</v>
      </c>
      <c r="W23" s="608">
        <v>215000</v>
      </c>
      <c r="X23" s="844">
        <v>215000</v>
      </c>
    </row>
    <row r="24" spans="2:24" ht="12.75">
      <c r="B24" s="284"/>
      <c r="C24" s="285"/>
      <c r="D24" s="428"/>
      <c r="E24" s="610" t="s">
        <v>284</v>
      </c>
      <c r="F24" s="611"/>
      <c r="G24" s="612"/>
      <c r="H24" s="1511" t="s">
        <v>1261</v>
      </c>
      <c r="I24" s="1512"/>
      <c r="J24" s="1512"/>
      <c r="K24" s="957">
        <f aca="true" t="shared" si="1" ref="K24:L26">K25</f>
        <v>200000</v>
      </c>
      <c r="L24" s="1113">
        <f t="shared" si="1"/>
        <v>0</v>
      </c>
      <c r="M24" s="957">
        <f>'Rashodi-2021'!M27</f>
        <v>200000</v>
      </c>
      <c r="N24" s="957" t="e">
        <f>'Rashodi-2021'!#REF!</f>
        <v>#REF!</v>
      </c>
      <c r="O24" s="1213">
        <f>'Rashodi-2021'!N27</f>
        <v>0</v>
      </c>
      <c r="P24" s="1189">
        <f>'Rashodi-2021'!O27</f>
        <v>0</v>
      </c>
      <c r="Q24" s="1189">
        <f>'Rashodi-2021'!P27</f>
        <v>0</v>
      </c>
      <c r="R24" s="1189">
        <f>'Rashodi-2021'!Q27</f>
        <v>0</v>
      </c>
      <c r="S24" s="1189">
        <f>'Rashodi-2021'!R27</f>
        <v>0</v>
      </c>
      <c r="T24" s="1189">
        <f>'Rashodi-2021'!S27</f>
        <v>0</v>
      </c>
      <c r="U24" s="1190">
        <f t="shared" si="0"/>
        <v>0</v>
      </c>
      <c r="V24" s="1107">
        <f>'Rashodi-2021'!U27</f>
        <v>200000</v>
      </c>
      <c r="W24" s="848">
        <v>200000</v>
      </c>
      <c r="X24" s="848">
        <v>200000</v>
      </c>
    </row>
    <row r="25" spans="2:24" s="356" customFormat="1" ht="12.75">
      <c r="B25" s="284"/>
      <c r="C25" s="285"/>
      <c r="D25" s="428"/>
      <c r="E25" s="610" t="s">
        <v>862</v>
      </c>
      <c r="F25" s="346"/>
      <c r="G25" s="601"/>
      <c r="H25" s="1489" t="s">
        <v>1263</v>
      </c>
      <c r="I25" s="1490"/>
      <c r="J25" s="1490"/>
      <c r="K25" s="1062">
        <f t="shared" si="1"/>
        <v>200000</v>
      </c>
      <c r="L25" s="1114">
        <f t="shared" si="1"/>
        <v>0</v>
      </c>
      <c r="M25" s="1128">
        <f>'Rashodi-2021'!M28</f>
        <v>200000</v>
      </c>
      <c r="N25" s="1128" t="e">
        <f>'Rashodi-2021'!#REF!</f>
        <v>#REF!</v>
      </c>
      <c r="O25" s="1214">
        <f>'Rashodi-2021'!N28</f>
        <v>0</v>
      </c>
      <c r="P25" s="1194">
        <f>'Rashodi-2021'!O28</f>
        <v>0</v>
      </c>
      <c r="Q25" s="1194">
        <f>'Rashodi-2021'!P28</f>
        <v>0</v>
      </c>
      <c r="R25" s="1194">
        <f>'Rashodi-2021'!Q28</f>
        <v>0</v>
      </c>
      <c r="S25" s="1194">
        <f>'Rashodi-2021'!R28</f>
        <v>0</v>
      </c>
      <c r="T25" s="1194">
        <f>'Rashodi-2021'!S28</f>
        <v>0</v>
      </c>
      <c r="U25" s="1197">
        <f t="shared" si="0"/>
        <v>0</v>
      </c>
      <c r="V25" s="1196">
        <f>'Rashodi-2021'!U28</f>
        <v>200000</v>
      </c>
      <c r="W25" s="652">
        <v>200000</v>
      </c>
      <c r="X25" s="652">
        <v>200000</v>
      </c>
    </row>
    <row r="26" spans="2:24" s="356" customFormat="1" ht="12.75">
      <c r="B26" s="350"/>
      <c r="C26" s="357"/>
      <c r="D26" s="56">
        <v>130</v>
      </c>
      <c r="E26" s="180"/>
      <c r="F26" s="357"/>
      <c r="G26" s="353"/>
      <c r="H26" s="1526" t="s">
        <v>90</v>
      </c>
      <c r="I26" s="1527"/>
      <c r="J26" s="1528"/>
      <c r="K26" s="751">
        <f t="shared" si="1"/>
        <v>200000</v>
      </c>
      <c r="L26" s="1090">
        <f t="shared" si="1"/>
        <v>0</v>
      </c>
      <c r="M26" s="1130">
        <f>'Rashodi-2021'!M29</f>
        <v>200000</v>
      </c>
      <c r="N26" s="1130" t="e">
        <f>'Rashodi-2021'!#REF!</f>
        <v>#REF!</v>
      </c>
      <c r="O26" s="1216">
        <f>'Rashodi-2021'!N29</f>
        <v>0</v>
      </c>
      <c r="P26" s="1202">
        <f>'Rashodi-2021'!O29</f>
        <v>0</v>
      </c>
      <c r="Q26" s="1202">
        <f>'Rashodi-2021'!P29</f>
        <v>0</v>
      </c>
      <c r="R26" s="1202">
        <f>'Rashodi-2021'!Q29</f>
        <v>0</v>
      </c>
      <c r="S26" s="1202">
        <f>'Rashodi-2021'!R29</f>
        <v>0</v>
      </c>
      <c r="T26" s="1202">
        <f>'Rashodi-2021'!S29</f>
        <v>0</v>
      </c>
      <c r="U26" s="1221">
        <f t="shared" si="0"/>
        <v>0</v>
      </c>
      <c r="V26" s="1203">
        <f>'Rashodi-2021'!U29</f>
        <v>200000</v>
      </c>
      <c r="W26" s="375">
        <v>200000</v>
      </c>
      <c r="X26" s="844">
        <v>200000</v>
      </c>
    </row>
    <row r="27" spans="2:24" s="356" customFormat="1" ht="13.5" thickBot="1">
      <c r="B27" s="369"/>
      <c r="C27" s="362"/>
      <c r="D27" s="363"/>
      <c r="E27" s="362"/>
      <c r="F27" s="351" t="s">
        <v>1527</v>
      </c>
      <c r="G27" s="606">
        <v>481</v>
      </c>
      <c r="H27" s="1517" t="s">
        <v>1508</v>
      </c>
      <c r="I27" s="1518"/>
      <c r="J27" s="1519"/>
      <c r="K27" s="372">
        <v>200000</v>
      </c>
      <c r="L27" s="373">
        <v>0</v>
      </c>
      <c r="M27" s="1112">
        <f>'Rashodi-2021'!M30</f>
        <v>200000</v>
      </c>
      <c r="N27" s="1112" t="e">
        <f>'Rashodi-2021'!#REF!</f>
        <v>#REF!</v>
      </c>
      <c r="O27" s="1215">
        <f>'Rashodi-2021'!N30</f>
        <v>0</v>
      </c>
      <c r="P27" s="1208">
        <f>'Rashodi-2021'!O30</f>
        <v>0</v>
      </c>
      <c r="Q27" s="1208">
        <f>'Rashodi-2021'!P30</f>
        <v>0</v>
      </c>
      <c r="R27" s="1208">
        <f>'Rashodi-2021'!Q30</f>
        <v>0</v>
      </c>
      <c r="S27" s="1208">
        <f>'Rashodi-2021'!R30</f>
        <v>0</v>
      </c>
      <c r="T27" s="1208">
        <f>'Rashodi-2021'!S30</f>
        <v>0</v>
      </c>
      <c r="U27" s="1222">
        <f t="shared" si="0"/>
        <v>0</v>
      </c>
      <c r="V27" s="1138">
        <f>'Rashodi-2021'!U30</f>
        <v>200000</v>
      </c>
      <c r="W27" s="608">
        <v>200000</v>
      </c>
      <c r="X27" s="844">
        <v>200000</v>
      </c>
    </row>
    <row r="28" spans="2:24" s="500" customFormat="1" ht="12.75" customHeight="1">
      <c r="B28" s="494" t="s">
        <v>824</v>
      </c>
      <c r="C28" s="495"/>
      <c r="D28" s="496"/>
      <c r="E28" s="497"/>
      <c r="F28" s="496"/>
      <c r="G28" s="524"/>
      <c r="H28" s="1642" t="s">
        <v>1196</v>
      </c>
      <c r="I28" s="1643"/>
      <c r="J28" s="1644"/>
      <c r="K28" s="911">
        <f aca="true" t="shared" si="2" ref="K28:L30">K29</f>
        <v>1471000</v>
      </c>
      <c r="L28" s="1116">
        <f t="shared" si="2"/>
        <v>942464.02</v>
      </c>
      <c r="M28" s="1223">
        <f>'Rashodi-2021'!M31</f>
        <v>591000</v>
      </c>
      <c r="N28" s="1223" t="e">
        <f>'Rashodi-2021'!#REF!</f>
        <v>#REF!</v>
      </c>
      <c r="O28" s="1224">
        <f>'Rashodi-2021'!N31</f>
        <v>0</v>
      </c>
      <c r="P28" s="1225">
        <f>'Rashodi-2021'!O31</f>
        <v>0</v>
      </c>
      <c r="Q28" s="1225">
        <f>'Rashodi-2021'!P31</f>
        <v>0</v>
      </c>
      <c r="R28" s="1225">
        <f>'Rashodi-2021'!Q31</f>
        <v>0</v>
      </c>
      <c r="S28" s="1225">
        <f>'Rashodi-2021'!R31</f>
        <v>0</v>
      </c>
      <c r="T28" s="1225">
        <f>'Rashodi-2021'!S31</f>
        <v>0</v>
      </c>
      <c r="U28" s="1226">
        <f t="shared" si="0"/>
        <v>0</v>
      </c>
      <c r="V28" s="1108">
        <f>'Rashodi-2021'!U31</f>
        <v>591000</v>
      </c>
      <c r="W28" s="835">
        <v>591000</v>
      </c>
      <c r="X28" s="1108">
        <v>591000</v>
      </c>
    </row>
    <row r="29" spans="2:24" ht="12.75">
      <c r="B29" s="284"/>
      <c r="C29" s="285"/>
      <c r="D29" s="428"/>
      <c r="E29" s="610" t="s">
        <v>284</v>
      </c>
      <c r="F29" s="611"/>
      <c r="G29" s="612"/>
      <c r="H29" s="1511" t="s">
        <v>1261</v>
      </c>
      <c r="I29" s="1512"/>
      <c r="J29" s="1512"/>
      <c r="K29" s="957">
        <f t="shared" si="2"/>
        <v>1471000</v>
      </c>
      <c r="L29" s="1113">
        <f t="shared" si="2"/>
        <v>942464.02</v>
      </c>
      <c r="M29" s="957">
        <f>'Rashodi-2021'!M32</f>
        <v>591000</v>
      </c>
      <c r="N29" s="957" t="e">
        <f>'Rashodi-2021'!#REF!</f>
        <v>#REF!</v>
      </c>
      <c r="O29" s="1213">
        <f>'Rashodi-2021'!N32</f>
        <v>0</v>
      </c>
      <c r="P29" s="1189">
        <f>'Rashodi-2021'!O32</f>
        <v>0</v>
      </c>
      <c r="Q29" s="1189">
        <f>'Rashodi-2021'!P32</f>
        <v>0</v>
      </c>
      <c r="R29" s="1189">
        <f>'Rashodi-2021'!Q32</f>
        <v>0</v>
      </c>
      <c r="S29" s="1189">
        <f>'Rashodi-2021'!R32</f>
        <v>0</v>
      </c>
      <c r="T29" s="1189">
        <f>'Rashodi-2021'!S32</f>
        <v>0</v>
      </c>
      <c r="U29" s="1190">
        <f t="shared" si="0"/>
        <v>0</v>
      </c>
      <c r="V29" s="1107">
        <f>'Rashodi-2021'!U32</f>
        <v>591000</v>
      </c>
      <c r="W29" s="848">
        <v>591000</v>
      </c>
      <c r="X29" s="848">
        <v>591000</v>
      </c>
    </row>
    <row r="30" spans="2:24" ht="14.25" customHeight="1">
      <c r="B30" s="284"/>
      <c r="C30" s="285"/>
      <c r="D30" s="428"/>
      <c r="E30" s="346" t="s">
        <v>860</v>
      </c>
      <c r="F30" s="428"/>
      <c r="G30" s="429"/>
      <c r="H30" s="1537" t="s">
        <v>1262</v>
      </c>
      <c r="I30" s="1600"/>
      <c r="J30" s="1601"/>
      <c r="K30" s="913">
        <f t="shared" si="2"/>
        <v>1471000</v>
      </c>
      <c r="L30" s="1054">
        <f t="shared" si="2"/>
        <v>942464.02</v>
      </c>
      <c r="M30" s="1128">
        <f>'Rashodi-2021'!M33</f>
        <v>591000</v>
      </c>
      <c r="N30" s="1128" t="e">
        <f>'Rashodi-2021'!#REF!</f>
        <v>#REF!</v>
      </c>
      <c r="O30" s="1214">
        <f>'Rashodi-2021'!N33</f>
        <v>0</v>
      </c>
      <c r="P30" s="1194">
        <f>'Rashodi-2021'!O33</f>
        <v>0</v>
      </c>
      <c r="Q30" s="1194">
        <f>'Rashodi-2021'!P33</f>
        <v>0</v>
      </c>
      <c r="R30" s="1194">
        <f>'Rashodi-2021'!Q33</f>
        <v>0</v>
      </c>
      <c r="S30" s="1194">
        <f>'Rashodi-2021'!R33</f>
        <v>0</v>
      </c>
      <c r="T30" s="1194">
        <f>'Rashodi-2021'!S33</f>
        <v>0</v>
      </c>
      <c r="U30" s="1195">
        <f t="shared" si="0"/>
        <v>0</v>
      </c>
      <c r="V30" s="1196">
        <f>'Rashodi-2021'!U33</f>
        <v>591000</v>
      </c>
      <c r="W30" s="652">
        <v>591000</v>
      </c>
      <c r="X30" s="652">
        <v>591000</v>
      </c>
    </row>
    <row r="31" spans="2:24" s="23" customFormat="1" ht="12.75">
      <c r="B31" s="546"/>
      <c r="C31" s="547"/>
      <c r="D31" s="56">
        <v>330</v>
      </c>
      <c r="E31" s="58"/>
      <c r="F31" s="548"/>
      <c r="G31" s="549"/>
      <c r="H31" s="1526" t="s">
        <v>1176</v>
      </c>
      <c r="I31" s="1527"/>
      <c r="J31" s="1528"/>
      <c r="K31" s="768">
        <f>SUM(K32:K36)</f>
        <v>1471000</v>
      </c>
      <c r="L31" s="1117">
        <f>SUM(L32:L36)</f>
        <v>942464.02</v>
      </c>
      <c r="M31" s="1130">
        <f>'Rashodi-2021'!M34</f>
        <v>591000</v>
      </c>
      <c r="N31" s="1130" t="e">
        <f>'Rashodi-2021'!#REF!</f>
        <v>#REF!</v>
      </c>
      <c r="O31" s="1216">
        <f>'Rashodi-2021'!N34</f>
        <v>0</v>
      </c>
      <c r="P31" s="1202">
        <f>'Rashodi-2021'!O34</f>
        <v>0</v>
      </c>
      <c r="Q31" s="1202">
        <f>'Rashodi-2021'!P34</f>
        <v>0</v>
      </c>
      <c r="R31" s="1202">
        <f>'Rashodi-2021'!Q34</f>
        <v>0</v>
      </c>
      <c r="S31" s="1202">
        <f>'Rashodi-2021'!R34</f>
        <v>0</v>
      </c>
      <c r="T31" s="1202">
        <f>'Rashodi-2021'!S34</f>
        <v>0</v>
      </c>
      <c r="U31" s="1228">
        <f t="shared" si="0"/>
        <v>0</v>
      </c>
      <c r="V31" s="1203">
        <f>'Rashodi-2021'!U34</f>
        <v>591000</v>
      </c>
      <c r="W31" s="837">
        <v>591000</v>
      </c>
      <c r="X31" s="844">
        <v>591000</v>
      </c>
    </row>
    <row r="32" spans="2:24" s="356" customFormat="1" ht="12.75">
      <c r="B32" s="350"/>
      <c r="C32" s="357"/>
      <c r="D32" s="352"/>
      <c r="E32" s="357"/>
      <c r="F32" s="529">
        <v>14</v>
      </c>
      <c r="G32" s="530">
        <v>411</v>
      </c>
      <c r="H32" s="1492" t="s">
        <v>27</v>
      </c>
      <c r="I32" s="1493"/>
      <c r="J32" s="1493"/>
      <c r="K32" s="955">
        <v>1128000</v>
      </c>
      <c r="L32" s="919">
        <v>784687.5299999999</v>
      </c>
      <c r="M32" s="1112">
        <f>'Rashodi-2021'!M35</f>
        <v>330000</v>
      </c>
      <c r="N32" s="1112" t="e">
        <f>'Rashodi-2021'!#REF!</f>
        <v>#REF!</v>
      </c>
      <c r="O32" s="1215">
        <f>'Rashodi-2021'!N35</f>
        <v>0</v>
      </c>
      <c r="P32" s="1208">
        <f>'Rashodi-2021'!O35</f>
        <v>0</v>
      </c>
      <c r="Q32" s="1208">
        <f>'Rashodi-2021'!P35</f>
        <v>0</v>
      </c>
      <c r="R32" s="1208">
        <f>'Rashodi-2021'!Q35</f>
        <v>0</v>
      </c>
      <c r="S32" s="1208">
        <f>'Rashodi-2021'!R35</f>
        <v>0</v>
      </c>
      <c r="T32" s="1208">
        <f>'Rashodi-2021'!S35</f>
        <v>0</v>
      </c>
      <c r="U32" s="1220">
        <f t="shared" si="0"/>
        <v>0</v>
      </c>
      <c r="V32" s="1138">
        <f>'Rashodi-2021'!U35</f>
        <v>330000</v>
      </c>
      <c r="W32" s="608">
        <v>330000</v>
      </c>
      <c r="X32" s="844">
        <v>330000</v>
      </c>
    </row>
    <row r="33" spans="2:24" s="356" customFormat="1" ht="12.75">
      <c r="B33" s="350"/>
      <c r="C33" s="483"/>
      <c r="D33" s="564"/>
      <c r="E33" s="648"/>
      <c r="F33" s="529">
        <v>15</v>
      </c>
      <c r="G33" s="639">
        <v>412</v>
      </c>
      <c r="H33" s="1648" t="s">
        <v>79</v>
      </c>
      <c r="I33" s="1648"/>
      <c r="J33" s="1648"/>
      <c r="K33" s="955">
        <v>202000</v>
      </c>
      <c r="L33" s="919">
        <v>130650.44</v>
      </c>
      <c r="M33" s="1112">
        <f>'Rashodi-2021'!M36</f>
        <v>60000</v>
      </c>
      <c r="N33" s="1112" t="e">
        <f>'Rashodi-2021'!#REF!</f>
        <v>#REF!</v>
      </c>
      <c r="O33" s="1215">
        <f>'Rashodi-2021'!N36</f>
        <v>0</v>
      </c>
      <c r="P33" s="1208">
        <f>'Rashodi-2021'!O36</f>
        <v>0</v>
      </c>
      <c r="Q33" s="1208">
        <f>'Rashodi-2021'!P36</f>
        <v>0</v>
      </c>
      <c r="R33" s="1208">
        <f>'Rashodi-2021'!Q36</f>
        <v>0</v>
      </c>
      <c r="S33" s="1208">
        <f>'Rashodi-2021'!R36</f>
        <v>0</v>
      </c>
      <c r="T33" s="1208">
        <f>'Rashodi-2021'!S36</f>
        <v>0</v>
      </c>
      <c r="U33" s="1220">
        <f t="shared" si="0"/>
        <v>0</v>
      </c>
      <c r="V33" s="1138">
        <f>'Rashodi-2021'!U36</f>
        <v>60000</v>
      </c>
      <c r="W33" s="608">
        <v>60000</v>
      </c>
      <c r="X33" s="844">
        <v>60000</v>
      </c>
    </row>
    <row r="34" spans="2:24" s="356" customFormat="1" ht="12.75">
      <c r="B34" s="647"/>
      <c r="C34" s="485"/>
      <c r="D34" s="532"/>
      <c r="E34" s="485"/>
      <c r="F34" s="529">
        <v>16</v>
      </c>
      <c r="G34" s="525">
        <v>415</v>
      </c>
      <c r="H34" s="1614" t="s">
        <v>31</v>
      </c>
      <c r="I34" s="1614"/>
      <c r="J34" s="1614"/>
      <c r="K34" s="919">
        <v>72000</v>
      </c>
      <c r="L34" s="919">
        <v>27027.67</v>
      </c>
      <c r="M34" s="1112">
        <f>'Rashodi-2021'!M37</f>
        <v>160000</v>
      </c>
      <c r="N34" s="1112" t="e">
        <f>'Rashodi-2021'!#REF!</f>
        <v>#REF!</v>
      </c>
      <c r="O34" s="1215">
        <f>'Rashodi-2021'!N37</f>
        <v>0</v>
      </c>
      <c r="P34" s="1208">
        <f>'Rashodi-2021'!O37</f>
        <v>0</v>
      </c>
      <c r="Q34" s="1208">
        <f>'Rashodi-2021'!P37</f>
        <v>0</v>
      </c>
      <c r="R34" s="1208">
        <f>'Rashodi-2021'!Q37</f>
        <v>0</v>
      </c>
      <c r="S34" s="1208">
        <f>'Rashodi-2021'!R37</f>
        <v>0</v>
      </c>
      <c r="T34" s="1208">
        <f>'Rashodi-2021'!S37</f>
        <v>0</v>
      </c>
      <c r="U34" s="1222">
        <f t="shared" si="0"/>
        <v>0</v>
      </c>
      <c r="V34" s="1138">
        <f>'Rashodi-2021'!U37</f>
        <v>160000</v>
      </c>
      <c r="W34" s="608">
        <v>160000</v>
      </c>
      <c r="X34" s="844">
        <v>160000</v>
      </c>
    </row>
    <row r="35" spans="2:24" s="356" customFormat="1" ht="12.75">
      <c r="B35" s="647"/>
      <c r="C35" s="485"/>
      <c r="D35" s="532"/>
      <c r="E35" s="485"/>
      <c r="F35" s="529">
        <v>17</v>
      </c>
      <c r="G35" s="525">
        <v>421</v>
      </c>
      <c r="H35" s="1614" t="s">
        <v>33</v>
      </c>
      <c r="I35" s="1614"/>
      <c r="J35" s="1614"/>
      <c r="K35" s="919">
        <v>1000</v>
      </c>
      <c r="L35" s="919">
        <v>98.38000000000001</v>
      </c>
      <c r="M35" s="1112">
        <f>'Rashodi-2021'!M38</f>
        <v>1000</v>
      </c>
      <c r="N35" s="1112" t="e">
        <f>'Rashodi-2021'!#REF!</f>
        <v>#REF!</v>
      </c>
      <c r="O35" s="1215">
        <f>'Rashodi-2021'!N38</f>
        <v>0</v>
      </c>
      <c r="P35" s="1208">
        <f>'Rashodi-2021'!O38</f>
        <v>0</v>
      </c>
      <c r="Q35" s="1208">
        <f>'Rashodi-2021'!P38</f>
        <v>0</v>
      </c>
      <c r="R35" s="1208">
        <f>'Rashodi-2021'!Q38</f>
        <v>0</v>
      </c>
      <c r="S35" s="1208">
        <f>'Rashodi-2021'!R38</f>
        <v>0</v>
      </c>
      <c r="T35" s="1208">
        <f>'Rashodi-2021'!S38</f>
        <v>0</v>
      </c>
      <c r="U35" s="1229">
        <f t="shared" si="0"/>
        <v>0</v>
      </c>
      <c r="V35" s="1138">
        <f>'Rashodi-2021'!U38</f>
        <v>1000</v>
      </c>
      <c r="W35" s="608">
        <v>1000</v>
      </c>
      <c r="X35" s="844">
        <v>1000</v>
      </c>
    </row>
    <row r="36" spans="2:24" s="356" customFormat="1" ht="13.5" thickBot="1">
      <c r="B36" s="647"/>
      <c r="C36" s="485"/>
      <c r="D36" s="532"/>
      <c r="E36" s="485"/>
      <c r="F36" s="529">
        <v>18</v>
      </c>
      <c r="G36" s="525">
        <v>426</v>
      </c>
      <c r="H36" s="1614" t="s">
        <v>38</v>
      </c>
      <c r="I36" s="1614"/>
      <c r="J36" s="1614"/>
      <c r="K36" s="920">
        <v>68000</v>
      </c>
      <c r="L36" s="920">
        <v>0</v>
      </c>
      <c r="M36" s="1112">
        <f>'Rashodi-2021'!M39</f>
        <v>40000</v>
      </c>
      <c r="N36" s="1112" t="e">
        <f>'Rashodi-2021'!#REF!</f>
        <v>#REF!</v>
      </c>
      <c r="O36" s="1215">
        <f>'Rashodi-2021'!N39</f>
        <v>0</v>
      </c>
      <c r="P36" s="1208">
        <f>'Rashodi-2021'!O39</f>
        <v>0</v>
      </c>
      <c r="Q36" s="1208">
        <f>'Rashodi-2021'!P39</f>
        <v>0</v>
      </c>
      <c r="R36" s="1208">
        <f>'Rashodi-2021'!Q39</f>
        <v>0</v>
      </c>
      <c r="S36" s="1208">
        <f>'Rashodi-2021'!R39</f>
        <v>0</v>
      </c>
      <c r="T36" s="1208">
        <f>'Rashodi-2021'!S39</f>
        <v>0</v>
      </c>
      <c r="U36" s="1229">
        <f t="shared" si="0"/>
        <v>0</v>
      </c>
      <c r="V36" s="1138">
        <f>'Rashodi-2021'!U39</f>
        <v>40000</v>
      </c>
      <c r="W36" s="608">
        <v>40000</v>
      </c>
      <c r="X36" s="844">
        <v>40000</v>
      </c>
    </row>
    <row r="37" spans="2:24" s="500" customFormat="1" ht="12.75" customHeight="1">
      <c r="B37" s="494" t="s">
        <v>329</v>
      </c>
      <c r="C37" s="495"/>
      <c r="D37" s="524"/>
      <c r="E37" s="534"/>
      <c r="F37" s="524"/>
      <c r="G37" s="640"/>
      <c r="H37" s="1645" t="s">
        <v>81</v>
      </c>
      <c r="I37" s="1646"/>
      <c r="J37" s="1647"/>
      <c r="K37" s="921">
        <f aca="true" t="shared" si="3" ref="K37:L39">K38</f>
        <v>15339000</v>
      </c>
      <c r="L37" s="1118">
        <f t="shared" si="3"/>
        <v>7504536.43</v>
      </c>
      <c r="M37" s="1129">
        <f>'Rashodi-2021'!M40</f>
        <v>12189000</v>
      </c>
      <c r="N37" s="1129" t="e">
        <f>'Rashodi-2021'!#REF!</f>
        <v>#REF!</v>
      </c>
      <c r="O37" s="1212">
        <f>'Rashodi-2021'!N40</f>
        <v>0</v>
      </c>
      <c r="P37" s="508">
        <f>'Rashodi-2021'!O40</f>
        <v>0</v>
      </c>
      <c r="Q37" s="508">
        <f>'Rashodi-2021'!P40</f>
        <v>200000</v>
      </c>
      <c r="R37" s="508">
        <f>'Rashodi-2021'!Q40</f>
        <v>0</v>
      </c>
      <c r="S37" s="508">
        <f>'Rashodi-2021'!R40</f>
        <v>0</v>
      </c>
      <c r="T37" s="508">
        <f>'Rashodi-2021'!S40</f>
        <v>0</v>
      </c>
      <c r="U37" s="507">
        <f t="shared" si="0"/>
        <v>200000</v>
      </c>
      <c r="V37" s="835">
        <f>'Rashodi-2021'!U40</f>
        <v>12389000</v>
      </c>
      <c r="W37" s="839">
        <v>12389000</v>
      </c>
      <c r="X37" s="1108">
        <v>12389000</v>
      </c>
    </row>
    <row r="38" spans="2:24" ht="12.75">
      <c r="B38" s="284"/>
      <c r="C38" s="285"/>
      <c r="D38" s="428"/>
      <c r="E38" s="610" t="s">
        <v>1199</v>
      </c>
      <c r="F38" s="611"/>
      <c r="G38" s="612"/>
      <c r="H38" s="1511" t="s">
        <v>1198</v>
      </c>
      <c r="I38" s="1512"/>
      <c r="J38" s="1513"/>
      <c r="K38" s="912">
        <f t="shared" si="3"/>
        <v>15339000</v>
      </c>
      <c r="L38" s="1079">
        <f t="shared" si="3"/>
        <v>7504536.43</v>
      </c>
      <c r="M38" s="957">
        <f>'Rashodi-2021'!M41</f>
        <v>12189000</v>
      </c>
      <c r="N38" s="957" t="e">
        <f>'Rashodi-2021'!#REF!</f>
        <v>#REF!</v>
      </c>
      <c r="O38" s="1213">
        <f>'Rashodi-2021'!N41</f>
        <v>0</v>
      </c>
      <c r="P38" s="1189">
        <f>'Rashodi-2021'!O41</f>
        <v>0</v>
      </c>
      <c r="Q38" s="1189">
        <f>'Rashodi-2021'!P41</f>
        <v>200000</v>
      </c>
      <c r="R38" s="1189">
        <f>'Rashodi-2021'!Q41</f>
        <v>0</v>
      </c>
      <c r="S38" s="1189">
        <f>'Rashodi-2021'!R41</f>
        <v>0</v>
      </c>
      <c r="T38" s="1189">
        <f>'Rashodi-2021'!S41</f>
        <v>0</v>
      </c>
      <c r="U38" s="1190">
        <f t="shared" si="0"/>
        <v>200000</v>
      </c>
      <c r="V38" s="1107">
        <f>'Rashodi-2021'!U41</f>
        <v>12389000</v>
      </c>
      <c r="W38" s="848">
        <v>12389000</v>
      </c>
      <c r="X38" s="848">
        <v>12389000</v>
      </c>
    </row>
    <row r="39" spans="2:24" ht="13.5" customHeight="1">
      <c r="B39" s="284"/>
      <c r="C39" s="285"/>
      <c r="D39" s="428"/>
      <c r="E39" s="346" t="s">
        <v>1205</v>
      </c>
      <c r="F39" s="428"/>
      <c r="G39" s="429"/>
      <c r="H39" s="1537" t="s">
        <v>1204</v>
      </c>
      <c r="I39" s="1600"/>
      <c r="J39" s="1601"/>
      <c r="K39" s="913">
        <f t="shared" si="3"/>
        <v>15339000</v>
      </c>
      <c r="L39" s="1054">
        <f t="shared" si="3"/>
        <v>7504536.43</v>
      </c>
      <c r="M39" s="1128">
        <f>'Rashodi-2021'!M42</f>
        <v>12189000</v>
      </c>
      <c r="N39" s="1128" t="e">
        <f>'Rashodi-2021'!#REF!</f>
        <v>#REF!</v>
      </c>
      <c r="O39" s="1214">
        <f>'Rashodi-2021'!N42</f>
        <v>0</v>
      </c>
      <c r="P39" s="1194">
        <f>'Rashodi-2021'!O42</f>
        <v>0</v>
      </c>
      <c r="Q39" s="1194">
        <f>'Rashodi-2021'!P42</f>
        <v>200000</v>
      </c>
      <c r="R39" s="1194">
        <f>'Rashodi-2021'!Q42</f>
        <v>0</v>
      </c>
      <c r="S39" s="1194">
        <f>'Rashodi-2021'!R42</f>
        <v>0</v>
      </c>
      <c r="T39" s="1194">
        <f>'Rashodi-2021'!S42</f>
        <v>0</v>
      </c>
      <c r="U39" s="1195">
        <f t="shared" si="0"/>
        <v>200000</v>
      </c>
      <c r="V39" s="1196">
        <f>'Rashodi-2021'!U42</f>
        <v>12389000</v>
      </c>
      <c r="W39" s="652">
        <v>12389000</v>
      </c>
      <c r="X39" s="652">
        <v>12389000</v>
      </c>
    </row>
    <row r="40" spans="2:24" s="591" customFormat="1" ht="26.25" customHeight="1">
      <c r="B40" s="586"/>
      <c r="C40" s="587"/>
      <c r="D40" s="646">
        <v>110</v>
      </c>
      <c r="E40" s="588"/>
      <c r="F40" s="589"/>
      <c r="G40" s="590"/>
      <c r="H40" s="1584" t="s">
        <v>1197</v>
      </c>
      <c r="I40" s="1585"/>
      <c r="J40" s="1586"/>
      <c r="K40" s="592">
        <f>SUM(K41:K52)</f>
        <v>15339000</v>
      </c>
      <c r="L40" s="819">
        <f>SUM(L41:L52)</f>
        <v>7504536.43</v>
      </c>
      <c r="M40" s="1130">
        <f>'Rashodi-2021'!M43</f>
        <v>12189000</v>
      </c>
      <c r="N40" s="1130" t="e">
        <f>'Rashodi-2021'!#REF!</f>
        <v>#REF!</v>
      </c>
      <c r="O40" s="1216">
        <f>'Rashodi-2021'!N43</f>
        <v>0</v>
      </c>
      <c r="P40" s="1202">
        <f>'Rashodi-2021'!O43</f>
        <v>0</v>
      </c>
      <c r="Q40" s="1202">
        <f>'Rashodi-2021'!P43</f>
        <v>200000</v>
      </c>
      <c r="R40" s="1202">
        <f>'Rashodi-2021'!Q43</f>
        <v>0</v>
      </c>
      <c r="S40" s="1202">
        <f>'Rashodi-2021'!R43</f>
        <v>0</v>
      </c>
      <c r="T40" s="1202">
        <f>'Rashodi-2021'!S43</f>
        <v>0</v>
      </c>
      <c r="U40" s="1230">
        <f t="shared" si="0"/>
        <v>200000</v>
      </c>
      <c r="V40" s="1203">
        <f>'Rashodi-2021'!U43</f>
        <v>12389000</v>
      </c>
      <c r="W40" s="837">
        <v>12389000</v>
      </c>
      <c r="X40" s="844">
        <v>12389000</v>
      </c>
    </row>
    <row r="41" spans="2:24" s="356" customFormat="1" ht="12.75">
      <c r="B41" s="350"/>
      <c r="C41" s="357"/>
      <c r="D41" s="352"/>
      <c r="E41" s="357"/>
      <c r="F41" s="368">
        <v>19</v>
      </c>
      <c r="G41" s="434">
        <v>411</v>
      </c>
      <c r="H41" s="1492" t="s">
        <v>27</v>
      </c>
      <c r="I41" s="1493"/>
      <c r="J41" s="1494"/>
      <c r="K41" s="922">
        <v>3020000</v>
      </c>
      <c r="L41" s="1110">
        <v>2111235.3699999996</v>
      </c>
      <c r="M41" s="1112">
        <f>'Rashodi-2021'!M44</f>
        <v>3320000</v>
      </c>
      <c r="N41" s="1112" t="e">
        <f>'Rashodi-2021'!#REF!</f>
        <v>#REF!</v>
      </c>
      <c r="O41" s="1215">
        <f>'Rashodi-2021'!N44</f>
        <v>0</v>
      </c>
      <c r="P41" s="1208">
        <f>'Rashodi-2021'!O44</f>
        <v>0</v>
      </c>
      <c r="Q41" s="1208">
        <f>'Rashodi-2021'!P44</f>
        <v>0</v>
      </c>
      <c r="R41" s="1208">
        <f>'Rashodi-2021'!Q44</f>
        <v>0</v>
      </c>
      <c r="S41" s="1208">
        <f>'Rashodi-2021'!R44</f>
        <v>0</v>
      </c>
      <c r="T41" s="1208">
        <f>'Rashodi-2021'!S44</f>
        <v>0</v>
      </c>
      <c r="U41" s="1220">
        <f t="shared" si="0"/>
        <v>0</v>
      </c>
      <c r="V41" s="1138">
        <f>'Rashodi-2021'!U44</f>
        <v>3320000</v>
      </c>
      <c r="W41" s="608">
        <v>3320000</v>
      </c>
      <c r="X41" s="844">
        <v>3320000</v>
      </c>
    </row>
    <row r="42" spans="2:24" s="356" customFormat="1" ht="12.75">
      <c r="B42" s="350"/>
      <c r="C42" s="357"/>
      <c r="D42" s="352"/>
      <c r="E42" s="357"/>
      <c r="F42" s="368">
        <v>20</v>
      </c>
      <c r="G42" s="434">
        <v>412</v>
      </c>
      <c r="H42" s="1492" t="s">
        <v>79</v>
      </c>
      <c r="I42" s="1493"/>
      <c r="J42" s="1494"/>
      <c r="K42" s="922">
        <v>534000</v>
      </c>
      <c r="L42" s="1110">
        <v>351520.69000000006</v>
      </c>
      <c r="M42" s="1112">
        <f>'Rashodi-2021'!M45</f>
        <v>554000</v>
      </c>
      <c r="N42" s="1112" t="e">
        <f>'Rashodi-2021'!#REF!</f>
        <v>#REF!</v>
      </c>
      <c r="O42" s="1215">
        <f>'Rashodi-2021'!N45</f>
        <v>0</v>
      </c>
      <c r="P42" s="1208">
        <f>'Rashodi-2021'!O45</f>
        <v>0</v>
      </c>
      <c r="Q42" s="1208">
        <f>'Rashodi-2021'!P45</f>
        <v>0</v>
      </c>
      <c r="R42" s="1208">
        <f>'Rashodi-2021'!Q45</f>
        <v>0</v>
      </c>
      <c r="S42" s="1208">
        <f>'Rashodi-2021'!R45</f>
        <v>0</v>
      </c>
      <c r="T42" s="1208">
        <f>'Rashodi-2021'!S45</f>
        <v>0</v>
      </c>
      <c r="U42" s="1220">
        <f t="shared" si="0"/>
        <v>0</v>
      </c>
      <c r="V42" s="1138">
        <f>'Rashodi-2021'!U45</f>
        <v>554000</v>
      </c>
      <c r="W42" s="608">
        <v>554000</v>
      </c>
      <c r="X42" s="844">
        <v>554000</v>
      </c>
    </row>
    <row r="43" spans="2:24" s="356" customFormat="1" ht="12.75">
      <c r="B43" s="350"/>
      <c r="C43" s="357"/>
      <c r="D43" s="352"/>
      <c r="E43" s="357"/>
      <c r="F43" s="368">
        <v>21</v>
      </c>
      <c r="G43" s="434">
        <v>414</v>
      </c>
      <c r="H43" s="1495" t="s">
        <v>203</v>
      </c>
      <c r="I43" s="1496"/>
      <c r="J43" s="1497"/>
      <c r="K43" s="922">
        <v>50000</v>
      </c>
      <c r="L43" s="1110">
        <v>0</v>
      </c>
      <c r="M43" s="1112">
        <f>'Rashodi-2021'!M46</f>
        <v>50000</v>
      </c>
      <c r="N43" s="1112" t="e">
        <f>'Rashodi-2021'!#REF!</f>
        <v>#REF!</v>
      </c>
      <c r="O43" s="1215">
        <f>'Rashodi-2021'!N46</f>
        <v>0</v>
      </c>
      <c r="P43" s="1208">
        <f>'Rashodi-2021'!O46</f>
        <v>0</v>
      </c>
      <c r="Q43" s="1208">
        <f>'Rashodi-2021'!P46</f>
        <v>0</v>
      </c>
      <c r="R43" s="1208">
        <f>'Rashodi-2021'!Q46</f>
        <v>0</v>
      </c>
      <c r="S43" s="1208">
        <f>'Rashodi-2021'!R46</f>
        <v>0</v>
      </c>
      <c r="T43" s="1208">
        <f>'Rashodi-2021'!S46</f>
        <v>0</v>
      </c>
      <c r="U43" s="1220">
        <f t="shared" si="0"/>
        <v>0</v>
      </c>
      <c r="V43" s="1138">
        <f>'Rashodi-2021'!U46</f>
        <v>50000</v>
      </c>
      <c r="W43" s="608">
        <v>50000</v>
      </c>
      <c r="X43" s="844">
        <v>50000</v>
      </c>
    </row>
    <row r="44" spans="2:24" s="356" customFormat="1" ht="12.75">
      <c r="B44" s="350"/>
      <c r="C44" s="357"/>
      <c r="D44" s="352"/>
      <c r="E44" s="357"/>
      <c r="F44" s="368">
        <v>22</v>
      </c>
      <c r="G44" s="434">
        <v>415</v>
      </c>
      <c r="H44" s="1495" t="s">
        <v>31</v>
      </c>
      <c r="I44" s="1496"/>
      <c r="J44" s="1497"/>
      <c r="K44" s="922">
        <v>120000</v>
      </c>
      <c r="L44" s="1110">
        <v>59372.19000000001</v>
      </c>
      <c r="M44" s="1112">
        <f>'Rashodi-2021'!M47</f>
        <v>340000</v>
      </c>
      <c r="N44" s="1112" t="e">
        <f>'Rashodi-2021'!#REF!</f>
        <v>#REF!</v>
      </c>
      <c r="O44" s="1215">
        <f>'Rashodi-2021'!N47</f>
        <v>0</v>
      </c>
      <c r="P44" s="1208">
        <f>'Rashodi-2021'!O47</f>
        <v>0</v>
      </c>
      <c r="Q44" s="1208">
        <f>'Rashodi-2021'!P47</f>
        <v>0</v>
      </c>
      <c r="R44" s="1208">
        <f>'Rashodi-2021'!Q47</f>
        <v>0</v>
      </c>
      <c r="S44" s="1208">
        <f>'Rashodi-2021'!R47</f>
        <v>0</v>
      </c>
      <c r="T44" s="1208">
        <f>'Rashodi-2021'!S47</f>
        <v>0</v>
      </c>
      <c r="U44" s="1220">
        <f t="shared" si="0"/>
        <v>0</v>
      </c>
      <c r="V44" s="1138">
        <f>'Rashodi-2021'!U47</f>
        <v>340000</v>
      </c>
      <c r="W44" s="608">
        <v>340000</v>
      </c>
      <c r="X44" s="844">
        <v>340000</v>
      </c>
    </row>
    <row r="45" spans="2:24" s="356" customFormat="1" ht="12.75">
      <c r="B45" s="350"/>
      <c r="C45" s="357"/>
      <c r="D45" s="352"/>
      <c r="E45" s="357"/>
      <c r="F45" s="368">
        <v>23</v>
      </c>
      <c r="G45" s="434">
        <v>421</v>
      </c>
      <c r="H45" s="1495" t="s">
        <v>33</v>
      </c>
      <c r="I45" s="1496"/>
      <c r="J45" s="1497"/>
      <c r="K45" s="922">
        <v>200000</v>
      </c>
      <c r="L45" s="1110">
        <v>48226.399999999994</v>
      </c>
      <c r="M45" s="1112">
        <f>'Rashodi-2021'!M48</f>
        <v>200000</v>
      </c>
      <c r="N45" s="1112" t="e">
        <f>'Rashodi-2021'!#REF!</f>
        <v>#REF!</v>
      </c>
      <c r="O45" s="1215">
        <f>'Rashodi-2021'!N48</f>
        <v>0</v>
      </c>
      <c r="P45" s="1208">
        <f>'Rashodi-2021'!O48</f>
        <v>0</v>
      </c>
      <c r="Q45" s="1208">
        <f>'Rashodi-2021'!P48</f>
        <v>0</v>
      </c>
      <c r="R45" s="1208">
        <f>'Rashodi-2021'!Q48</f>
        <v>0</v>
      </c>
      <c r="S45" s="1208">
        <f>'Rashodi-2021'!R48</f>
        <v>0</v>
      </c>
      <c r="T45" s="1208">
        <f>'Rashodi-2021'!S48</f>
        <v>0</v>
      </c>
      <c r="U45" s="1220">
        <f t="shared" si="0"/>
        <v>0</v>
      </c>
      <c r="V45" s="1138">
        <f>'Rashodi-2021'!U48</f>
        <v>200000</v>
      </c>
      <c r="W45" s="608">
        <v>200000</v>
      </c>
      <c r="X45" s="844">
        <v>200000</v>
      </c>
    </row>
    <row r="46" spans="2:24" s="356" customFormat="1" ht="12.75">
      <c r="B46" s="350"/>
      <c r="C46" s="357"/>
      <c r="D46" s="352"/>
      <c r="E46" s="357"/>
      <c r="F46" s="368">
        <v>24</v>
      </c>
      <c r="G46" s="434">
        <v>422</v>
      </c>
      <c r="H46" s="1495" t="s">
        <v>34</v>
      </c>
      <c r="I46" s="1496"/>
      <c r="J46" s="1497"/>
      <c r="K46" s="922">
        <v>60000</v>
      </c>
      <c r="L46" s="1110">
        <v>0</v>
      </c>
      <c r="M46" s="1112">
        <f>'Rashodi-2021'!M49</f>
        <v>60000</v>
      </c>
      <c r="N46" s="1112" t="e">
        <f>'Rashodi-2021'!#REF!</f>
        <v>#REF!</v>
      </c>
      <c r="O46" s="1215">
        <f>'Rashodi-2021'!N49</f>
        <v>0</v>
      </c>
      <c r="P46" s="1208">
        <f>'Rashodi-2021'!O49</f>
        <v>0</v>
      </c>
      <c r="Q46" s="1208">
        <f>'Rashodi-2021'!P49</f>
        <v>0</v>
      </c>
      <c r="R46" s="1208">
        <f>'Rashodi-2021'!Q49</f>
        <v>0</v>
      </c>
      <c r="S46" s="1208">
        <f>'Rashodi-2021'!R49</f>
        <v>0</v>
      </c>
      <c r="T46" s="1208">
        <f>'Rashodi-2021'!S49</f>
        <v>0</v>
      </c>
      <c r="U46" s="1220">
        <f t="shared" si="0"/>
        <v>0</v>
      </c>
      <c r="V46" s="1138">
        <f>'Rashodi-2021'!U49</f>
        <v>60000</v>
      </c>
      <c r="W46" s="608">
        <v>60000</v>
      </c>
      <c r="X46" s="844">
        <v>60000</v>
      </c>
    </row>
    <row r="47" spans="2:24" s="356" customFormat="1" ht="12.75">
      <c r="B47" s="350"/>
      <c r="C47" s="357"/>
      <c r="D47" s="352"/>
      <c r="E47" s="357"/>
      <c r="F47" s="368">
        <v>25</v>
      </c>
      <c r="G47" s="434">
        <v>423</v>
      </c>
      <c r="H47" s="1495" t="s">
        <v>1372</v>
      </c>
      <c r="I47" s="1496"/>
      <c r="J47" s="1497"/>
      <c r="K47" s="922">
        <v>6000000</v>
      </c>
      <c r="L47" s="1110">
        <v>2790094.3100000005</v>
      </c>
      <c r="M47" s="1112">
        <f>'Rashodi-2021'!M50</f>
        <v>3500000</v>
      </c>
      <c r="N47" s="1112" t="e">
        <f>'Rashodi-2021'!#REF!</f>
        <v>#REF!</v>
      </c>
      <c r="O47" s="1215">
        <f>'Rashodi-2021'!N50</f>
        <v>0</v>
      </c>
      <c r="P47" s="1208">
        <f>'Rashodi-2021'!O50</f>
        <v>0</v>
      </c>
      <c r="Q47" s="1208">
        <f>'Rashodi-2021'!P50</f>
        <v>200000</v>
      </c>
      <c r="R47" s="1208">
        <f>'Rashodi-2021'!Q50</f>
        <v>0</v>
      </c>
      <c r="S47" s="1208">
        <f>'Rashodi-2021'!R50</f>
        <v>0</v>
      </c>
      <c r="T47" s="1208">
        <f>'Rashodi-2021'!S50</f>
        <v>0</v>
      </c>
      <c r="U47" s="1220">
        <f t="shared" si="0"/>
        <v>200000</v>
      </c>
      <c r="V47" s="1138">
        <f>'Rashodi-2021'!U50</f>
        <v>3700000</v>
      </c>
      <c r="W47" s="608">
        <v>3700000</v>
      </c>
      <c r="X47" s="844">
        <v>3700000</v>
      </c>
    </row>
    <row r="48" spans="2:24" s="356" customFormat="1" ht="12.75">
      <c r="B48" s="350"/>
      <c r="C48" s="357"/>
      <c r="D48" s="352"/>
      <c r="E48" s="357"/>
      <c r="F48" s="368">
        <v>26</v>
      </c>
      <c r="G48" s="434">
        <v>423</v>
      </c>
      <c r="H48" s="1495" t="s">
        <v>35</v>
      </c>
      <c r="I48" s="1496"/>
      <c r="J48" s="1497"/>
      <c r="K48" s="922">
        <v>3000000</v>
      </c>
      <c r="L48" s="1110">
        <v>1810321.4200000002</v>
      </c>
      <c r="M48" s="1112">
        <f>'Rashodi-2021'!M51</f>
        <v>3000000</v>
      </c>
      <c r="N48" s="1112" t="e">
        <f>'Rashodi-2021'!#REF!</f>
        <v>#REF!</v>
      </c>
      <c r="O48" s="1215">
        <f>'Rashodi-2021'!N51</f>
        <v>0</v>
      </c>
      <c r="P48" s="1208">
        <f>'Rashodi-2021'!O51</f>
        <v>0</v>
      </c>
      <c r="Q48" s="1208">
        <f>'Rashodi-2021'!P51</f>
        <v>0</v>
      </c>
      <c r="R48" s="1208">
        <f>'Rashodi-2021'!Q51</f>
        <v>0</v>
      </c>
      <c r="S48" s="1208">
        <f>'Rashodi-2021'!R51</f>
        <v>0</v>
      </c>
      <c r="T48" s="1208">
        <f>'Rashodi-2021'!S51</f>
        <v>0</v>
      </c>
      <c r="U48" s="1220">
        <f t="shared" si="0"/>
        <v>0</v>
      </c>
      <c r="V48" s="1138">
        <f>'Rashodi-2021'!U51</f>
        <v>3000000</v>
      </c>
      <c r="W48" s="608">
        <v>3000000</v>
      </c>
      <c r="X48" s="844">
        <v>3000000</v>
      </c>
    </row>
    <row r="49" spans="2:24" s="356" customFormat="1" ht="12.75">
      <c r="B49" s="350"/>
      <c r="C49" s="357"/>
      <c r="D49" s="352"/>
      <c r="E49" s="357"/>
      <c r="F49" s="368">
        <v>27</v>
      </c>
      <c r="G49" s="434">
        <v>423</v>
      </c>
      <c r="H49" s="1492" t="s">
        <v>1373</v>
      </c>
      <c r="I49" s="1493"/>
      <c r="J49" s="1494"/>
      <c r="K49" s="922">
        <v>485000</v>
      </c>
      <c r="L49" s="1110">
        <v>72000</v>
      </c>
      <c r="M49" s="1112">
        <f>'Rashodi-2021'!M52</f>
        <v>300000</v>
      </c>
      <c r="N49" s="1112" t="e">
        <f>'Rashodi-2021'!#REF!</f>
        <v>#REF!</v>
      </c>
      <c r="O49" s="1215">
        <f>'Rashodi-2021'!N52</f>
        <v>0</v>
      </c>
      <c r="P49" s="1208">
        <f>'Rashodi-2021'!O52</f>
        <v>0</v>
      </c>
      <c r="Q49" s="1208">
        <f>'Rashodi-2021'!P52</f>
        <v>0</v>
      </c>
      <c r="R49" s="1208">
        <f>'Rashodi-2021'!Q52</f>
        <v>0</v>
      </c>
      <c r="S49" s="1208">
        <f>'Rashodi-2021'!R52</f>
        <v>0</v>
      </c>
      <c r="T49" s="1208">
        <f>'Rashodi-2021'!S52</f>
        <v>0</v>
      </c>
      <c r="U49" s="1220">
        <f t="shared" si="0"/>
        <v>0</v>
      </c>
      <c r="V49" s="1138">
        <f>'Rashodi-2021'!U52</f>
        <v>300000</v>
      </c>
      <c r="W49" s="608">
        <v>300000</v>
      </c>
      <c r="X49" s="844">
        <v>300000</v>
      </c>
    </row>
    <row r="50" spans="2:24" s="356" customFormat="1" ht="12.75">
      <c r="B50" s="350"/>
      <c r="C50" s="357"/>
      <c r="D50" s="352"/>
      <c r="E50" s="357"/>
      <c r="F50" s="368">
        <v>28</v>
      </c>
      <c r="G50" s="444">
        <v>424</v>
      </c>
      <c r="H50" s="1517" t="s">
        <v>36</v>
      </c>
      <c r="I50" s="1518"/>
      <c r="J50" s="1519"/>
      <c r="K50" s="936">
        <v>50000</v>
      </c>
      <c r="L50" s="1075">
        <v>23900</v>
      </c>
      <c r="M50" s="1112">
        <f>'Rashodi-2021'!M53</f>
        <v>50000</v>
      </c>
      <c r="N50" s="1112" t="e">
        <f>'Rashodi-2021'!#REF!</f>
        <v>#REF!</v>
      </c>
      <c r="O50" s="1215">
        <f>'Rashodi-2021'!N53</f>
        <v>0</v>
      </c>
      <c r="P50" s="1208">
        <f>'Rashodi-2021'!O53</f>
        <v>0</v>
      </c>
      <c r="Q50" s="1208">
        <f>'Rashodi-2021'!P53</f>
        <v>0</v>
      </c>
      <c r="R50" s="1208">
        <f>'Rashodi-2021'!Q53</f>
        <v>0</v>
      </c>
      <c r="S50" s="1208">
        <f>'Rashodi-2021'!R53</f>
        <v>0</v>
      </c>
      <c r="T50" s="1208">
        <f>'Rashodi-2021'!S53</f>
        <v>0</v>
      </c>
      <c r="U50" s="1220">
        <f t="shared" si="0"/>
        <v>0</v>
      </c>
      <c r="V50" s="1138">
        <f>'Rashodi-2021'!U53</f>
        <v>50000</v>
      </c>
      <c r="W50" s="608">
        <v>50000</v>
      </c>
      <c r="X50" s="844">
        <v>50000</v>
      </c>
    </row>
    <row r="51" spans="2:24" s="356" customFormat="1" ht="12.75">
      <c r="B51" s="563"/>
      <c r="C51" s="483"/>
      <c r="D51" s="564"/>
      <c r="E51" s="483"/>
      <c r="F51" s="368">
        <v>29</v>
      </c>
      <c r="G51" s="530">
        <v>426</v>
      </c>
      <c r="H51" s="1640" t="s">
        <v>38</v>
      </c>
      <c r="I51" s="1641"/>
      <c r="J51" s="1641"/>
      <c r="K51" s="955">
        <v>1800000</v>
      </c>
      <c r="L51" s="919">
        <v>237866.05000000002</v>
      </c>
      <c r="M51" s="1112">
        <f>'Rashodi-2021'!M54</f>
        <v>785000</v>
      </c>
      <c r="N51" s="1112" t="e">
        <f>'Rashodi-2021'!#REF!</f>
        <v>#REF!</v>
      </c>
      <c r="O51" s="1215">
        <f>'Rashodi-2021'!N54</f>
        <v>0</v>
      </c>
      <c r="P51" s="1208">
        <f>'Rashodi-2021'!O54</f>
        <v>0</v>
      </c>
      <c r="Q51" s="1208">
        <f>'Rashodi-2021'!P54</f>
        <v>0</v>
      </c>
      <c r="R51" s="1208">
        <f>'Rashodi-2021'!Q54</f>
        <v>0</v>
      </c>
      <c r="S51" s="1208">
        <f>'Rashodi-2021'!R54</f>
        <v>0</v>
      </c>
      <c r="T51" s="1208">
        <f>'Rashodi-2021'!S54</f>
        <v>0</v>
      </c>
      <c r="U51" s="1220">
        <f t="shared" si="0"/>
        <v>0</v>
      </c>
      <c r="V51" s="1138">
        <f>'Rashodi-2021'!U54</f>
        <v>785000</v>
      </c>
      <c r="W51" s="608">
        <v>785000</v>
      </c>
      <c r="X51" s="844">
        <v>785000</v>
      </c>
    </row>
    <row r="52" spans="2:24" s="356" customFormat="1" ht="13.5" thickBot="1">
      <c r="B52" s="485"/>
      <c r="C52" s="485"/>
      <c r="D52" s="532"/>
      <c r="E52" s="485"/>
      <c r="F52" s="368">
        <v>30</v>
      </c>
      <c r="G52" s="482">
        <v>482</v>
      </c>
      <c r="H52" s="1558" t="s">
        <v>82</v>
      </c>
      <c r="I52" s="1558"/>
      <c r="J52" s="1631"/>
      <c r="K52" s="540">
        <v>20000</v>
      </c>
      <c r="L52" s="1111">
        <v>0</v>
      </c>
      <c r="M52" s="1112">
        <f>'Rashodi-2021'!M55</f>
        <v>30000</v>
      </c>
      <c r="N52" s="1112" t="e">
        <f>'Rashodi-2021'!#REF!</f>
        <v>#REF!</v>
      </c>
      <c r="O52" s="1215">
        <f>'Rashodi-2021'!N55</f>
        <v>0</v>
      </c>
      <c r="P52" s="1208">
        <f>'Rashodi-2021'!O55</f>
        <v>0</v>
      </c>
      <c r="Q52" s="1208">
        <f>'Rashodi-2021'!P55</f>
        <v>0</v>
      </c>
      <c r="R52" s="1208">
        <f>'Rashodi-2021'!Q55</f>
        <v>0</v>
      </c>
      <c r="S52" s="1208">
        <f>'Rashodi-2021'!R55</f>
        <v>0</v>
      </c>
      <c r="T52" s="1208">
        <f>'Rashodi-2021'!S55</f>
        <v>0</v>
      </c>
      <c r="U52" s="1220">
        <f t="shared" si="0"/>
        <v>0</v>
      </c>
      <c r="V52" s="1138">
        <f>'Rashodi-2021'!U55</f>
        <v>30000</v>
      </c>
      <c r="W52" s="608">
        <v>30000</v>
      </c>
      <c r="X52" s="844">
        <v>30000</v>
      </c>
    </row>
    <row r="53" spans="2:24" s="500" customFormat="1" ht="12.75">
      <c r="B53" s="692" t="s">
        <v>330</v>
      </c>
      <c r="C53" s="693"/>
      <c r="D53" s="524"/>
      <c r="E53" s="534"/>
      <c r="F53" s="524"/>
      <c r="G53" s="524"/>
      <c r="H53" s="689" t="s">
        <v>86</v>
      </c>
      <c r="I53" s="690"/>
      <c r="J53" s="691"/>
      <c r="K53" s="911">
        <f aca="true" t="shared" si="4" ref="K53:L55">K54</f>
        <v>6664000</v>
      </c>
      <c r="L53" s="1116">
        <f t="shared" si="4"/>
        <v>3861073.7399999998</v>
      </c>
      <c r="M53" s="1129">
        <f>'Rashodi-2021'!M56</f>
        <v>7482000</v>
      </c>
      <c r="N53" s="1129" t="e">
        <f>'Rashodi-2021'!#REF!</f>
        <v>#REF!</v>
      </c>
      <c r="O53" s="1212">
        <f>'Rashodi-2021'!N56</f>
        <v>0</v>
      </c>
      <c r="P53" s="508">
        <f>'Rashodi-2021'!O56</f>
        <v>0</v>
      </c>
      <c r="Q53" s="508">
        <f>'Rashodi-2021'!P56</f>
        <v>0</v>
      </c>
      <c r="R53" s="508">
        <f>'Rashodi-2021'!Q56</f>
        <v>0</v>
      </c>
      <c r="S53" s="508">
        <f>'Rashodi-2021'!R56</f>
        <v>0</v>
      </c>
      <c r="T53" s="508">
        <f>'Rashodi-2021'!S56</f>
        <v>0</v>
      </c>
      <c r="U53" s="499">
        <f t="shared" si="0"/>
        <v>0</v>
      </c>
      <c r="V53" s="835">
        <f>'Rashodi-2021'!U56</f>
        <v>7482000</v>
      </c>
      <c r="W53" s="835">
        <v>7482000</v>
      </c>
      <c r="X53" s="1108">
        <v>7482000</v>
      </c>
    </row>
    <row r="54" spans="2:24" ht="12.75">
      <c r="B54" s="284"/>
      <c r="C54" s="285"/>
      <c r="D54" s="428"/>
      <c r="E54" s="610" t="s">
        <v>1199</v>
      </c>
      <c r="F54" s="611"/>
      <c r="G54" s="612"/>
      <c r="H54" s="1511" t="s">
        <v>1198</v>
      </c>
      <c r="I54" s="1512"/>
      <c r="J54" s="1513"/>
      <c r="K54" s="912">
        <f t="shared" si="4"/>
        <v>6664000</v>
      </c>
      <c r="L54" s="1079">
        <f t="shared" si="4"/>
        <v>3861073.7399999998</v>
      </c>
      <c r="M54" s="957">
        <f>'Rashodi-2021'!M57</f>
        <v>7482000</v>
      </c>
      <c r="N54" s="957" t="e">
        <f>'Rashodi-2021'!#REF!</f>
        <v>#REF!</v>
      </c>
      <c r="O54" s="1213">
        <f>'Rashodi-2021'!N57</f>
        <v>0</v>
      </c>
      <c r="P54" s="1189">
        <f>'Rashodi-2021'!O57</f>
        <v>0</v>
      </c>
      <c r="Q54" s="1189">
        <f>'Rashodi-2021'!P57</f>
        <v>0</v>
      </c>
      <c r="R54" s="1189">
        <f>'Rashodi-2021'!Q57</f>
        <v>0</v>
      </c>
      <c r="S54" s="1189">
        <f>'Rashodi-2021'!R57</f>
        <v>0</v>
      </c>
      <c r="T54" s="1189">
        <f>'Rashodi-2021'!S57</f>
        <v>0</v>
      </c>
      <c r="U54" s="1190">
        <f t="shared" si="0"/>
        <v>0</v>
      </c>
      <c r="V54" s="1107">
        <f>'Rashodi-2021'!U57</f>
        <v>7482000</v>
      </c>
      <c r="W54" s="848">
        <v>7482000</v>
      </c>
      <c r="X54" s="848">
        <v>7482000</v>
      </c>
    </row>
    <row r="55" spans="2:24" ht="12.75" customHeight="1">
      <c r="B55" s="284"/>
      <c r="C55" s="285"/>
      <c r="D55" s="428"/>
      <c r="E55" s="346" t="s">
        <v>1205</v>
      </c>
      <c r="F55" s="428"/>
      <c r="G55" s="429"/>
      <c r="H55" s="1537" t="s">
        <v>1204</v>
      </c>
      <c r="I55" s="1600"/>
      <c r="J55" s="1601"/>
      <c r="K55" s="913">
        <f t="shared" si="4"/>
        <v>6664000</v>
      </c>
      <c r="L55" s="1054">
        <f t="shared" si="4"/>
        <v>3861073.7399999998</v>
      </c>
      <c r="M55" s="1128">
        <f>'Rashodi-2021'!M58</f>
        <v>7482000</v>
      </c>
      <c r="N55" s="1128" t="e">
        <f>'Rashodi-2021'!#REF!</f>
        <v>#REF!</v>
      </c>
      <c r="O55" s="1214">
        <f>'Rashodi-2021'!N58</f>
        <v>0</v>
      </c>
      <c r="P55" s="1194">
        <f>'Rashodi-2021'!O58</f>
        <v>0</v>
      </c>
      <c r="Q55" s="1194">
        <f>'Rashodi-2021'!P58</f>
        <v>0</v>
      </c>
      <c r="R55" s="1194">
        <f>'Rashodi-2021'!Q58</f>
        <v>0</v>
      </c>
      <c r="S55" s="1194">
        <f>'Rashodi-2021'!R58</f>
        <v>0</v>
      </c>
      <c r="T55" s="1194">
        <f>'Rashodi-2021'!S58</f>
        <v>0</v>
      </c>
      <c r="U55" s="1195">
        <f t="shared" si="0"/>
        <v>0</v>
      </c>
      <c r="V55" s="1196">
        <f>'Rashodi-2021'!U58</f>
        <v>7482000</v>
      </c>
      <c r="W55" s="652">
        <v>7482000</v>
      </c>
      <c r="X55" s="652">
        <v>7482000</v>
      </c>
    </row>
    <row r="56" spans="2:24" s="591" customFormat="1" ht="27" customHeight="1">
      <c r="B56" s="586"/>
      <c r="C56" s="587"/>
      <c r="D56" s="646">
        <v>110</v>
      </c>
      <c r="E56" s="588"/>
      <c r="F56" s="589"/>
      <c r="G56" s="590"/>
      <c r="H56" s="1584" t="s">
        <v>1221</v>
      </c>
      <c r="I56" s="1585"/>
      <c r="J56" s="1586"/>
      <c r="K56" s="592">
        <f>SUM(K57:K67)</f>
        <v>6664000</v>
      </c>
      <c r="L56" s="819">
        <f>SUM(L57:L67)</f>
        <v>3861073.7399999998</v>
      </c>
      <c r="M56" s="1231">
        <f>'Rashodi-2021'!M59</f>
        <v>7482000</v>
      </c>
      <c r="N56" s="1231" t="e">
        <f>'Rashodi-2021'!#REF!</f>
        <v>#REF!</v>
      </c>
      <c r="O56" s="1232">
        <f>'Rashodi-2021'!N59</f>
        <v>0</v>
      </c>
      <c r="P56" s="1233">
        <f>'Rashodi-2021'!O59</f>
        <v>0</v>
      </c>
      <c r="Q56" s="1233">
        <f>'Rashodi-2021'!P59</f>
        <v>0</v>
      </c>
      <c r="R56" s="1233">
        <f>'Rashodi-2021'!Q59</f>
        <v>0</v>
      </c>
      <c r="S56" s="1233">
        <f>'Rashodi-2021'!R59</f>
        <v>0</v>
      </c>
      <c r="T56" s="1233">
        <f>'Rashodi-2021'!S59</f>
        <v>0</v>
      </c>
      <c r="U56" s="1234">
        <f>SUM(U57:U67)</f>
        <v>0</v>
      </c>
      <c r="V56" s="1235">
        <f>'Rashodi-2021'!U59</f>
        <v>7482000</v>
      </c>
      <c r="W56" s="592">
        <v>7482000</v>
      </c>
      <c r="X56" s="844">
        <v>7482000</v>
      </c>
    </row>
    <row r="57" spans="2:24" s="356" customFormat="1" ht="12.75">
      <c r="B57" s="350"/>
      <c r="C57" s="357"/>
      <c r="D57" s="352"/>
      <c r="E57" s="357"/>
      <c r="F57" s="368">
        <v>31</v>
      </c>
      <c r="G57" s="434">
        <v>411</v>
      </c>
      <c r="H57" s="1576" t="s">
        <v>27</v>
      </c>
      <c r="I57" s="1577"/>
      <c r="J57" s="1578"/>
      <c r="K57" s="925">
        <v>3020000</v>
      </c>
      <c r="L57" s="1089">
        <v>2124150.54</v>
      </c>
      <c r="M57" s="1236">
        <f>'Rashodi-2021'!M60</f>
        <v>4420000</v>
      </c>
      <c r="N57" s="1236" t="e">
        <f>'Rashodi-2021'!#REF!</f>
        <v>#REF!</v>
      </c>
      <c r="O57" s="1237">
        <f>'Rashodi-2021'!N60</f>
        <v>0</v>
      </c>
      <c r="P57" s="1238">
        <f>'Rashodi-2021'!O60</f>
        <v>0</v>
      </c>
      <c r="Q57" s="1238">
        <f>'Rashodi-2021'!P60</f>
        <v>0</v>
      </c>
      <c r="R57" s="1238">
        <f>'Rashodi-2021'!Q60</f>
        <v>0</v>
      </c>
      <c r="S57" s="1238">
        <f>'Rashodi-2021'!R60</f>
        <v>0</v>
      </c>
      <c r="T57" s="1238">
        <f>'Rashodi-2021'!S60</f>
        <v>0</v>
      </c>
      <c r="U57" s="1227">
        <f t="shared" si="0"/>
        <v>0</v>
      </c>
      <c r="V57" s="1239">
        <f>'Rashodi-2021'!U60</f>
        <v>4420000</v>
      </c>
      <c r="W57" s="608">
        <v>4420000</v>
      </c>
      <c r="X57" s="844">
        <v>4420000</v>
      </c>
    </row>
    <row r="58" spans="2:24" s="356" customFormat="1" ht="12.75">
      <c r="B58" s="350"/>
      <c r="C58" s="357"/>
      <c r="D58" s="352"/>
      <c r="E58" s="357"/>
      <c r="F58" s="368">
        <v>32</v>
      </c>
      <c r="G58" s="434">
        <v>412</v>
      </c>
      <c r="H58" s="1576" t="s">
        <v>79</v>
      </c>
      <c r="I58" s="1577"/>
      <c r="J58" s="1578"/>
      <c r="K58" s="925">
        <v>534000</v>
      </c>
      <c r="L58" s="1089">
        <v>355290.58999999997</v>
      </c>
      <c r="M58" s="1236">
        <f>'Rashodi-2021'!M61</f>
        <v>750000</v>
      </c>
      <c r="N58" s="1236" t="e">
        <f>'Rashodi-2021'!#REF!</f>
        <v>#REF!</v>
      </c>
      <c r="O58" s="1237">
        <f>'Rashodi-2021'!N61</f>
        <v>0</v>
      </c>
      <c r="P58" s="1238">
        <f>'Rashodi-2021'!O61</f>
        <v>0</v>
      </c>
      <c r="Q58" s="1238">
        <f>'Rashodi-2021'!P61</f>
        <v>0</v>
      </c>
      <c r="R58" s="1238">
        <f>'Rashodi-2021'!Q61</f>
        <v>0</v>
      </c>
      <c r="S58" s="1238">
        <f>'Rashodi-2021'!R61</f>
        <v>0</v>
      </c>
      <c r="T58" s="1238">
        <f>'Rashodi-2021'!S61</f>
        <v>0</v>
      </c>
      <c r="U58" s="1227">
        <f t="shared" si="0"/>
        <v>0</v>
      </c>
      <c r="V58" s="1239">
        <f>'Rashodi-2021'!U61</f>
        <v>750000</v>
      </c>
      <c r="W58" s="608">
        <v>750000</v>
      </c>
      <c r="X58" s="844">
        <v>750000</v>
      </c>
    </row>
    <row r="59" spans="2:24" s="356" customFormat="1" ht="12.75">
      <c r="B59" s="350"/>
      <c r="C59" s="357"/>
      <c r="D59" s="352"/>
      <c r="E59" s="357"/>
      <c r="F59" s="368">
        <v>33</v>
      </c>
      <c r="G59" s="434">
        <v>414</v>
      </c>
      <c r="H59" s="1581" t="s">
        <v>203</v>
      </c>
      <c r="I59" s="1582"/>
      <c r="J59" s="1583"/>
      <c r="K59" s="925">
        <v>50000</v>
      </c>
      <c r="L59" s="1089">
        <v>0</v>
      </c>
      <c r="M59" s="1236">
        <f>'Rashodi-2021'!M62</f>
        <v>50000</v>
      </c>
      <c r="N59" s="1236" t="e">
        <f>'Rashodi-2021'!#REF!</f>
        <v>#REF!</v>
      </c>
      <c r="O59" s="1237">
        <f>'Rashodi-2021'!N62</f>
        <v>0</v>
      </c>
      <c r="P59" s="1238">
        <f>'Rashodi-2021'!O62</f>
        <v>0</v>
      </c>
      <c r="Q59" s="1238">
        <f>'Rashodi-2021'!P62</f>
        <v>0</v>
      </c>
      <c r="R59" s="1238">
        <f>'Rashodi-2021'!Q62</f>
        <v>0</v>
      </c>
      <c r="S59" s="1238">
        <f>'Rashodi-2021'!R62</f>
        <v>0</v>
      </c>
      <c r="T59" s="1238">
        <f>'Rashodi-2021'!S62</f>
        <v>0</v>
      </c>
      <c r="U59" s="1227">
        <f t="shared" si="0"/>
        <v>0</v>
      </c>
      <c r="V59" s="1239">
        <f>'Rashodi-2021'!U62</f>
        <v>50000</v>
      </c>
      <c r="W59" s="608">
        <v>50000</v>
      </c>
      <c r="X59" s="844">
        <v>50000</v>
      </c>
    </row>
    <row r="60" spans="2:24" s="356" customFormat="1" ht="12.75">
      <c r="B60" s="350"/>
      <c r="C60" s="357"/>
      <c r="D60" s="352"/>
      <c r="E60" s="357"/>
      <c r="F60" s="368">
        <v>34</v>
      </c>
      <c r="G60" s="434">
        <v>415</v>
      </c>
      <c r="H60" s="1576" t="s">
        <v>31</v>
      </c>
      <c r="I60" s="1577"/>
      <c r="J60" s="1578"/>
      <c r="K60" s="925">
        <v>270000</v>
      </c>
      <c r="L60" s="1089">
        <v>166241.07</v>
      </c>
      <c r="M60" s="1236">
        <f>'Rashodi-2021'!M63</f>
        <v>732000</v>
      </c>
      <c r="N60" s="1236" t="e">
        <f>'Rashodi-2021'!#REF!</f>
        <v>#REF!</v>
      </c>
      <c r="O60" s="1237">
        <f>'Rashodi-2021'!N63</f>
        <v>0</v>
      </c>
      <c r="P60" s="1238">
        <f>'Rashodi-2021'!O63</f>
        <v>0</v>
      </c>
      <c r="Q60" s="1238">
        <f>'Rashodi-2021'!P63</f>
        <v>0</v>
      </c>
      <c r="R60" s="1238">
        <f>'Rashodi-2021'!Q63</f>
        <v>0</v>
      </c>
      <c r="S60" s="1238">
        <f>'Rashodi-2021'!R63</f>
        <v>0</v>
      </c>
      <c r="T60" s="1238">
        <f>'Rashodi-2021'!S63</f>
        <v>0</v>
      </c>
      <c r="U60" s="1227">
        <f t="shared" si="0"/>
        <v>0</v>
      </c>
      <c r="V60" s="1239">
        <f>'Rashodi-2021'!U63</f>
        <v>732000</v>
      </c>
      <c r="W60" s="608">
        <v>732000</v>
      </c>
      <c r="X60" s="844">
        <v>732000</v>
      </c>
    </row>
    <row r="61" spans="2:24" s="356" customFormat="1" ht="12.75">
      <c r="B61" s="350"/>
      <c r="C61" s="357"/>
      <c r="D61" s="352"/>
      <c r="E61" s="357"/>
      <c r="F61" s="368">
        <v>35</v>
      </c>
      <c r="G61" s="434">
        <v>421</v>
      </c>
      <c r="H61" s="1581" t="s">
        <v>33</v>
      </c>
      <c r="I61" s="1582"/>
      <c r="J61" s="1583"/>
      <c r="K61" s="925">
        <v>150000</v>
      </c>
      <c r="L61" s="1089">
        <v>31992.02</v>
      </c>
      <c r="M61" s="1236">
        <f>'Rashodi-2021'!M64</f>
        <v>150000</v>
      </c>
      <c r="N61" s="1236" t="e">
        <f>'Rashodi-2021'!#REF!</f>
        <v>#REF!</v>
      </c>
      <c r="O61" s="1237">
        <f>'Rashodi-2021'!N64</f>
        <v>0</v>
      </c>
      <c r="P61" s="1238">
        <f>'Rashodi-2021'!O64</f>
        <v>0</v>
      </c>
      <c r="Q61" s="1238">
        <f>'Rashodi-2021'!P64</f>
        <v>0</v>
      </c>
      <c r="R61" s="1238">
        <f>'Rashodi-2021'!Q64</f>
        <v>0</v>
      </c>
      <c r="S61" s="1238">
        <f>'Rashodi-2021'!R64</f>
        <v>0</v>
      </c>
      <c r="T61" s="1238">
        <f>'Rashodi-2021'!S64</f>
        <v>0</v>
      </c>
      <c r="U61" s="1227">
        <f t="shared" si="0"/>
        <v>0</v>
      </c>
      <c r="V61" s="1239">
        <f>'Rashodi-2021'!U64</f>
        <v>150000</v>
      </c>
      <c r="W61" s="608">
        <v>150000</v>
      </c>
      <c r="X61" s="844">
        <v>150000</v>
      </c>
    </row>
    <row r="62" spans="2:24" s="356" customFormat="1" ht="12.75">
      <c r="B62" s="350"/>
      <c r="C62" s="357"/>
      <c r="D62" s="352"/>
      <c r="E62" s="357"/>
      <c r="F62" s="368">
        <v>36</v>
      </c>
      <c r="G62" s="434">
        <v>422</v>
      </c>
      <c r="H62" s="1581" t="s">
        <v>34</v>
      </c>
      <c r="I62" s="1582"/>
      <c r="J62" s="1583"/>
      <c r="K62" s="925">
        <v>50000</v>
      </c>
      <c r="L62" s="1089">
        <v>0</v>
      </c>
      <c r="M62" s="1236">
        <f>'Rashodi-2021'!M65</f>
        <v>50000</v>
      </c>
      <c r="N62" s="1236" t="e">
        <f>'Rashodi-2021'!#REF!</f>
        <v>#REF!</v>
      </c>
      <c r="O62" s="1237">
        <f>'Rashodi-2021'!N65</f>
        <v>0</v>
      </c>
      <c r="P62" s="1238">
        <f>'Rashodi-2021'!O65</f>
        <v>0</v>
      </c>
      <c r="Q62" s="1238">
        <f>'Rashodi-2021'!P65</f>
        <v>0</v>
      </c>
      <c r="R62" s="1238">
        <f>'Rashodi-2021'!Q65</f>
        <v>0</v>
      </c>
      <c r="S62" s="1238">
        <f>'Rashodi-2021'!R65</f>
        <v>0</v>
      </c>
      <c r="T62" s="1238">
        <f>'Rashodi-2021'!S65</f>
        <v>0</v>
      </c>
      <c r="U62" s="1227">
        <f t="shared" si="0"/>
        <v>0</v>
      </c>
      <c r="V62" s="1239">
        <f>'Rashodi-2021'!U65</f>
        <v>50000</v>
      </c>
      <c r="W62" s="608">
        <v>50000</v>
      </c>
      <c r="X62" s="844">
        <v>50000</v>
      </c>
    </row>
    <row r="63" spans="2:24" s="356" customFormat="1" ht="12.75">
      <c r="B63" s="350"/>
      <c r="C63" s="357"/>
      <c r="D63" s="352"/>
      <c r="E63" s="357"/>
      <c r="F63" s="368">
        <v>37</v>
      </c>
      <c r="G63" s="434">
        <v>423</v>
      </c>
      <c r="H63" s="1581" t="s">
        <v>35</v>
      </c>
      <c r="I63" s="1582"/>
      <c r="J63" s="1583"/>
      <c r="K63" s="925">
        <v>400000</v>
      </c>
      <c r="L63" s="1089">
        <v>219159.36000000002</v>
      </c>
      <c r="M63" s="1236">
        <f>'Rashodi-2021'!M66</f>
        <v>300000</v>
      </c>
      <c r="N63" s="1236" t="e">
        <f>'Rashodi-2021'!#REF!</f>
        <v>#REF!</v>
      </c>
      <c r="O63" s="1237">
        <f>'Rashodi-2021'!N66</f>
        <v>0</v>
      </c>
      <c r="P63" s="1238">
        <f>'Rashodi-2021'!O66</f>
        <v>0</v>
      </c>
      <c r="Q63" s="1238">
        <f>'Rashodi-2021'!P66</f>
        <v>0</v>
      </c>
      <c r="R63" s="1238">
        <f>'Rashodi-2021'!Q66</f>
        <v>0</v>
      </c>
      <c r="S63" s="1238">
        <f>'Rashodi-2021'!R66</f>
        <v>0</v>
      </c>
      <c r="T63" s="1238">
        <f>'Rashodi-2021'!S66</f>
        <v>0</v>
      </c>
      <c r="U63" s="1227">
        <f t="shared" si="0"/>
        <v>0</v>
      </c>
      <c r="V63" s="1239">
        <f>'Rashodi-2021'!U66</f>
        <v>300000</v>
      </c>
      <c r="W63" s="608">
        <v>300000</v>
      </c>
      <c r="X63" s="844">
        <v>300000</v>
      </c>
    </row>
    <row r="64" spans="2:24" s="356" customFormat="1" ht="12.75">
      <c r="B64" s="350"/>
      <c r="C64" s="357"/>
      <c r="D64" s="352"/>
      <c r="E64" s="357"/>
      <c r="F64" s="368">
        <v>38</v>
      </c>
      <c r="G64" s="444">
        <v>423</v>
      </c>
      <c r="H64" s="1508" t="s">
        <v>1420</v>
      </c>
      <c r="I64" s="1509"/>
      <c r="J64" s="1510"/>
      <c r="K64" s="746">
        <v>1200000</v>
      </c>
      <c r="L64" s="359">
        <v>619037.7899999999</v>
      </c>
      <c r="M64" s="1236">
        <f>'Rashodi-2021'!M67</f>
        <v>320000</v>
      </c>
      <c r="N64" s="1236" t="e">
        <f>'Rashodi-2021'!#REF!</f>
        <v>#REF!</v>
      </c>
      <c r="O64" s="1237">
        <f>'Rashodi-2021'!N67</f>
        <v>0</v>
      </c>
      <c r="P64" s="1238">
        <f>'Rashodi-2021'!O67</f>
        <v>0</v>
      </c>
      <c r="Q64" s="1238">
        <f>'Rashodi-2021'!P67</f>
        <v>0</v>
      </c>
      <c r="R64" s="1238">
        <f>'Rashodi-2021'!Q67</f>
        <v>0</v>
      </c>
      <c r="S64" s="1238">
        <f>'Rashodi-2021'!R67</f>
        <v>0</v>
      </c>
      <c r="T64" s="1238">
        <f>'Rashodi-2021'!S67</f>
        <v>0</v>
      </c>
      <c r="U64" s="1227">
        <f t="shared" si="0"/>
        <v>0</v>
      </c>
      <c r="V64" s="1239">
        <f>'Rashodi-2021'!U67</f>
        <v>320000</v>
      </c>
      <c r="W64" s="608">
        <v>320000</v>
      </c>
      <c r="X64" s="844">
        <v>320000</v>
      </c>
    </row>
    <row r="65" spans="2:24" s="356" customFormat="1" ht="12.75">
      <c r="B65" s="350"/>
      <c r="C65" s="357"/>
      <c r="D65" s="352"/>
      <c r="E65" s="357"/>
      <c r="F65" s="368">
        <v>39</v>
      </c>
      <c r="G65" s="434">
        <v>423</v>
      </c>
      <c r="H65" s="1576" t="s">
        <v>87</v>
      </c>
      <c r="I65" s="1577"/>
      <c r="J65" s="1578"/>
      <c r="K65" s="925">
        <v>100000</v>
      </c>
      <c r="L65" s="1089">
        <v>0</v>
      </c>
      <c r="M65" s="1236">
        <f>'Rashodi-2021'!M68</f>
        <v>100000</v>
      </c>
      <c r="N65" s="1236" t="e">
        <f>'Rashodi-2021'!#REF!</f>
        <v>#REF!</v>
      </c>
      <c r="O65" s="1237">
        <f>'Rashodi-2021'!N68</f>
        <v>0</v>
      </c>
      <c r="P65" s="1238">
        <f>'Rashodi-2021'!O68</f>
        <v>0</v>
      </c>
      <c r="Q65" s="1238">
        <f>'Rashodi-2021'!P68</f>
        <v>0</v>
      </c>
      <c r="R65" s="1238">
        <f>'Rashodi-2021'!Q68</f>
        <v>0</v>
      </c>
      <c r="S65" s="1238">
        <f>'Rashodi-2021'!R68</f>
        <v>0</v>
      </c>
      <c r="T65" s="1238">
        <f>'Rashodi-2021'!S68</f>
        <v>0</v>
      </c>
      <c r="U65" s="1227">
        <f t="shared" si="0"/>
        <v>0</v>
      </c>
      <c r="V65" s="1239">
        <f>'Rashodi-2021'!U68</f>
        <v>100000</v>
      </c>
      <c r="W65" s="608">
        <v>100000</v>
      </c>
      <c r="X65" s="844">
        <v>100000</v>
      </c>
    </row>
    <row r="66" spans="2:24" s="356" customFormat="1" ht="12.75">
      <c r="B66" s="350"/>
      <c r="C66" s="357"/>
      <c r="D66" s="352"/>
      <c r="E66" s="357"/>
      <c r="F66" s="368">
        <v>40</v>
      </c>
      <c r="G66" s="434">
        <v>423</v>
      </c>
      <c r="H66" s="1576" t="s">
        <v>1372</v>
      </c>
      <c r="I66" s="1577"/>
      <c r="J66" s="1578"/>
      <c r="K66" s="925">
        <v>530000</v>
      </c>
      <c r="L66" s="1089">
        <v>121855.27</v>
      </c>
      <c r="M66" s="1236">
        <f>'Rashodi-2021'!M69</f>
        <v>200000</v>
      </c>
      <c r="N66" s="1236" t="e">
        <f>'Rashodi-2021'!#REF!</f>
        <v>#REF!</v>
      </c>
      <c r="O66" s="1237">
        <f>'Rashodi-2021'!N69</f>
        <v>0</v>
      </c>
      <c r="P66" s="1238">
        <f>'Rashodi-2021'!O69</f>
        <v>0</v>
      </c>
      <c r="Q66" s="1238">
        <f>'Rashodi-2021'!P69</f>
        <v>0</v>
      </c>
      <c r="R66" s="1238">
        <f>'Rashodi-2021'!Q69</f>
        <v>0</v>
      </c>
      <c r="S66" s="1238">
        <f>'Rashodi-2021'!R69</f>
        <v>0</v>
      </c>
      <c r="T66" s="1238">
        <f>'Rashodi-2021'!S69</f>
        <v>0</v>
      </c>
      <c r="U66" s="1227">
        <f t="shared" si="0"/>
        <v>0</v>
      </c>
      <c r="V66" s="1239">
        <f>'Rashodi-2021'!U69</f>
        <v>200000</v>
      </c>
      <c r="W66" s="608">
        <v>200000</v>
      </c>
      <c r="X66" s="844">
        <v>200000</v>
      </c>
    </row>
    <row r="67" spans="2:24" s="356" customFormat="1" ht="12.75">
      <c r="B67" s="350"/>
      <c r="C67" s="357"/>
      <c r="D67" s="352"/>
      <c r="E67" s="357"/>
      <c r="F67" s="368">
        <v>41</v>
      </c>
      <c r="G67" s="530">
        <v>426</v>
      </c>
      <c r="H67" s="1628" t="s">
        <v>38</v>
      </c>
      <c r="I67" s="1629"/>
      <c r="J67" s="1630"/>
      <c r="K67" s="926">
        <v>360000</v>
      </c>
      <c r="L67" s="1119">
        <v>223347.10000000003</v>
      </c>
      <c r="M67" s="1236">
        <f>'Rashodi-2021'!M70</f>
        <v>360000</v>
      </c>
      <c r="N67" s="1236" t="e">
        <f>'Rashodi-2021'!#REF!</f>
        <v>#REF!</v>
      </c>
      <c r="O67" s="1237">
        <f>'Rashodi-2021'!N70</f>
        <v>0</v>
      </c>
      <c r="P67" s="1238">
        <f>'Rashodi-2021'!O70</f>
        <v>0</v>
      </c>
      <c r="Q67" s="1238">
        <f>'Rashodi-2021'!P70</f>
        <v>0</v>
      </c>
      <c r="R67" s="1238">
        <f>'Rashodi-2021'!Q70</f>
        <v>0</v>
      </c>
      <c r="S67" s="1238">
        <f>'Rashodi-2021'!R70</f>
        <v>0</v>
      </c>
      <c r="T67" s="1238">
        <f>'Rashodi-2021'!S70</f>
        <v>0</v>
      </c>
      <c r="U67" s="1227">
        <f t="shared" si="0"/>
        <v>0</v>
      </c>
      <c r="V67" s="1239">
        <f>'Rashodi-2021'!U70</f>
        <v>360000</v>
      </c>
      <c r="W67" s="608">
        <v>360000</v>
      </c>
      <c r="X67" s="844">
        <v>360000</v>
      </c>
    </row>
    <row r="68" spans="2:24" s="500" customFormat="1" ht="12.75">
      <c r="B68" s="501" t="s">
        <v>1185</v>
      </c>
      <c r="C68" s="502"/>
      <c r="D68" s="503"/>
      <c r="E68" s="504"/>
      <c r="F68" s="503"/>
      <c r="G68" s="1058"/>
      <c r="H68" s="1602" t="s">
        <v>89</v>
      </c>
      <c r="I68" s="1603"/>
      <c r="J68" s="1604"/>
      <c r="K68" s="911" t="e">
        <f>K69+K126+K134+K139+K158+K172+K211+K224+K241+K255+K278+K286+#REF!+K303+K322+K344+#REF!+K368+#REF!+#REF!+#REF!+#REF!+#REF!</f>
        <v>#REF!</v>
      </c>
      <c r="L68" s="1116" t="e">
        <f>L69+L126+L134+L139+L158+L172+L211+L224+L241+L255+L278+L286+#REF!+L303+L322+L344+#REF!+L368+#REF!+#REF!+#REF!+#REF!+#REF!</f>
        <v>#REF!</v>
      </c>
      <c r="M68" s="1129">
        <f>'Rashodi-2021'!M72</f>
        <v>419056579</v>
      </c>
      <c r="N68" s="1129" t="e">
        <f>'Rashodi-2021'!#REF!</f>
        <v>#REF!</v>
      </c>
      <c r="O68" s="1212">
        <f>'Rashodi-2021'!N72</f>
        <v>180000</v>
      </c>
      <c r="P68" s="508">
        <f>'Rashodi-2021'!O72</f>
        <v>400000</v>
      </c>
      <c r="Q68" s="508">
        <f>'Rashodi-2021'!P72</f>
        <v>92052279.21000001</v>
      </c>
      <c r="R68" s="508">
        <f>'Rashodi-2021'!Q72</f>
        <v>81581123</v>
      </c>
      <c r="S68" s="508">
        <f>'Rashodi-2021'!R72</f>
        <v>0</v>
      </c>
      <c r="T68" s="508">
        <f>'Rashodi-2021'!S72</f>
        <v>427000</v>
      </c>
      <c r="U68" s="820">
        <f t="shared" si="0"/>
        <v>174640402.21</v>
      </c>
      <c r="V68" s="835">
        <f>'Rashodi-2021'!U72</f>
        <v>593696981.21</v>
      </c>
      <c r="W68" s="836">
        <v>593696981.21</v>
      </c>
      <c r="X68" s="1108">
        <v>593696981.21</v>
      </c>
    </row>
    <row r="69" spans="2:24" ht="12.75">
      <c r="B69" s="284"/>
      <c r="C69" s="285"/>
      <c r="D69" s="428"/>
      <c r="E69" s="610" t="s">
        <v>284</v>
      </c>
      <c r="F69" s="611"/>
      <c r="G69" s="612"/>
      <c r="H69" s="1511" t="s">
        <v>1261</v>
      </c>
      <c r="I69" s="1512"/>
      <c r="J69" s="1512"/>
      <c r="K69" s="957">
        <f>K70+K102+K113+K120+K123+K108</f>
        <v>89227000</v>
      </c>
      <c r="L69" s="1113">
        <f>L70+L102+L113+L120+L123+L108</f>
        <v>51700130.05</v>
      </c>
      <c r="M69" s="957">
        <f>'Rashodi-2021'!M73</f>
        <v>92600000</v>
      </c>
      <c r="N69" s="957" t="e">
        <f>'Rashodi-2021'!#REF!</f>
        <v>#REF!</v>
      </c>
      <c r="O69" s="1213">
        <f>'Rashodi-2021'!N73</f>
        <v>0</v>
      </c>
      <c r="P69" s="1189">
        <f>'Rashodi-2021'!O73</f>
        <v>0</v>
      </c>
      <c r="Q69" s="1189">
        <f>'Rashodi-2021'!P73</f>
        <v>952400</v>
      </c>
      <c r="R69" s="1189">
        <f>'Rashodi-2021'!Q73</f>
        <v>2000000</v>
      </c>
      <c r="S69" s="1189">
        <f>'Rashodi-2021'!R73</f>
        <v>0</v>
      </c>
      <c r="T69" s="1189">
        <f>'Rashodi-2021'!S73</f>
        <v>0</v>
      </c>
      <c r="U69" s="1190">
        <f t="shared" si="0"/>
        <v>2952400</v>
      </c>
      <c r="V69" s="1107">
        <f>'Rashodi-2021'!U73</f>
        <v>95552400</v>
      </c>
      <c r="W69" s="1430">
        <v>95552400</v>
      </c>
      <c r="X69" s="848">
        <v>95552400</v>
      </c>
    </row>
    <row r="70" spans="2:24" ht="13.5" customHeight="1">
      <c r="B70" s="284"/>
      <c r="C70" s="285"/>
      <c r="D70" s="428"/>
      <c r="E70" s="346" t="s">
        <v>286</v>
      </c>
      <c r="F70" s="428"/>
      <c r="G70" s="429"/>
      <c r="H70" s="1537" t="s">
        <v>320</v>
      </c>
      <c r="I70" s="1600"/>
      <c r="J70" s="1601"/>
      <c r="K70" s="913">
        <f>K71</f>
        <v>75837000</v>
      </c>
      <c r="L70" s="1054">
        <f>L71</f>
        <v>47900320.83</v>
      </c>
      <c r="M70" s="1128">
        <f>'Rashodi-2021'!M74</f>
        <v>86070000</v>
      </c>
      <c r="N70" s="1128" t="e">
        <f>'Rashodi-2021'!#REF!</f>
        <v>#REF!</v>
      </c>
      <c r="O70" s="1214">
        <f>'Rashodi-2021'!N74</f>
        <v>0</v>
      </c>
      <c r="P70" s="1194">
        <f>'Rashodi-2021'!O74</f>
        <v>0</v>
      </c>
      <c r="Q70" s="1194">
        <f>'Rashodi-2021'!P74</f>
        <v>952400</v>
      </c>
      <c r="R70" s="1194">
        <f>'Rashodi-2021'!Q74</f>
        <v>2000000</v>
      </c>
      <c r="S70" s="1194">
        <f>'Rashodi-2021'!R74</f>
        <v>0</v>
      </c>
      <c r="T70" s="1194">
        <f>'Rashodi-2021'!S74</f>
        <v>0</v>
      </c>
      <c r="U70" s="1195">
        <f t="shared" si="0"/>
        <v>2952400</v>
      </c>
      <c r="V70" s="1196">
        <f>'Rashodi-2021'!U74</f>
        <v>89022400</v>
      </c>
      <c r="W70" s="652">
        <v>89022400</v>
      </c>
      <c r="X70" s="652">
        <v>89022400</v>
      </c>
    </row>
    <row r="71" spans="2:24" s="23" customFormat="1" ht="12.75">
      <c r="B71" s="546"/>
      <c r="C71" s="547"/>
      <c r="D71" s="56">
        <v>130</v>
      </c>
      <c r="E71" s="58"/>
      <c r="F71" s="548"/>
      <c r="G71" s="549"/>
      <c r="H71" s="1526" t="s">
        <v>90</v>
      </c>
      <c r="I71" s="1527"/>
      <c r="J71" s="729"/>
      <c r="K71" s="539">
        <f>SUM(K72:K101)</f>
        <v>75837000</v>
      </c>
      <c r="L71" s="825">
        <f>SUM(L72:L101)</f>
        <v>47900320.83</v>
      </c>
      <c r="M71" s="1130">
        <f>'Rashodi-2021'!M75</f>
        <v>86070000</v>
      </c>
      <c r="N71" s="1130" t="e">
        <f>'Rashodi-2021'!#REF!</f>
        <v>#REF!</v>
      </c>
      <c r="O71" s="1216">
        <f>'Rashodi-2021'!N75</f>
        <v>0</v>
      </c>
      <c r="P71" s="1202">
        <f>'Rashodi-2021'!O75</f>
        <v>0</v>
      </c>
      <c r="Q71" s="1202">
        <f>'Rashodi-2021'!P75</f>
        <v>952400</v>
      </c>
      <c r="R71" s="1202">
        <f>'Rashodi-2021'!Q75</f>
        <v>2000000</v>
      </c>
      <c r="S71" s="1202">
        <f>'Rashodi-2021'!R75</f>
        <v>0</v>
      </c>
      <c r="T71" s="1202">
        <f>'Rashodi-2021'!S75</f>
        <v>0</v>
      </c>
      <c r="U71" s="1204">
        <f t="shared" si="0"/>
        <v>2952400</v>
      </c>
      <c r="V71" s="1203">
        <f>'Rashodi-2021'!U75</f>
        <v>89022400</v>
      </c>
      <c r="W71" s="837">
        <v>89022400</v>
      </c>
      <c r="X71" s="844">
        <v>89022400</v>
      </c>
    </row>
    <row r="72" spans="2:24" s="356" customFormat="1" ht="12.75">
      <c r="B72" s="350"/>
      <c r="C72" s="357"/>
      <c r="D72" s="352"/>
      <c r="E72" s="357"/>
      <c r="F72" s="368">
        <v>42</v>
      </c>
      <c r="G72" s="434">
        <v>411</v>
      </c>
      <c r="H72" s="1492" t="s">
        <v>27</v>
      </c>
      <c r="I72" s="1493"/>
      <c r="J72" s="1494"/>
      <c r="K72" s="922">
        <v>29800000</v>
      </c>
      <c r="L72" s="1110">
        <v>20845650.73</v>
      </c>
      <c r="M72" s="1112">
        <f>'Rashodi-2021'!M76</f>
        <v>32798000</v>
      </c>
      <c r="N72" s="1112" t="e">
        <f>'Rashodi-2021'!#REF!</f>
        <v>#REF!</v>
      </c>
      <c r="O72" s="1215">
        <f>'Rashodi-2021'!N76</f>
        <v>0</v>
      </c>
      <c r="P72" s="1208">
        <f>'Rashodi-2021'!O76</f>
        <v>0</v>
      </c>
      <c r="Q72" s="1208">
        <f>'Rashodi-2021'!P76</f>
        <v>0</v>
      </c>
      <c r="R72" s="1208">
        <f>'Rashodi-2021'!Q76</f>
        <v>0</v>
      </c>
      <c r="S72" s="1208">
        <f>'Rashodi-2021'!R76</f>
        <v>0</v>
      </c>
      <c r="T72" s="1208">
        <f>'Rashodi-2021'!S76</f>
        <v>0</v>
      </c>
      <c r="U72" s="1220">
        <f t="shared" si="0"/>
        <v>0</v>
      </c>
      <c r="V72" s="1138">
        <f>'Rashodi-2021'!U76</f>
        <v>32798000</v>
      </c>
      <c r="W72" s="608">
        <v>32798000</v>
      </c>
      <c r="X72" s="844">
        <v>32798000</v>
      </c>
    </row>
    <row r="73" spans="2:24" s="356" customFormat="1" ht="12.75">
      <c r="B73" s="350"/>
      <c r="C73" s="357"/>
      <c r="D73" s="352"/>
      <c r="E73" s="357"/>
      <c r="F73" s="368">
        <v>43</v>
      </c>
      <c r="G73" s="434">
        <v>412</v>
      </c>
      <c r="H73" s="1508" t="s">
        <v>79</v>
      </c>
      <c r="I73" s="1509"/>
      <c r="J73" s="1510"/>
      <c r="K73" s="372">
        <v>5390000</v>
      </c>
      <c r="L73" s="373">
        <v>3472098.5999999996</v>
      </c>
      <c r="M73" s="1112">
        <f>'Rashodi-2021'!M77</f>
        <v>5942000</v>
      </c>
      <c r="N73" s="1112" t="e">
        <f>'Rashodi-2021'!#REF!</f>
        <v>#REF!</v>
      </c>
      <c r="O73" s="1215">
        <f>'Rashodi-2021'!N77</f>
        <v>0</v>
      </c>
      <c r="P73" s="1208">
        <f>'Rashodi-2021'!O77</f>
        <v>0</v>
      </c>
      <c r="Q73" s="1208">
        <f>'Rashodi-2021'!P77</f>
        <v>0</v>
      </c>
      <c r="R73" s="1208">
        <f>'Rashodi-2021'!Q77</f>
        <v>0</v>
      </c>
      <c r="S73" s="1208">
        <f>'Rashodi-2021'!R77</f>
        <v>0</v>
      </c>
      <c r="T73" s="1208">
        <f>'Rashodi-2021'!S77</f>
        <v>0</v>
      </c>
      <c r="U73" s="1220">
        <f aca="true" t="shared" si="5" ref="U73:U134">SUM(O73:T73)</f>
        <v>0</v>
      </c>
      <c r="V73" s="1138">
        <f>'Rashodi-2021'!U77</f>
        <v>5942000</v>
      </c>
      <c r="W73" s="608">
        <v>5942000</v>
      </c>
      <c r="X73" s="844">
        <v>5942000</v>
      </c>
    </row>
    <row r="74" spans="2:24" s="356" customFormat="1" ht="12.75">
      <c r="B74" s="350"/>
      <c r="C74" s="357"/>
      <c r="D74" s="352"/>
      <c r="E74" s="357"/>
      <c r="F74" s="368">
        <v>44</v>
      </c>
      <c r="G74" s="434">
        <v>414</v>
      </c>
      <c r="H74" s="1508" t="s">
        <v>30</v>
      </c>
      <c r="I74" s="1509"/>
      <c r="J74" s="1510"/>
      <c r="K74" s="372">
        <v>1100000</v>
      </c>
      <c r="L74" s="373">
        <v>242983.14999999997</v>
      </c>
      <c r="M74" s="1112">
        <f>'Rashodi-2021'!M78</f>
        <v>1100000</v>
      </c>
      <c r="N74" s="1112" t="e">
        <f>'Rashodi-2021'!#REF!</f>
        <v>#REF!</v>
      </c>
      <c r="O74" s="1215">
        <f>'Rashodi-2021'!N78</f>
        <v>0</v>
      </c>
      <c r="P74" s="1208">
        <f>'Rashodi-2021'!O78</f>
        <v>0</v>
      </c>
      <c r="Q74" s="1208">
        <f>'Rashodi-2021'!P78</f>
        <v>0</v>
      </c>
      <c r="R74" s="1208">
        <f>'Rashodi-2021'!Q78</f>
        <v>0</v>
      </c>
      <c r="S74" s="1208">
        <f>'Rashodi-2021'!R78</f>
        <v>0</v>
      </c>
      <c r="T74" s="1208">
        <f>'Rashodi-2021'!S78</f>
        <v>0</v>
      </c>
      <c r="U74" s="1220">
        <f t="shared" si="5"/>
        <v>0</v>
      </c>
      <c r="V74" s="1138">
        <f>'Rashodi-2021'!U78</f>
        <v>1100000</v>
      </c>
      <c r="W74" s="608">
        <v>1100000</v>
      </c>
      <c r="X74" s="844">
        <v>1100000</v>
      </c>
    </row>
    <row r="75" spans="2:24" s="356" customFormat="1" ht="12.75">
      <c r="B75" s="350"/>
      <c r="C75" s="357"/>
      <c r="D75" s="352"/>
      <c r="E75" s="357"/>
      <c r="F75" s="368">
        <v>45</v>
      </c>
      <c r="G75" s="434">
        <v>415</v>
      </c>
      <c r="H75" s="1508" t="s">
        <v>31</v>
      </c>
      <c r="I75" s="1509"/>
      <c r="J75" s="1510"/>
      <c r="K75" s="372">
        <v>1100000</v>
      </c>
      <c r="L75" s="373">
        <v>707421.7899999999</v>
      </c>
      <c r="M75" s="1112">
        <f>'Rashodi-2021'!M79</f>
        <v>5000000</v>
      </c>
      <c r="N75" s="1112" t="e">
        <f>'Rashodi-2021'!#REF!</f>
        <v>#REF!</v>
      </c>
      <c r="O75" s="1215">
        <f>'Rashodi-2021'!N79</f>
        <v>0</v>
      </c>
      <c r="P75" s="1208">
        <f>'Rashodi-2021'!O79</f>
        <v>0</v>
      </c>
      <c r="Q75" s="1208">
        <f>'Rashodi-2021'!P79</f>
        <v>0</v>
      </c>
      <c r="R75" s="1208">
        <f>'Rashodi-2021'!Q79</f>
        <v>0</v>
      </c>
      <c r="S75" s="1208">
        <f>'Rashodi-2021'!R79</f>
        <v>0</v>
      </c>
      <c r="T75" s="1208">
        <f>'Rashodi-2021'!S79</f>
        <v>0</v>
      </c>
      <c r="U75" s="1220">
        <f t="shared" si="5"/>
        <v>0</v>
      </c>
      <c r="V75" s="1138">
        <f>'Rashodi-2021'!U79</f>
        <v>5000000</v>
      </c>
      <c r="W75" s="608">
        <v>5000000</v>
      </c>
      <c r="X75" s="844">
        <v>5000000</v>
      </c>
    </row>
    <row r="76" spans="2:24" s="356" customFormat="1" ht="12.75">
      <c r="B76" s="350"/>
      <c r="C76" s="357"/>
      <c r="D76" s="352"/>
      <c r="E76" s="357"/>
      <c r="F76" s="368">
        <v>46</v>
      </c>
      <c r="G76" s="434">
        <v>416</v>
      </c>
      <c r="H76" s="1517" t="s">
        <v>200</v>
      </c>
      <c r="I76" s="1518"/>
      <c r="J76" s="1519"/>
      <c r="K76" s="372">
        <v>90000</v>
      </c>
      <c r="L76" s="373">
        <v>84121.89</v>
      </c>
      <c r="M76" s="1112">
        <f>'Rashodi-2021'!M80</f>
        <v>590000</v>
      </c>
      <c r="N76" s="1112" t="e">
        <f>'Rashodi-2021'!#REF!</f>
        <v>#REF!</v>
      </c>
      <c r="O76" s="1215">
        <f>'Rashodi-2021'!N80</f>
        <v>0</v>
      </c>
      <c r="P76" s="1208">
        <f>'Rashodi-2021'!O80</f>
        <v>0</v>
      </c>
      <c r="Q76" s="1208">
        <f>'Rashodi-2021'!P80</f>
        <v>0</v>
      </c>
      <c r="R76" s="1208">
        <f>'Rashodi-2021'!Q80</f>
        <v>0</v>
      </c>
      <c r="S76" s="1208">
        <f>'Rashodi-2021'!R80</f>
        <v>0</v>
      </c>
      <c r="T76" s="1208">
        <f>'Rashodi-2021'!S80</f>
        <v>0</v>
      </c>
      <c r="U76" s="1220">
        <f t="shared" si="5"/>
        <v>0</v>
      </c>
      <c r="V76" s="1138">
        <f>'Rashodi-2021'!U80</f>
        <v>590000</v>
      </c>
      <c r="W76" s="608">
        <v>590000</v>
      </c>
      <c r="X76" s="844">
        <v>590000</v>
      </c>
    </row>
    <row r="77" spans="2:24" s="356" customFormat="1" ht="12.75">
      <c r="B77" s="350"/>
      <c r="C77" s="357"/>
      <c r="D77" s="352"/>
      <c r="E77" s="357"/>
      <c r="F77" s="368">
        <v>47</v>
      </c>
      <c r="G77" s="444">
        <v>421</v>
      </c>
      <c r="H77" s="1508" t="s">
        <v>33</v>
      </c>
      <c r="I77" s="1509"/>
      <c r="J77" s="1510"/>
      <c r="K77" s="372">
        <v>6100000</v>
      </c>
      <c r="L77" s="373">
        <v>3723434.399999998</v>
      </c>
      <c r="M77" s="1112">
        <f>'Rashodi-2021'!M81</f>
        <v>6100000</v>
      </c>
      <c r="N77" s="1112" t="e">
        <f>'Rashodi-2021'!#REF!</f>
        <v>#REF!</v>
      </c>
      <c r="O77" s="1215">
        <f>'Rashodi-2021'!N81</f>
        <v>0</v>
      </c>
      <c r="P77" s="1208">
        <f>'Rashodi-2021'!O81</f>
        <v>0</v>
      </c>
      <c r="Q77" s="1208">
        <f>'Rashodi-2021'!P81</f>
        <v>0</v>
      </c>
      <c r="R77" s="1208">
        <f>'Rashodi-2021'!Q81</f>
        <v>0</v>
      </c>
      <c r="S77" s="1208">
        <f>'Rashodi-2021'!R81</f>
        <v>0</v>
      </c>
      <c r="T77" s="1208">
        <f>'Rashodi-2021'!S81</f>
        <v>0</v>
      </c>
      <c r="U77" s="1220">
        <f t="shared" si="5"/>
        <v>0</v>
      </c>
      <c r="V77" s="1138">
        <f>'Rashodi-2021'!U81</f>
        <v>6100000</v>
      </c>
      <c r="W77" s="608">
        <v>6100000</v>
      </c>
      <c r="X77" s="844">
        <v>6100000</v>
      </c>
    </row>
    <row r="78" spans="2:24" s="356" customFormat="1" ht="12.75">
      <c r="B78" s="350"/>
      <c r="C78" s="357"/>
      <c r="D78" s="352"/>
      <c r="E78" s="357"/>
      <c r="F78" s="368">
        <v>48</v>
      </c>
      <c r="G78" s="444">
        <v>422</v>
      </c>
      <c r="H78" s="1517" t="s">
        <v>34</v>
      </c>
      <c r="I78" s="1518"/>
      <c r="J78" s="1519"/>
      <c r="K78" s="372">
        <v>100000</v>
      </c>
      <c r="L78" s="373">
        <v>1775</v>
      </c>
      <c r="M78" s="1112">
        <f>'Rashodi-2021'!M82</f>
        <v>50000</v>
      </c>
      <c r="N78" s="1112" t="e">
        <f>'Rashodi-2021'!#REF!</f>
        <v>#REF!</v>
      </c>
      <c r="O78" s="1215">
        <f>'Rashodi-2021'!N82</f>
        <v>0</v>
      </c>
      <c r="P78" s="1208">
        <f>'Rashodi-2021'!O82</f>
        <v>0</v>
      </c>
      <c r="Q78" s="1208">
        <f>'Rashodi-2021'!P82</f>
        <v>0</v>
      </c>
      <c r="R78" s="1208">
        <f>'Rashodi-2021'!Q82</f>
        <v>0</v>
      </c>
      <c r="S78" s="1208">
        <f>'Rashodi-2021'!R82</f>
        <v>0</v>
      </c>
      <c r="T78" s="1208">
        <f>'Rashodi-2021'!S82</f>
        <v>0</v>
      </c>
      <c r="U78" s="1220">
        <f t="shared" si="5"/>
        <v>0</v>
      </c>
      <c r="V78" s="1138">
        <f>'Rashodi-2021'!U82</f>
        <v>50000</v>
      </c>
      <c r="W78" s="608">
        <v>50000</v>
      </c>
      <c r="X78" s="844">
        <v>50000</v>
      </c>
    </row>
    <row r="79" spans="2:24" s="356" customFormat="1" ht="12.75">
      <c r="B79" s="350"/>
      <c r="C79" s="357"/>
      <c r="D79" s="352"/>
      <c r="E79" s="357"/>
      <c r="F79" s="368">
        <v>49</v>
      </c>
      <c r="G79" s="444">
        <v>423</v>
      </c>
      <c r="H79" s="1517" t="s">
        <v>35</v>
      </c>
      <c r="I79" s="1518"/>
      <c r="J79" s="1519"/>
      <c r="K79" s="372">
        <v>14000000</v>
      </c>
      <c r="L79" s="373">
        <v>9819137.89</v>
      </c>
      <c r="M79" s="1112">
        <f>'Rashodi-2021'!M83</f>
        <v>17000000</v>
      </c>
      <c r="N79" s="1112" t="e">
        <f>'Rashodi-2021'!#REF!</f>
        <v>#REF!</v>
      </c>
      <c r="O79" s="1215">
        <f>'Rashodi-2021'!N83</f>
        <v>0</v>
      </c>
      <c r="P79" s="1208">
        <f>'Rashodi-2021'!O83</f>
        <v>0</v>
      </c>
      <c r="Q79" s="1208">
        <f>'Rashodi-2021'!P83</f>
        <v>0</v>
      </c>
      <c r="R79" s="1208">
        <f>'Rashodi-2021'!Q83</f>
        <v>0</v>
      </c>
      <c r="S79" s="1208">
        <f>'Rashodi-2021'!R83</f>
        <v>0</v>
      </c>
      <c r="T79" s="1208">
        <f>'Rashodi-2021'!S83</f>
        <v>0</v>
      </c>
      <c r="U79" s="1220">
        <f t="shared" si="5"/>
        <v>0</v>
      </c>
      <c r="V79" s="1138">
        <f>'Rashodi-2021'!U83</f>
        <v>17000000</v>
      </c>
      <c r="W79" s="608">
        <v>17000000</v>
      </c>
      <c r="X79" s="844">
        <v>17000000</v>
      </c>
    </row>
    <row r="80" spans="1:24" s="356" customFormat="1" ht="12.75">
      <c r="A80" s="356" t="s">
        <v>1490</v>
      </c>
      <c r="B80" s="350"/>
      <c r="C80" s="357"/>
      <c r="D80" s="352"/>
      <c r="E80" s="357"/>
      <c r="F80" s="368">
        <v>50</v>
      </c>
      <c r="G80" s="444">
        <v>423</v>
      </c>
      <c r="H80" s="1517" t="s">
        <v>1491</v>
      </c>
      <c r="I80" s="1518"/>
      <c r="J80" s="1519"/>
      <c r="K80" s="372">
        <v>200000</v>
      </c>
      <c r="L80" s="373">
        <v>0</v>
      </c>
      <c r="M80" s="1112">
        <f>'Rashodi-2021'!M84</f>
        <v>200000</v>
      </c>
      <c r="N80" s="1112" t="e">
        <f>'Rashodi-2021'!#REF!</f>
        <v>#REF!</v>
      </c>
      <c r="O80" s="1215">
        <f>'Rashodi-2021'!N84</f>
        <v>0</v>
      </c>
      <c r="P80" s="1208">
        <f>'Rashodi-2021'!O84</f>
        <v>0</v>
      </c>
      <c r="Q80" s="1208">
        <f>'Rashodi-2021'!P84</f>
        <v>0</v>
      </c>
      <c r="R80" s="1208">
        <f>'Rashodi-2021'!Q84</f>
        <v>0</v>
      </c>
      <c r="S80" s="1208">
        <f>'Rashodi-2021'!R84</f>
        <v>0</v>
      </c>
      <c r="T80" s="1208">
        <f>'Rashodi-2021'!S84</f>
        <v>0</v>
      </c>
      <c r="U80" s="1220">
        <f t="shared" si="5"/>
        <v>0</v>
      </c>
      <c r="V80" s="1138">
        <f>'Rashodi-2021'!U84</f>
        <v>200000</v>
      </c>
      <c r="W80" s="608">
        <v>200000</v>
      </c>
      <c r="X80" s="844">
        <v>200000</v>
      </c>
    </row>
    <row r="81" spans="2:24" s="356" customFormat="1" ht="12.75">
      <c r="B81" s="350"/>
      <c r="C81" s="357"/>
      <c r="D81" s="352"/>
      <c r="E81" s="357"/>
      <c r="F81" s="368">
        <v>51</v>
      </c>
      <c r="G81" s="434">
        <v>423</v>
      </c>
      <c r="H81" s="1508" t="s">
        <v>1372</v>
      </c>
      <c r="I81" s="1509"/>
      <c r="J81" s="1510"/>
      <c r="K81" s="372">
        <v>300000</v>
      </c>
      <c r="L81" s="373">
        <v>99685.47000000002</v>
      </c>
      <c r="M81" s="1112">
        <f>'Rashodi-2021'!M85</f>
        <v>300000</v>
      </c>
      <c r="N81" s="1112" t="e">
        <f>'Rashodi-2021'!#REF!</f>
        <v>#REF!</v>
      </c>
      <c r="O81" s="1215">
        <f>'Rashodi-2021'!N85</f>
        <v>0</v>
      </c>
      <c r="P81" s="1208">
        <f>'Rashodi-2021'!O85</f>
        <v>0</v>
      </c>
      <c r="Q81" s="1208">
        <f>'Rashodi-2021'!P85</f>
        <v>0</v>
      </c>
      <c r="R81" s="1208">
        <f>'Rashodi-2021'!Q85</f>
        <v>0</v>
      </c>
      <c r="S81" s="1208">
        <f>'Rashodi-2021'!R85</f>
        <v>0</v>
      </c>
      <c r="T81" s="1208">
        <f>'Rashodi-2021'!S85</f>
        <v>0</v>
      </c>
      <c r="U81" s="1220">
        <f t="shared" si="5"/>
        <v>0</v>
      </c>
      <c r="V81" s="1138">
        <f>'Rashodi-2021'!U85</f>
        <v>300000</v>
      </c>
      <c r="W81" s="608">
        <v>300000</v>
      </c>
      <c r="X81" s="844">
        <v>300000</v>
      </c>
    </row>
    <row r="82" spans="2:24" s="356" customFormat="1" ht="12.75">
      <c r="B82" s="350"/>
      <c r="C82" s="357"/>
      <c r="D82" s="446"/>
      <c r="E82" s="447"/>
      <c r="F82" s="368">
        <v>52</v>
      </c>
      <c r="G82" s="448">
        <v>423</v>
      </c>
      <c r="H82" s="1605" t="s">
        <v>1374</v>
      </c>
      <c r="I82" s="1606"/>
      <c r="J82" s="1607"/>
      <c r="K82" s="927">
        <v>150000</v>
      </c>
      <c r="L82" s="953">
        <v>0</v>
      </c>
      <c r="M82" s="1112">
        <f>'Rashodi-2021'!M86</f>
        <v>150000</v>
      </c>
      <c r="N82" s="1112" t="e">
        <f>'Rashodi-2021'!#REF!</f>
        <v>#REF!</v>
      </c>
      <c r="O82" s="1215">
        <f>'Rashodi-2021'!N86</f>
        <v>0</v>
      </c>
      <c r="P82" s="1208">
        <f>'Rashodi-2021'!O86</f>
        <v>0</v>
      </c>
      <c r="Q82" s="1208">
        <f>'Rashodi-2021'!P86</f>
        <v>0</v>
      </c>
      <c r="R82" s="1208">
        <f>'Rashodi-2021'!Q86</f>
        <v>0</v>
      </c>
      <c r="S82" s="1208">
        <f>'Rashodi-2021'!R86</f>
        <v>0</v>
      </c>
      <c r="T82" s="1208">
        <f>'Rashodi-2021'!S86</f>
        <v>0</v>
      </c>
      <c r="U82" s="1240">
        <f t="shared" si="5"/>
        <v>0</v>
      </c>
      <c r="V82" s="1138">
        <f>'Rashodi-2021'!U86</f>
        <v>150000</v>
      </c>
      <c r="W82" s="376">
        <v>150000</v>
      </c>
      <c r="X82" s="844">
        <v>150000</v>
      </c>
    </row>
    <row r="83" spans="2:24" s="510" customFormat="1" ht="12.75">
      <c r="B83" s="511"/>
      <c r="C83" s="452"/>
      <c r="D83" s="512"/>
      <c r="E83" s="452"/>
      <c r="F83" s="368">
        <v>53</v>
      </c>
      <c r="G83" s="434">
        <v>423</v>
      </c>
      <c r="H83" s="1576" t="s">
        <v>1375</v>
      </c>
      <c r="I83" s="1577"/>
      <c r="J83" s="1578"/>
      <c r="K83" s="925">
        <v>180000</v>
      </c>
      <c r="L83" s="1089">
        <v>0</v>
      </c>
      <c r="M83" s="1112">
        <f>'Rashodi-2021'!M87</f>
        <v>180000</v>
      </c>
      <c r="N83" s="1112" t="e">
        <f>'Rashodi-2021'!#REF!</f>
        <v>#REF!</v>
      </c>
      <c r="O83" s="1215">
        <f>'Rashodi-2021'!N87</f>
        <v>0</v>
      </c>
      <c r="P83" s="1208">
        <f>'Rashodi-2021'!O87</f>
        <v>0</v>
      </c>
      <c r="Q83" s="1208">
        <f>'Rashodi-2021'!P87</f>
        <v>0</v>
      </c>
      <c r="R83" s="1208">
        <f>'Rashodi-2021'!Q87</f>
        <v>0</v>
      </c>
      <c r="S83" s="1208">
        <f>'Rashodi-2021'!R87</f>
        <v>0</v>
      </c>
      <c r="T83" s="1208">
        <f>'Rashodi-2021'!S87</f>
        <v>0</v>
      </c>
      <c r="U83" s="1220">
        <f t="shared" si="5"/>
        <v>0</v>
      </c>
      <c r="V83" s="1138">
        <f>'Rashodi-2021'!U87</f>
        <v>180000</v>
      </c>
      <c r="W83" s="608">
        <v>180000</v>
      </c>
      <c r="X83" s="844">
        <v>180000</v>
      </c>
    </row>
    <row r="84" spans="2:24" s="510" customFormat="1" ht="12.75">
      <c r="B84" s="511"/>
      <c r="C84" s="452"/>
      <c r="D84" s="512"/>
      <c r="E84" s="452"/>
      <c r="F84" s="368">
        <v>54</v>
      </c>
      <c r="G84" s="434">
        <v>423</v>
      </c>
      <c r="H84" s="1581" t="s">
        <v>1376</v>
      </c>
      <c r="I84" s="1582"/>
      <c r="J84" s="1583"/>
      <c r="K84" s="925">
        <v>400000</v>
      </c>
      <c r="L84" s="1089">
        <v>384000</v>
      </c>
      <c r="M84" s="1112">
        <f>'Rashodi-2021'!M88</f>
        <v>120000</v>
      </c>
      <c r="N84" s="1112" t="e">
        <f>'Rashodi-2021'!#REF!</f>
        <v>#REF!</v>
      </c>
      <c r="O84" s="1215">
        <f>'Rashodi-2021'!N88</f>
        <v>0</v>
      </c>
      <c r="P84" s="1208">
        <f>'Rashodi-2021'!O88</f>
        <v>0</v>
      </c>
      <c r="Q84" s="1208">
        <f>'Rashodi-2021'!P88</f>
        <v>0</v>
      </c>
      <c r="R84" s="1208">
        <f>'Rashodi-2021'!Q88</f>
        <v>0</v>
      </c>
      <c r="S84" s="1208">
        <f>'Rashodi-2021'!R88</f>
        <v>0</v>
      </c>
      <c r="T84" s="1208">
        <f>'Rashodi-2021'!S88</f>
        <v>0</v>
      </c>
      <c r="U84" s="1220">
        <f t="shared" si="5"/>
        <v>0</v>
      </c>
      <c r="V84" s="1138">
        <f>'Rashodi-2021'!U88</f>
        <v>120000</v>
      </c>
      <c r="W84" s="608">
        <v>120000</v>
      </c>
      <c r="X84" s="844">
        <v>120000</v>
      </c>
    </row>
    <row r="85" spans="2:24" s="356" customFormat="1" ht="12.75">
      <c r="B85" s="350"/>
      <c r="C85" s="357"/>
      <c r="D85" s="352"/>
      <c r="E85" s="357"/>
      <c r="F85" s="368">
        <v>55</v>
      </c>
      <c r="G85" s="434">
        <v>424</v>
      </c>
      <c r="H85" s="1508" t="s">
        <v>36</v>
      </c>
      <c r="I85" s="1509"/>
      <c r="J85" s="1510"/>
      <c r="K85" s="746">
        <v>1200000</v>
      </c>
      <c r="L85" s="359">
        <v>206382.84</v>
      </c>
      <c r="M85" s="1112">
        <f>'Rashodi-2021'!M89</f>
        <v>600000</v>
      </c>
      <c r="N85" s="1112" t="e">
        <f>'Rashodi-2021'!#REF!</f>
        <v>#REF!</v>
      </c>
      <c r="O85" s="1215">
        <f>'Rashodi-2021'!N89</f>
        <v>0</v>
      </c>
      <c r="P85" s="1208">
        <f>'Rashodi-2021'!O89</f>
        <v>0</v>
      </c>
      <c r="Q85" s="1208">
        <f>'Rashodi-2021'!P89</f>
        <v>0</v>
      </c>
      <c r="R85" s="1208">
        <f>'Rashodi-2021'!Q89</f>
        <v>2000000</v>
      </c>
      <c r="S85" s="1208">
        <f>'Rashodi-2021'!R89</f>
        <v>0</v>
      </c>
      <c r="T85" s="1208">
        <f>'Rashodi-2021'!S89</f>
        <v>0</v>
      </c>
      <c r="U85" s="1220">
        <f t="shared" si="5"/>
        <v>2000000</v>
      </c>
      <c r="V85" s="1138">
        <f>'Rashodi-2021'!U89</f>
        <v>2600000</v>
      </c>
      <c r="W85" s="608">
        <v>2600000</v>
      </c>
      <c r="X85" s="844">
        <v>2600000</v>
      </c>
    </row>
    <row r="86" spans="2:24" s="356" customFormat="1" ht="12.75">
      <c r="B86" s="350"/>
      <c r="C86" s="357"/>
      <c r="D86" s="352"/>
      <c r="E86" s="357"/>
      <c r="F86" s="368">
        <v>56</v>
      </c>
      <c r="G86" s="434">
        <v>425</v>
      </c>
      <c r="H86" s="1508" t="s">
        <v>91</v>
      </c>
      <c r="I86" s="1509"/>
      <c r="J86" s="1510"/>
      <c r="K86" s="746">
        <v>2200000</v>
      </c>
      <c r="L86" s="359">
        <v>1742261.06</v>
      </c>
      <c r="M86" s="1112">
        <f>'Rashodi-2021'!M90</f>
        <v>2200000</v>
      </c>
      <c r="N86" s="1112" t="e">
        <f>'Rashodi-2021'!#REF!</f>
        <v>#REF!</v>
      </c>
      <c r="O86" s="1215">
        <f>'Rashodi-2021'!N90</f>
        <v>0</v>
      </c>
      <c r="P86" s="1208">
        <f>'Rashodi-2021'!O90</f>
        <v>0</v>
      </c>
      <c r="Q86" s="1208">
        <f>'Rashodi-2021'!P90</f>
        <v>0</v>
      </c>
      <c r="R86" s="1208">
        <f>'Rashodi-2021'!Q90</f>
        <v>0</v>
      </c>
      <c r="S86" s="1208">
        <f>'Rashodi-2021'!R90</f>
        <v>0</v>
      </c>
      <c r="T86" s="1208">
        <f>'Rashodi-2021'!S90</f>
        <v>0</v>
      </c>
      <c r="U86" s="1220">
        <f t="shared" si="5"/>
        <v>0</v>
      </c>
      <c r="V86" s="1138">
        <f>'Rashodi-2021'!U90</f>
        <v>2200000</v>
      </c>
      <c r="W86" s="608">
        <v>2200000</v>
      </c>
      <c r="X86" s="844">
        <v>2200000</v>
      </c>
    </row>
    <row r="87" spans="2:24" s="356" customFormat="1" ht="12.75">
      <c r="B87" s="350"/>
      <c r="C87" s="357"/>
      <c r="D87" s="446"/>
      <c r="E87" s="447"/>
      <c r="F87" s="368">
        <v>57</v>
      </c>
      <c r="G87" s="448">
        <v>425</v>
      </c>
      <c r="H87" s="1605" t="s">
        <v>1183</v>
      </c>
      <c r="I87" s="1606"/>
      <c r="J87" s="1607"/>
      <c r="K87" s="927">
        <v>300000</v>
      </c>
      <c r="L87" s="953">
        <v>0</v>
      </c>
      <c r="M87" s="1112">
        <f>'Rashodi-2021'!M91</f>
        <v>300000</v>
      </c>
      <c r="N87" s="1112" t="e">
        <f>'Rashodi-2021'!#REF!</f>
        <v>#REF!</v>
      </c>
      <c r="O87" s="1215">
        <f>'Rashodi-2021'!N91</f>
        <v>0</v>
      </c>
      <c r="P87" s="1208">
        <f>'Rashodi-2021'!O91</f>
        <v>0</v>
      </c>
      <c r="Q87" s="1208">
        <f>'Rashodi-2021'!P91</f>
        <v>0</v>
      </c>
      <c r="R87" s="1208">
        <f>'Rashodi-2021'!Q91</f>
        <v>0</v>
      </c>
      <c r="S87" s="1208">
        <f>'Rashodi-2021'!R91</f>
        <v>0</v>
      </c>
      <c r="T87" s="1208">
        <f>'Rashodi-2021'!S91</f>
        <v>0</v>
      </c>
      <c r="U87" s="1240">
        <f t="shared" si="5"/>
        <v>0</v>
      </c>
      <c r="V87" s="1138">
        <f>'Rashodi-2021'!U91</f>
        <v>300000</v>
      </c>
      <c r="W87" s="376">
        <v>300000</v>
      </c>
      <c r="X87" s="844">
        <v>300000</v>
      </c>
    </row>
    <row r="88" spans="2:24" s="356" customFormat="1" ht="12.75">
      <c r="B88" s="350"/>
      <c r="C88" s="357"/>
      <c r="D88" s="352"/>
      <c r="E88" s="357"/>
      <c r="F88" s="368">
        <v>58</v>
      </c>
      <c r="G88" s="434">
        <v>426</v>
      </c>
      <c r="H88" s="1508" t="s">
        <v>38</v>
      </c>
      <c r="I88" s="1509"/>
      <c r="J88" s="1510"/>
      <c r="K88" s="746">
        <v>2800000</v>
      </c>
      <c r="L88" s="359">
        <v>1690977.2300000002</v>
      </c>
      <c r="M88" s="1112">
        <f>'Rashodi-2021'!M92</f>
        <v>3000000</v>
      </c>
      <c r="N88" s="1112" t="e">
        <f>'Rashodi-2021'!#REF!</f>
        <v>#REF!</v>
      </c>
      <c r="O88" s="1215">
        <f>'Rashodi-2021'!N92</f>
        <v>0</v>
      </c>
      <c r="P88" s="1208">
        <f>'Rashodi-2021'!O92</f>
        <v>0</v>
      </c>
      <c r="Q88" s="1208">
        <f>'Rashodi-2021'!P92</f>
        <v>80456</v>
      </c>
      <c r="R88" s="1208">
        <f>'Rashodi-2021'!Q92</f>
        <v>0</v>
      </c>
      <c r="S88" s="1208">
        <f>'Rashodi-2021'!R92</f>
        <v>0</v>
      </c>
      <c r="T88" s="1208">
        <f>'Rashodi-2021'!S92</f>
        <v>0</v>
      </c>
      <c r="U88" s="1220">
        <f t="shared" si="5"/>
        <v>80456</v>
      </c>
      <c r="V88" s="1138">
        <f>'Rashodi-2021'!U92</f>
        <v>3080456</v>
      </c>
      <c r="W88" s="608">
        <v>3080456</v>
      </c>
      <c r="X88" s="844">
        <v>3080456</v>
      </c>
    </row>
    <row r="89" spans="2:24" s="356" customFormat="1" ht="12.75">
      <c r="B89" s="350"/>
      <c r="C89" s="357"/>
      <c r="D89" s="446"/>
      <c r="E89" s="447"/>
      <c r="F89" s="368">
        <v>59</v>
      </c>
      <c r="G89" s="448">
        <v>426</v>
      </c>
      <c r="H89" s="1605" t="s">
        <v>17</v>
      </c>
      <c r="I89" s="1606"/>
      <c r="J89" s="1607"/>
      <c r="K89" s="927">
        <v>50000</v>
      </c>
      <c r="L89" s="953">
        <v>20197</v>
      </c>
      <c r="M89" s="1112">
        <f>'Rashodi-2021'!M93</f>
        <v>50000</v>
      </c>
      <c r="N89" s="1112" t="e">
        <f>'Rashodi-2021'!#REF!</f>
        <v>#REF!</v>
      </c>
      <c r="O89" s="1215">
        <f>'Rashodi-2021'!N93</f>
        <v>0</v>
      </c>
      <c r="P89" s="1208">
        <f>'Rashodi-2021'!O93</f>
        <v>0</v>
      </c>
      <c r="Q89" s="1208">
        <f>'Rashodi-2021'!P93</f>
        <v>0</v>
      </c>
      <c r="R89" s="1208">
        <f>'Rashodi-2021'!Q93</f>
        <v>0</v>
      </c>
      <c r="S89" s="1208">
        <f>'Rashodi-2021'!R93</f>
        <v>0</v>
      </c>
      <c r="T89" s="1208">
        <f>'Rashodi-2021'!S93</f>
        <v>0</v>
      </c>
      <c r="U89" s="1240">
        <f t="shared" si="5"/>
        <v>0</v>
      </c>
      <c r="V89" s="1138">
        <f>'Rashodi-2021'!U93</f>
        <v>50000</v>
      </c>
      <c r="W89" s="376">
        <v>50000</v>
      </c>
      <c r="X89" s="844">
        <v>50000</v>
      </c>
    </row>
    <row r="90" spans="2:24" s="356" customFormat="1" ht="12.75">
      <c r="B90" s="350"/>
      <c r="C90" s="357"/>
      <c r="D90" s="352"/>
      <c r="E90" s="357"/>
      <c r="F90" s="368">
        <v>60</v>
      </c>
      <c r="G90" s="444">
        <v>465</v>
      </c>
      <c r="H90" s="1517" t="s">
        <v>1429</v>
      </c>
      <c r="I90" s="1518"/>
      <c r="J90" s="1519"/>
      <c r="K90" s="746">
        <v>500000</v>
      </c>
      <c r="L90" s="359">
        <v>0</v>
      </c>
      <c r="M90" s="1112">
        <f>'Rashodi-2021'!M94</f>
        <v>500000</v>
      </c>
      <c r="N90" s="1112" t="e">
        <f>'Rashodi-2021'!#REF!</f>
        <v>#REF!</v>
      </c>
      <c r="O90" s="1215">
        <f>'Rashodi-2021'!N94</f>
        <v>0</v>
      </c>
      <c r="P90" s="1208">
        <f>'Rashodi-2021'!O94</f>
        <v>0</v>
      </c>
      <c r="Q90" s="1208">
        <f>'Rashodi-2021'!P94</f>
        <v>0</v>
      </c>
      <c r="R90" s="1208">
        <f>'Rashodi-2021'!Q94</f>
        <v>0</v>
      </c>
      <c r="S90" s="1208">
        <f>'Rashodi-2021'!R94</f>
        <v>0</v>
      </c>
      <c r="T90" s="1208">
        <f>'Rashodi-2021'!S94</f>
        <v>0</v>
      </c>
      <c r="U90" s="1220">
        <f t="shared" si="5"/>
        <v>0</v>
      </c>
      <c r="V90" s="1138">
        <f>'Rashodi-2021'!U94</f>
        <v>500000</v>
      </c>
      <c r="W90" s="608">
        <v>500000</v>
      </c>
      <c r="X90" s="844">
        <v>500000</v>
      </c>
    </row>
    <row r="91" spans="2:24" s="356" customFormat="1" ht="12.75">
      <c r="B91" s="350"/>
      <c r="C91" s="357"/>
      <c r="D91" s="352"/>
      <c r="E91" s="357"/>
      <c r="F91" s="368">
        <v>61</v>
      </c>
      <c r="G91" s="434">
        <v>465</v>
      </c>
      <c r="H91" s="1508" t="s">
        <v>280</v>
      </c>
      <c r="I91" s="1509"/>
      <c r="J91" s="1510"/>
      <c r="K91" s="746">
        <v>500000</v>
      </c>
      <c r="L91" s="359">
        <v>405216</v>
      </c>
      <c r="M91" s="1112">
        <f>'Rashodi-2021'!M95</f>
        <v>600000</v>
      </c>
      <c r="N91" s="1112" t="e">
        <f>'Rashodi-2021'!#REF!</f>
        <v>#REF!</v>
      </c>
      <c r="O91" s="1215">
        <f>'Rashodi-2021'!N95</f>
        <v>0</v>
      </c>
      <c r="P91" s="1208">
        <f>'Rashodi-2021'!O95</f>
        <v>0</v>
      </c>
      <c r="Q91" s="1208">
        <f>'Rashodi-2021'!P95</f>
        <v>0</v>
      </c>
      <c r="R91" s="1208">
        <f>'Rashodi-2021'!Q95</f>
        <v>0</v>
      </c>
      <c r="S91" s="1208">
        <f>'Rashodi-2021'!R95</f>
        <v>0</v>
      </c>
      <c r="T91" s="1208">
        <f>'Rashodi-2021'!S95</f>
        <v>0</v>
      </c>
      <c r="U91" s="1220">
        <f t="shared" si="5"/>
        <v>0</v>
      </c>
      <c r="V91" s="1138">
        <f>'Rashodi-2021'!U95</f>
        <v>600000</v>
      </c>
      <c r="W91" s="608">
        <v>600000</v>
      </c>
      <c r="X91" s="844">
        <v>600000</v>
      </c>
    </row>
    <row r="92" spans="2:24" s="356" customFormat="1" ht="12.75">
      <c r="B92" s="350"/>
      <c r="C92" s="357"/>
      <c r="D92" s="180"/>
      <c r="E92" s="180"/>
      <c r="F92" s="368">
        <v>62</v>
      </c>
      <c r="G92" s="448">
        <v>472</v>
      </c>
      <c r="H92" s="1508" t="s">
        <v>1377</v>
      </c>
      <c r="I92" s="1509"/>
      <c r="J92" s="1510"/>
      <c r="K92" s="746">
        <v>50000</v>
      </c>
      <c r="L92" s="359">
        <v>0</v>
      </c>
      <c r="M92" s="1112">
        <f>'Rashodi-2021'!M96</f>
        <v>50000</v>
      </c>
      <c r="N92" s="1112" t="e">
        <f>'Rashodi-2021'!#REF!</f>
        <v>#REF!</v>
      </c>
      <c r="O92" s="1215">
        <f>'Rashodi-2021'!N96</f>
        <v>0</v>
      </c>
      <c r="P92" s="1208">
        <f>'Rashodi-2021'!O96</f>
        <v>0</v>
      </c>
      <c r="Q92" s="1208">
        <f>'Rashodi-2021'!P96</f>
        <v>0</v>
      </c>
      <c r="R92" s="1208">
        <f>'Rashodi-2021'!Q96</f>
        <v>0</v>
      </c>
      <c r="S92" s="1208">
        <f>'Rashodi-2021'!R96</f>
        <v>0</v>
      </c>
      <c r="T92" s="1208">
        <f>'Rashodi-2021'!S96</f>
        <v>0</v>
      </c>
      <c r="U92" s="1241">
        <f t="shared" si="5"/>
        <v>0</v>
      </c>
      <c r="V92" s="1138">
        <f>'Rashodi-2021'!U96</f>
        <v>50000</v>
      </c>
      <c r="W92" s="376">
        <v>50000</v>
      </c>
      <c r="X92" s="844">
        <v>50000</v>
      </c>
    </row>
    <row r="93" spans="2:24" s="356" customFormat="1" ht="12.75">
      <c r="B93" s="350"/>
      <c r="C93" s="357"/>
      <c r="D93" s="180"/>
      <c r="E93" s="180"/>
      <c r="F93" s="368">
        <v>63</v>
      </c>
      <c r="G93" s="353">
        <v>481</v>
      </c>
      <c r="H93" s="1508" t="s">
        <v>1443</v>
      </c>
      <c r="I93" s="1509"/>
      <c r="J93" s="1510"/>
      <c r="K93" s="746">
        <v>700000</v>
      </c>
      <c r="L93" s="359">
        <v>0</v>
      </c>
      <c r="M93" s="1112">
        <f>'Rashodi-2021'!M97</f>
        <v>970000</v>
      </c>
      <c r="N93" s="1112" t="e">
        <f>'Rashodi-2021'!#REF!</f>
        <v>#REF!</v>
      </c>
      <c r="O93" s="1215">
        <f>'Rashodi-2021'!N97</f>
        <v>0</v>
      </c>
      <c r="P93" s="1208">
        <f>'Rashodi-2021'!O97</f>
        <v>0</v>
      </c>
      <c r="Q93" s="1208">
        <f>'Rashodi-2021'!P97</f>
        <v>0</v>
      </c>
      <c r="R93" s="1208">
        <f>'Rashodi-2021'!Q97</f>
        <v>0</v>
      </c>
      <c r="S93" s="1208">
        <f>'Rashodi-2021'!R97</f>
        <v>0</v>
      </c>
      <c r="T93" s="1208">
        <f>'Rashodi-2021'!S97</f>
        <v>0</v>
      </c>
      <c r="U93" s="1241">
        <f t="shared" si="5"/>
        <v>0</v>
      </c>
      <c r="V93" s="1138">
        <f>'Rashodi-2021'!U97</f>
        <v>970000</v>
      </c>
      <c r="W93" s="376">
        <v>970000</v>
      </c>
      <c r="X93" s="844">
        <v>970000</v>
      </c>
    </row>
    <row r="94" spans="2:24" s="356" customFormat="1" ht="12.75">
      <c r="B94" s="350"/>
      <c r="C94" s="357"/>
      <c r="D94" s="180"/>
      <c r="E94" s="180"/>
      <c r="F94" s="368">
        <v>64</v>
      </c>
      <c r="G94" s="448">
        <v>481</v>
      </c>
      <c r="H94" s="1517" t="s">
        <v>1378</v>
      </c>
      <c r="I94" s="1518"/>
      <c r="J94" s="1519"/>
      <c r="K94" s="746">
        <v>1800000</v>
      </c>
      <c r="L94" s="359">
        <v>1565347.2</v>
      </c>
      <c r="M94" s="1112">
        <f>'Rashodi-2021'!M98</f>
        <v>4300000</v>
      </c>
      <c r="N94" s="1112" t="e">
        <f>'Rashodi-2021'!#REF!</f>
        <v>#REF!</v>
      </c>
      <c r="O94" s="1215">
        <f>'Rashodi-2021'!N98</f>
        <v>0</v>
      </c>
      <c r="P94" s="1208">
        <f>'Rashodi-2021'!O98</f>
        <v>0</v>
      </c>
      <c r="Q94" s="1208">
        <f>'Rashodi-2021'!P98</f>
        <v>0</v>
      </c>
      <c r="R94" s="1208">
        <f>'Rashodi-2021'!Q98</f>
        <v>0</v>
      </c>
      <c r="S94" s="1208">
        <f>'Rashodi-2021'!R98</f>
        <v>0</v>
      </c>
      <c r="T94" s="1208">
        <f>'Rashodi-2021'!S98</f>
        <v>0</v>
      </c>
      <c r="U94" s="1241">
        <f t="shared" si="5"/>
        <v>0</v>
      </c>
      <c r="V94" s="1138">
        <f>'Rashodi-2021'!U98</f>
        <v>4300000</v>
      </c>
      <c r="W94" s="376">
        <v>4300000</v>
      </c>
      <c r="X94" s="844">
        <v>4300000</v>
      </c>
    </row>
    <row r="95" spans="2:24" s="356" customFormat="1" ht="12.75">
      <c r="B95" s="350"/>
      <c r="C95" s="357"/>
      <c r="D95" s="352"/>
      <c r="E95" s="357"/>
      <c r="F95" s="368">
        <v>65</v>
      </c>
      <c r="G95" s="434">
        <v>482</v>
      </c>
      <c r="H95" s="1508" t="s">
        <v>82</v>
      </c>
      <c r="I95" s="1509"/>
      <c r="J95" s="1510"/>
      <c r="K95" s="746">
        <v>2707000</v>
      </c>
      <c r="L95" s="359">
        <v>2476514.42</v>
      </c>
      <c r="M95" s="1112">
        <f>'Rashodi-2021'!M99</f>
        <v>1200000</v>
      </c>
      <c r="N95" s="1112" t="e">
        <f>'Rashodi-2021'!#REF!</f>
        <v>#REF!</v>
      </c>
      <c r="O95" s="1215">
        <f>'Rashodi-2021'!N99</f>
        <v>0</v>
      </c>
      <c r="P95" s="1208">
        <f>'Rashodi-2021'!O99</f>
        <v>0</v>
      </c>
      <c r="Q95" s="1208">
        <f>'Rashodi-2021'!P99</f>
        <v>0</v>
      </c>
      <c r="R95" s="1208">
        <f>'Rashodi-2021'!Q99</f>
        <v>0</v>
      </c>
      <c r="S95" s="1208">
        <f>'Rashodi-2021'!R99</f>
        <v>0</v>
      </c>
      <c r="T95" s="1208">
        <f>'Rashodi-2021'!S99</f>
        <v>0</v>
      </c>
      <c r="U95" s="1220">
        <f t="shared" si="5"/>
        <v>0</v>
      </c>
      <c r="V95" s="1138">
        <f>'Rashodi-2021'!U99</f>
        <v>1200000</v>
      </c>
      <c r="W95" s="608">
        <v>1200000</v>
      </c>
      <c r="X95" s="844">
        <v>1200000</v>
      </c>
    </row>
    <row r="96" spans="2:24" s="356" customFormat="1" ht="12.75">
      <c r="B96" s="350"/>
      <c r="C96" s="357"/>
      <c r="D96" s="352"/>
      <c r="E96" s="357"/>
      <c r="F96" s="368">
        <v>66</v>
      </c>
      <c r="G96" s="434">
        <v>483</v>
      </c>
      <c r="H96" s="1508" t="s">
        <v>92</v>
      </c>
      <c r="I96" s="1509"/>
      <c r="J96" s="1510"/>
      <c r="K96" s="746">
        <v>400000</v>
      </c>
      <c r="L96" s="359">
        <v>0</v>
      </c>
      <c r="M96" s="1112">
        <f>'Rashodi-2021'!M100</f>
        <v>400000</v>
      </c>
      <c r="N96" s="1112" t="e">
        <f>'Rashodi-2021'!#REF!</f>
        <v>#REF!</v>
      </c>
      <c r="O96" s="1215">
        <f>'Rashodi-2021'!N100</f>
        <v>0</v>
      </c>
      <c r="P96" s="1208">
        <f>'Rashodi-2021'!O100</f>
        <v>0</v>
      </c>
      <c r="Q96" s="1208">
        <f>'Rashodi-2021'!P100</f>
        <v>0</v>
      </c>
      <c r="R96" s="1208">
        <f>'Rashodi-2021'!Q100</f>
        <v>0</v>
      </c>
      <c r="S96" s="1208">
        <f>'Rashodi-2021'!R100</f>
        <v>0</v>
      </c>
      <c r="T96" s="1208">
        <f>'Rashodi-2021'!S100</f>
        <v>0</v>
      </c>
      <c r="U96" s="1220">
        <f t="shared" si="5"/>
        <v>0</v>
      </c>
      <c r="V96" s="1138">
        <f>'Rashodi-2021'!U100</f>
        <v>400000</v>
      </c>
      <c r="W96" s="608">
        <v>400000</v>
      </c>
      <c r="X96" s="844">
        <v>400000</v>
      </c>
    </row>
    <row r="97" spans="2:24" s="356" customFormat="1" ht="12.75">
      <c r="B97" s="350"/>
      <c r="C97" s="357"/>
      <c r="D97" s="352"/>
      <c r="E97" s="357"/>
      <c r="F97" s="368">
        <v>67</v>
      </c>
      <c r="G97" s="434">
        <v>485</v>
      </c>
      <c r="H97" s="1508" t="s">
        <v>93</v>
      </c>
      <c r="I97" s="1509"/>
      <c r="J97" s="1510"/>
      <c r="K97" s="746">
        <v>1260000</v>
      </c>
      <c r="L97" s="359">
        <v>0</v>
      </c>
      <c r="M97" s="1112">
        <f>'Rashodi-2021'!M101</f>
        <v>400000</v>
      </c>
      <c r="N97" s="1112" t="e">
        <f>'Rashodi-2021'!#REF!</f>
        <v>#REF!</v>
      </c>
      <c r="O97" s="1215">
        <f>'Rashodi-2021'!N101</f>
        <v>0</v>
      </c>
      <c r="P97" s="1208">
        <f>'Rashodi-2021'!O101</f>
        <v>0</v>
      </c>
      <c r="Q97" s="1208">
        <f>'Rashodi-2021'!P101</f>
        <v>0</v>
      </c>
      <c r="R97" s="1208">
        <f>'Rashodi-2021'!Q101</f>
        <v>0</v>
      </c>
      <c r="S97" s="1208">
        <f>'Rashodi-2021'!R101</f>
        <v>0</v>
      </c>
      <c r="T97" s="1208">
        <f>'Rashodi-2021'!S101</f>
        <v>0</v>
      </c>
      <c r="U97" s="1220">
        <f t="shared" si="5"/>
        <v>0</v>
      </c>
      <c r="V97" s="1138">
        <f>'Rashodi-2021'!U101</f>
        <v>400000</v>
      </c>
      <c r="W97" s="608">
        <v>400000</v>
      </c>
      <c r="X97" s="844">
        <v>400000</v>
      </c>
    </row>
    <row r="98" spans="2:24" s="356" customFormat="1" ht="12.75">
      <c r="B98" s="350"/>
      <c r="C98" s="357"/>
      <c r="D98" s="352"/>
      <c r="E98" s="357"/>
      <c r="F98" s="368">
        <v>68</v>
      </c>
      <c r="G98" s="434">
        <v>512</v>
      </c>
      <c r="H98" s="1508" t="s">
        <v>83</v>
      </c>
      <c r="I98" s="1509"/>
      <c r="J98" s="1510"/>
      <c r="K98" s="746">
        <v>1400000</v>
      </c>
      <c r="L98" s="359">
        <v>331478.16000000003</v>
      </c>
      <c r="M98" s="1112">
        <f>'Rashodi-2021'!M102</f>
        <v>700000</v>
      </c>
      <c r="N98" s="1112" t="e">
        <f>'Rashodi-2021'!#REF!</f>
        <v>#REF!</v>
      </c>
      <c r="O98" s="1215">
        <f>'Rashodi-2021'!N102</f>
        <v>0</v>
      </c>
      <c r="P98" s="1208">
        <f>'Rashodi-2021'!O102</f>
        <v>0</v>
      </c>
      <c r="Q98" s="1208">
        <f>'Rashodi-2021'!P102</f>
        <v>271944</v>
      </c>
      <c r="R98" s="1208">
        <f>'Rashodi-2021'!Q102</f>
        <v>0</v>
      </c>
      <c r="S98" s="1208">
        <f>'Rashodi-2021'!R102</f>
        <v>0</v>
      </c>
      <c r="T98" s="1208">
        <f>'Rashodi-2021'!S102</f>
        <v>0</v>
      </c>
      <c r="U98" s="1220">
        <f t="shared" si="5"/>
        <v>271944</v>
      </c>
      <c r="V98" s="1138">
        <f>'Rashodi-2021'!U102</f>
        <v>971944</v>
      </c>
      <c r="W98" s="608">
        <v>971944</v>
      </c>
      <c r="X98" s="844">
        <v>971944</v>
      </c>
    </row>
    <row r="99" spans="2:24" s="356" customFormat="1" ht="12.75">
      <c r="B99" s="350"/>
      <c r="C99" s="357"/>
      <c r="D99" s="446"/>
      <c r="E99" s="447"/>
      <c r="F99" s="368">
        <v>69</v>
      </c>
      <c r="G99" s="448">
        <v>512</v>
      </c>
      <c r="H99" s="1605" t="s">
        <v>277</v>
      </c>
      <c r="I99" s="1606"/>
      <c r="J99" s="1607"/>
      <c r="K99" s="928">
        <v>110000</v>
      </c>
      <c r="L99" s="958">
        <v>81638</v>
      </c>
      <c r="M99" s="1112">
        <f>'Rashodi-2021'!M103</f>
        <v>110000</v>
      </c>
      <c r="N99" s="1112" t="e">
        <f>'Rashodi-2021'!#REF!</f>
        <v>#REF!</v>
      </c>
      <c r="O99" s="1215">
        <f>'Rashodi-2021'!N103</f>
        <v>0</v>
      </c>
      <c r="P99" s="1208">
        <f>'Rashodi-2021'!O103</f>
        <v>0</v>
      </c>
      <c r="Q99" s="1208">
        <f>'Rashodi-2021'!P103</f>
        <v>0</v>
      </c>
      <c r="R99" s="1208">
        <f>'Rashodi-2021'!Q103</f>
        <v>0</v>
      </c>
      <c r="S99" s="1208">
        <f>'Rashodi-2021'!R103</f>
        <v>0</v>
      </c>
      <c r="T99" s="1208">
        <f>'Rashodi-2021'!S103</f>
        <v>0</v>
      </c>
      <c r="U99" s="1240">
        <f t="shared" si="5"/>
        <v>0</v>
      </c>
      <c r="V99" s="1138">
        <f>'Rashodi-2021'!U103</f>
        <v>110000</v>
      </c>
      <c r="W99" s="376">
        <v>110000</v>
      </c>
      <c r="X99" s="844">
        <v>110000</v>
      </c>
    </row>
    <row r="100" spans="2:24" s="356" customFormat="1" ht="12.75">
      <c r="B100" s="350"/>
      <c r="C100" s="357"/>
      <c r="D100" s="446"/>
      <c r="E100" s="447"/>
      <c r="F100" s="368">
        <v>70</v>
      </c>
      <c r="G100" s="448">
        <v>515</v>
      </c>
      <c r="H100" s="1658" t="s">
        <v>215</v>
      </c>
      <c r="I100" s="1659"/>
      <c r="J100" s="1659"/>
      <c r="K100" s="726">
        <v>500000</v>
      </c>
      <c r="L100" s="959">
        <v>0</v>
      </c>
      <c r="M100" s="1112">
        <f>'Rashodi-2021'!M104</f>
        <v>660000</v>
      </c>
      <c r="N100" s="1112" t="e">
        <f>'Rashodi-2021'!#REF!</f>
        <v>#REF!</v>
      </c>
      <c r="O100" s="1215">
        <f>'Rashodi-2021'!N104</f>
        <v>0</v>
      </c>
      <c r="P100" s="1208">
        <f>'Rashodi-2021'!O104</f>
        <v>0</v>
      </c>
      <c r="Q100" s="1208">
        <f>'Rashodi-2021'!P104</f>
        <v>600000</v>
      </c>
      <c r="R100" s="1208">
        <f>'Rashodi-2021'!Q104</f>
        <v>0</v>
      </c>
      <c r="S100" s="1208">
        <f>'Rashodi-2021'!R104</f>
        <v>0</v>
      </c>
      <c r="T100" s="1208">
        <f>'Rashodi-2021'!S104</f>
        <v>0</v>
      </c>
      <c r="U100" s="1240">
        <f t="shared" si="5"/>
        <v>600000</v>
      </c>
      <c r="V100" s="1138">
        <f>'Rashodi-2021'!U104</f>
        <v>1260000</v>
      </c>
      <c r="W100" s="376">
        <v>1260000</v>
      </c>
      <c r="X100" s="844">
        <v>1260000</v>
      </c>
    </row>
    <row r="101" spans="2:24" s="356" customFormat="1" ht="12.75">
      <c r="B101" s="350"/>
      <c r="C101" s="357"/>
      <c r="D101" s="352"/>
      <c r="E101" s="357"/>
      <c r="F101" s="368">
        <v>71</v>
      </c>
      <c r="G101" s="444">
        <v>541</v>
      </c>
      <c r="H101" s="1653" t="s">
        <v>204</v>
      </c>
      <c r="I101" s="1653"/>
      <c r="J101" s="1523"/>
      <c r="K101" s="540">
        <v>450000</v>
      </c>
      <c r="L101" s="1111">
        <v>0</v>
      </c>
      <c r="M101" s="1112">
        <f>'Rashodi-2021'!M105</f>
        <v>500000</v>
      </c>
      <c r="N101" s="1112" t="e">
        <f>'Rashodi-2021'!#REF!</f>
        <v>#REF!</v>
      </c>
      <c r="O101" s="1215">
        <f>'Rashodi-2021'!N105</f>
        <v>0</v>
      </c>
      <c r="P101" s="1208">
        <f>'Rashodi-2021'!O105</f>
        <v>0</v>
      </c>
      <c r="Q101" s="1208">
        <f>'Rashodi-2021'!P105</f>
        <v>0</v>
      </c>
      <c r="R101" s="1208">
        <f>'Rashodi-2021'!Q105</f>
        <v>0</v>
      </c>
      <c r="S101" s="1208">
        <f>'Rashodi-2021'!R105</f>
        <v>0</v>
      </c>
      <c r="T101" s="1208">
        <f>'Rashodi-2021'!S105</f>
        <v>0</v>
      </c>
      <c r="U101" s="1220">
        <f t="shared" si="5"/>
        <v>0</v>
      </c>
      <c r="V101" s="1138">
        <f>'Rashodi-2021'!U105</f>
        <v>500000</v>
      </c>
      <c r="W101" s="608">
        <v>500000</v>
      </c>
      <c r="X101" s="844">
        <v>500000</v>
      </c>
    </row>
    <row r="102" spans="2:24" ht="27.75" customHeight="1">
      <c r="B102" s="284"/>
      <c r="C102" s="285"/>
      <c r="D102" s="428"/>
      <c r="E102" s="346" t="s">
        <v>1254</v>
      </c>
      <c r="F102" s="428"/>
      <c r="G102" s="429"/>
      <c r="H102" s="1638" t="s">
        <v>328</v>
      </c>
      <c r="I102" s="1639"/>
      <c r="J102" s="1639"/>
      <c r="K102" s="1062">
        <f>SUM(K104:K107)</f>
        <v>4440000</v>
      </c>
      <c r="L102" s="1114">
        <f>SUM(L104:L107)</f>
        <v>2186396.08</v>
      </c>
      <c r="M102" s="1128">
        <f>'Rashodi-2021'!M106</f>
        <v>2550000</v>
      </c>
      <c r="N102" s="1128" t="e">
        <f>'Rashodi-2021'!#REF!</f>
        <v>#REF!</v>
      </c>
      <c r="O102" s="1214">
        <f>'Rashodi-2021'!N106</f>
        <v>0</v>
      </c>
      <c r="P102" s="1194">
        <f>'Rashodi-2021'!O106</f>
        <v>0</v>
      </c>
      <c r="Q102" s="1194">
        <f>'Rashodi-2021'!P106</f>
        <v>0</v>
      </c>
      <c r="R102" s="1194">
        <f>'Rashodi-2021'!Q106</f>
        <v>0</v>
      </c>
      <c r="S102" s="1194">
        <f>'Rashodi-2021'!R106</f>
        <v>0</v>
      </c>
      <c r="T102" s="1194">
        <f>'Rashodi-2021'!S106</f>
        <v>0</v>
      </c>
      <c r="U102" s="1195">
        <f t="shared" si="5"/>
        <v>0</v>
      </c>
      <c r="V102" s="1196">
        <f>'Rashodi-2021'!U106</f>
        <v>2550000</v>
      </c>
      <c r="W102" s="652">
        <v>2550000</v>
      </c>
      <c r="X102" s="652">
        <v>2550000</v>
      </c>
    </row>
    <row r="103" spans="2:24" ht="12.75">
      <c r="B103" s="430"/>
      <c r="C103" s="431"/>
      <c r="D103" s="56">
        <v>130</v>
      </c>
      <c r="E103" s="58"/>
      <c r="F103" s="432"/>
      <c r="G103" s="433"/>
      <c r="H103" s="1526" t="s">
        <v>90</v>
      </c>
      <c r="I103" s="1527"/>
      <c r="J103" s="1528"/>
      <c r="K103" s="751">
        <f>SUM(K104:K107)</f>
        <v>4440000</v>
      </c>
      <c r="L103" s="1090">
        <f>SUM(L104:L107)</f>
        <v>2186396.08</v>
      </c>
      <c r="M103" s="1130">
        <f>'Rashodi-2021'!M107</f>
        <v>2550000</v>
      </c>
      <c r="N103" s="1130" t="e">
        <f>'Rashodi-2021'!#REF!</f>
        <v>#REF!</v>
      </c>
      <c r="O103" s="1216">
        <f>'Rashodi-2021'!N107</f>
        <v>0</v>
      </c>
      <c r="P103" s="1202">
        <f>'Rashodi-2021'!O107</f>
        <v>0</v>
      </c>
      <c r="Q103" s="1202">
        <f>'Rashodi-2021'!P107</f>
        <v>0</v>
      </c>
      <c r="R103" s="1202">
        <f>'Rashodi-2021'!Q107</f>
        <v>0</v>
      </c>
      <c r="S103" s="1202">
        <f>'Rashodi-2021'!R107</f>
        <v>0</v>
      </c>
      <c r="T103" s="1202">
        <f>'Rashodi-2021'!S107</f>
        <v>0</v>
      </c>
      <c r="U103" s="1221">
        <f t="shared" si="5"/>
        <v>0</v>
      </c>
      <c r="V103" s="1203">
        <f>'Rashodi-2021'!U107</f>
        <v>2550000</v>
      </c>
      <c r="W103" s="837">
        <v>2550000</v>
      </c>
      <c r="X103" s="844">
        <v>2550000</v>
      </c>
    </row>
    <row r="104" spans="2:24" ht="12.75">
      <c r="B104" s="430"/>
      <c r="C104" s="431"/>
      <c r="D104" s="358"/>
      <c r="E104" s="459"/>
      <c r="F104" s="368">
        <v>72</v>
      </c>
      <c r="G104" s="433">
        <v>421</v>
      </c>
      <c r="H104" s="1508" t="s">
        <v>1381</v>
      </c>
      <c r="I104" s="1509"/>
      <c r="J104" s="1510"/>
      <c r="K104" s="372">
        <v>100000</v>
      </c>
      <c r="L104" s="373">
        <v>12464.44</v>
      </c>
      <c r="M104" s="1112">
        <f>'Rashodi-2021'!M108</f>
        <v>10000</v>
      </c>
      <c r="N104" s="1112" t="e">
        <f>'Rashodi-2021'!#REF!</f>
        <v>#REF!</v>
      </c>
      <c r="O104" s="1215">
        <f>'Rashodi-2021'!N108</f>
        <v>0</v>
      </c>
      <c r="P104" s="1208">
        <f>'Rashodi-2021'!O108</f>
        <v>0</v>
      </c>
      <c r="Q104" s="1208">
        <f>'Rashodi-2021'!P108</f>
        <v>0</v>
      </c>
      <c r="R104" s="1208">
        <f>'Rashodi-2021'!Q108</f>
        <v>0</v>
      </c>
      <c r="S104" s="1208">
        <f>'Rashodi-2021'!R108</f>
        <v>0</v>
      </c>
      <c r="T104" s="1208">
        <f>'Rashodi-2021'!S108</f>
        <v>0</v>
      </c>
      <c r="U104" s="1242">
        <f t="shared" si="5"/>
        <v>0</v>
      </c>
      <c r="V104" s="1138">
        <f>'Rashodi-2021'!U108</f>
        <v>10000</v>
      </c>
      <c r="W104" s="766">
        <v>10000</v>
      </c>
      <c r="X104" s="844">
        <v>10000</v>
      </c>
    </row>
    <row r="105" spans="2:24" ht="12.75">
      <c r="B105" s="430"/>
      <c r="C105" s="431"/>
      <c r="D105" s="358"/>
      <c r="E105" s="459"/>
      <c r="F105" s="368">
        <v>73</v>
      </c>
      <c r="G105" s="433">
        <v>422</v>
      </c>
      <c r="H105" s="1517" t="s">
        <v>34</v>
      </c>
      <c r="I105" s="1518"/>
      <c r="J105" s="1519"/>
      <c r="K105" s="372">
        <v>100000</v>
      </c>
      <c r="L105" s="373">
        <v>0</v>
      </c>
      <c r="M105" s="1112">
        <f>'Rashodi-2021'!M109</f>
        <v>10000</v>
      </c>
      <c r="N105" s="1112" t="e">
        <f>'Rashodi-2021'!#REF!</f>
        <v>#REF!</v>
      </c>
      <c r="O105" s="1215">
        <f>'Rashodi-2021'!N109</f>
        <v>0</v>
      </c>
      <c r="P105" s="1208">
        <f>'Rashodi-2021'!O109</f>
        <v>0</v>
      </c>
      <c r="Q105" s="1208">
        <f>'Rashodi-2021'!P109</f>
        <v>0</v>
      </c>
      <c r="R105" s="1208">
        <f>'Rashodi-2021'!Q109</f>
        <v>0</v>
      </c>
      <c r="S105" s="1208">
        <f>'Rashodi-2021'!R109</f>
        <v>0</v>
      </c>
      <c r="T105" s="1208">
        <f>'Rashodi-2021'!S109</f>
        <v>0</v>
      </c>
      <c r="U105" s="1242"/>
      <c r="V105" s="1138">
        <f>'Rashodi-2021'!U109</f>
        <v>10000</v>
      </c>
      <c r="W105" s="766">
        <v>10000</v>
      </c>
      <c r="X105" s="844">
        <v>10000</v>
      </c>
    </row>
    <row r="106" spans="2:24" s="356" customFormat="1" ht="12.75">
      <c r="B106" s="350"/>
      <c r="C106" s="357"/>
      <c r="D106" s="352"/>
      <c r="E106" s="357"/>
      <c r="F106" s="368">
        <v>74</v>
      </c>
      <c r="G106" s="444">
        <v>423</v>
      </c>
      <c r="H106" s="1508" t="s">
        <v>1379</v>
      </c>
      <c r="I106" s="1509"/>
      <c r="J106" s="1510"/>
      <c r="K106" s="372">
        <v>4000000</v>
      </c>
      <c r="L106" s="373">
        <v>1933931.6400000001</v>
      </c>
      <c r="M106" s="1112">
        <f>'Rashodi-2021'!M110</f>
        <v>2520000</v>
      </c>
      <c r="N106" s="1112" t="e">
        <f>'Rashodi-2021'!#REF!</f>
        <v>#REF!</v>
      </c>
      <c r="O106" s="1215">
        <f>'Rashodi-2021'!N110</f>
        <v>0</v>
      </c>
      <c r="P106" s="1208">
        <f>'Rashodi-2021'!O110</f>
        <v>0</v>
      </c>
      <c r="Q106" s="1208">
        <f>'Rashodi-2021'!P110</f>
        <v>0</v>
      </c>
      <c r="R106" s="1208">
        <f>'Rashodi-2021'!Q110</f>
        <v>0</v>
      </c>
      <c r="S106" s="1208">
        <f>'Rashodi-2021'!R110</f>
        <v>0</v>
      </c>
      <c r="T106" s="1208">
        <f>'Rashodi-2021'!S110</f>
        <v>0</v>
      </c>
      <c r="U106" s="1205">
        <f t="shared" si="5"/>
        <v>0</v>
      </c>
      <c r="V106" s="1138">
        <f>'Rashodi-2021'!U110</f>
        <v>2520000</v>
      </c>
      <c r="W106" s="766">
        <v>2520000</v>
      </c>
      <c r="X106" s="844">
        <v>2520000</v>
      </c>
    </row>
    <row r="107" spans="2:24" s="356" customFormat="1" ht="12.75">
      <c r="B107" s="350"/>
      <c r="C107" s="357"/>
      <c r="D107" s="352"/>
      <c r="E107" s="357"/>
      <c r="F107" s="628" t="s">
        <v>1541</v>
      </c>
      <c r="G107" s="434">
        <v>426</v>
      </c>
      <c r="H107" s="1508" t="s">
        <v>1380</v>
      </c>
      <c r="I107" s="1509"/>
      <c r="J107" s="1510"/>
      <c r="K107" s="746">
        <v>240000</v>
      </c>
      <c r="L107" s="359">
        <v>240000</v>
      </c>
      <c r="M107" s="1112">
        <f>'Rashodi-2021'!M111</f>
        <v>10000</v>
      </c>
      <c r="N107" s="1112" t="e">
        <f>'Rashodi-2021'!#REF!</f>
        <v>#REF!</v>
      </c>
      <c r="O107" s="1215">
        <f>'Rashodi-2021'!N111</f>
        <v>0</v>
      </c>
      <c r="P107" s="1208">
        <f>'Rashodi-2021'!O111</f>
        <v>0</v>
      </c>
      <c r="Q107" s="1208">
        <f>'Rashodi-2021'!P111</f>
        <v>0</v>
      </c>
      <c r="R107" s="1208">
        <f>'Rashodi-2021'!Q111</f>
        <v>0</v>
      </c>
      <c r="S107" s="1208">
        <f>'Rashodi-2021'!R111</f>
        <v>0</v>
      </c>
      <c r="T107" s="1208">
        <f>'Rashodi-2021'!S111</f>
        <v>0</v>
      </c>
      <c r="U107" s="1205">
        <f t="shared" si="5"/>
        <v>0</v>
      </c>
      <c r="V107" s="1138">
        <f>'Rashodi-2021'!U111</f>
        <v>10000</v>
      </c>
      <c r="W107" s="766">
        <v>10000</v>
      </c>
      <c r="X107" s="844">
        <v>10000</v>
      </c>
    </row>
    <row r="108" spans="2:24" ht="12.75" customHeight="1" hidden="1">
      <c r="B108" s="284"/>
      <c r="C108" s="285"/>
      <c r="D108" s="428"/>
      <c r="E108" s="346"/>
      <c r="F108" s="428"/>
      <c r="G108" s="429"/>
      <c r="H108" s="1660"/>
      <c r="I108" s="1661"/>
      <c r="J108" s="1662"/>
      <c r="K108" s="929">
        <f>K109</f>
        <v>4650000</v>
      </c>
      <c r="L108" s="938">
        <f>L109</f>
        <v>0</v>
      </c>
      <c r="M108" s="1129">
        <f>'Rashodi-2021'!M112</f>
        <v>0</v>
      </c>
      <c r="N108" s="1129" t="e">
        <f>'Rashodi-2021'!#REF!</f>
        <v>#REF!</v>
      </c>
      <c r="O108" s="1212">
        <f>'Rashodi-2021'!N112</f>
        <v>0</v>
      </c>
      <c r="P108" s="508">
        <f>'Rashodi-2021'!O112</f>
        <v>0</v>
      </c>
      <c r="Q108" s="508">
        <f>'Rashodi-2021'!P112</f>
        <v>0</v>
      </c>
      <c r="R108" s="508">
        <f>'Rashodi-2021'!Q112</f>
        <v>0</v>
      </c>
      <c r="S108" s="508">
        <f>'Rashodi-2021'!R112</f>
        <v>0</v>
      </c>
      <c r="T108" s="508">
        <f>'Rashodi-2021'!S112</f>
        <v>0</v>
      </c>
      <c r="U108" s="818">
        <f t="shared" si="5"/>
        <v>0</v>
      </c>
      <c r="V108" s="835">
        <f>'Rashodi-2021'!U112</f>
        <v>0</v>
      </c>
      <c r="W108" s="652">
        <v>0</v>
      </c>
      <c r="X108" s="652">
        <v>0</v>
      </c>
    </row>
    <row r="109" spans="2:24" s="42" customFormat="1" ht="12.75" hidden="1">
      <c r="B109" s="328"/>
      <c r="C109" s="329"/>
      <c r="D109" s="332"/>
      <c r="E109" s="329"/>
      <c r="F109" s="332"/>
      <c r="G109" s="1073"/>
      <c r="H109" s="1501"/>
      <c r="I109" s="1502"/>
      <c r="J109" s="1674"/>
      <c r="K109" s="1063">
        <f>SUM(K110:K112)</f>
        <v>4650000</v>
      </c>
      <c r="L109" s="1120">
        <f>SUM(L110:L112)</f>
        <v>0</v>
      </c>
      <c r="M109" s="1129">
        <f>'Rashodi-2021'!M113</f>
        <v>0</v>
      </c>
      <c r="N109" s="1129" t="e">
        <f>'Rashodi-2021'!#REF!</f>
        <v>#REF!</v>
      </c>
      <c r="O109" s="1212">
        <f>'Rashodi-2021'!N113</f>
        <v>0</v>
      </c>
      <c r="P109" s="508">
        <f>'Rashodi-2021'!O113</f>
        <v>0</v>
      </c>
      <c r="Q109" s="508">
        <f>'Rashodi-2021'!P113</f>
        <v>0</v>
      </c>
      <c r="R109" s="508">
        <f>'Rashodi-2021'!Q113</f>
        <v>0</v>
      </c>
      <c r="S109" s="508">
        <f>'Rashodi-2021'!R113</f>
        <v>0</v>
      </c>
      <c r="T109" s="508">
        <f>'Rashodi-2021'!S113</f>
        <v>0</v>
      </c>
      <c r="U109" s="821">
        <f t="shared" si="5"/>
        <v>0</v>
      </c>
      <c r="V109" s="835">
        <f>'Rashodi-2021'!U113</f>
        <v>0</v>
      </c>
      <c r="W109" s="375">
        <v>0</v>
      </c>
      <c r="X109" s="652">
        <v>0</v>
      </c>
    </row>
    <row r="110" spans="2:24" s="356" customFormat="1" ht="12.75" customHeight="1" hidden="1">
      <c r="B110" s="361"/>
      <c r="C110" s="362"/>
      <c r="D110" s="363"/>
      <c r="E110" s="628"/>
      <c r="F110" s="351"/>
      <c r="G110" s="641"/>
      <c r="H110" s="1498"/>
      <c r="I110" s="1499"/>
      <c r="J110" s="1500"/>
      <c r="K110" s="1064">
        <v>150000</v>
      </c>
      <c r="L110" s="1121">
        <v>0</v>
      </c>
      <c r="M110" s="1129">
        <f>'Rashodi-2021'!M114</f>
        <v>0</v>
      </c>
      <c r="N110" s="1129" t="e">
        <f>'Rashodi-2021'!#REF!</f>
        <v>#REF!</v>
      </c>
      <c r="O110" s="1212">
        <f>'Rashodi-2021'!N114</f>
        <v>0</v>
      </c>
      <c r="P110" s="508">
        <f>'Rashodi-2021'!O114</f>
        <v>0</v>
      </c>
      <c r="Q110" s="508">
        <f>'Rashodi-2021'!P114</f>
        <v>0</v>
      </c>
      <c r="R110" s="508">
        <f>'Rashodi-2021'!Q114</f>
        <v>0</v>
      </c>
      <c r="S110" s="508">
        <f>'Rashodi-2021'!R114</f>
        <v>0</v>
      </c>
      <c r="T110" s="508">
        <f>'Rashodi-2021'!S114</f>
        <v>0</v>
      </c>
      <c r="U110" s="822">
        <f t="shared" si="5"/>
        <v>0</v>
      </c>
      <c r="V110" s="835">
        <f>'Rashodi-2021'!U114</f>
        <v>0</v>
      </c>
      <c r="W110" s="376">
        <v>0</v>
      </c>
      <c r="X110" s="652">
        <v>0</v>
      </c>
    </row>
    <row r="111" spans="2:24" s="356" customFormat="1" ht="12.75" customHeight="1" hidden="1">
      <c r="B111" s="361"/>
      <c r="C111" s="362"/>
      <c r="D111" s="363"/>
      <c r="E111" s="357"/>
      <c r="F111" s="762"/>
      <c r="G111" s="352"/>
      <c r="H111" s="1498"/>
      <c r="I111" s="1499"/>
      <c r="J111" s="1500"/>
      <c r="K111" s="1064">
        <v>2250000</v>
      </c>
      <c r="L111" s="1121">
        <v>0</v>
      </c>
      <c r="M111" s="1129">
        <f>'Rashodi-2021'!M115</f>
        <v>0</v>
      </c>
      <c r="N111" s="1129" t="e">
        <f>'Rashodi-2021'!#REF!</f>
        <v>#REF!</v>
      </c>
      <c r="O111" s="1212">
        <f>'Rashodi-2021'!N115</f>
        <v>0</v>
      </c>
      <c r="P111" s="508">
        <f>'Rashodi-2021'!O115</f>
        <v>0</v>
      </c>
      <c r="Q111" s="508">
        <f>'Rashodi-2021'!P115</f>
        <v>0</v>
      </c>
      <c r="R111" s="508">
        <f>'Rashodi-2021'!Q115</f>
        <v>0</v>
      </c>
      <c r="S111" s="508">
        <f>'Rashodi-2021'!R115</f>
        <v>0</v>
      </c>
      <c r="T111" s="508">
        <f>'Rashodi-2021'!S115</f>
        <v>0</v>
      </c>
      <c r="U111" s="822">
        <f t="shared" si="5"/>
        <v>0</v>
      </c>
      <c r="V111" s="835">
        <f>'Rashodi-2021'!U115</f>
        <v>0</v>
      </c>
      <c r="W111" s="376">
        <v>0</v>
      </c>
      <c r="X111" s="652">
        <v>0</v>
      </c>
    </row>
    <row r="112" spans="2:24" s="356" customFormat="1" ht="12.75" customHeight="1" hidden="1">
      <c r="B112" s="361"/>
      <c r="C112" s="362"/>
      <c r="D112" s="363"/>
      <c r="E112" s="604"/>
      <c r="F112" s="763"/>
      <c r="G112" s="642"/>
      <c r="H112" s="1546"/>
      <c r="I112" s="1547"/>
      <c r="J112" s="1657"/>
      <c r="K112" s="1064">
        <v>2250000</v>
      </c>
      <c r="L112" s="1121">
        <v>0</v>
      </c>
      <c r="M112" s="1129">
        <f>'Rashodi-2021'!M116</f>
        <v>0</v>
      </c>
      <c r="N112" s="1129" t="e">
        <f>'Rashodi-2021'!#REF!</f>
        <v>#REF!</v>
      </c>
      <c r="O112" s="1212">
        <f>'Rashodi-2021'!N116</f>
        <v>0</v>
      </c>
      <c r="P112" s="508">
        <f>'Rashodi-2021'!O116</f>
        <v>0</v>
      </c>
      <c r="Q112" s="508">
        <f>'Rashodi-2021'!P116</f>
        <v>0</v>
      </c>
      <c r="R112" s="508">
        <f>'Rashodi-2021'!Q116</f>
        <v>0</v>
      </c>
      <c r="S112" s="508">
        <f>'Rashodi-2021'!R116</f>
        <v>0</v>
      </c>
      <c r="T112" s="508">
        <f>'Rashodi-2021'!S116</f>
        <v>0</v>
      </c>
      <c r="U112" s="822">
        <f t="shared" si="5"/>
        <v>0</v>
      </c>
      <c r="V112" s="835">
        <f>'Rashodi-2021'!U116</f>
        <v>0</v>
      </c>
      <c r="W112" s="376">
        <v>0</v>
      </c>
      <c r="X112" s="652">
        <v>0</v>
      </c>
    </row>
    <row r="113" spans="2:24" s="356" customFormat="1" ht="12.75">
      <c r="B113" s="284"/>
      <c r="C113" s="285"/>
      <c r="D113" s="428"/>
      <c r="E113" s="346" t="s">
        <v>1208</v>
      </c>
      <c r="F113" s="346"/>
      <c r="G113" s="601"/>
      <c r="H113" s="1489" t="s">
        <v>1264</v>
      </c>
      <c r="I113" s="1490"/>
      <c r="J113" s="1491"/>
      <c r="K113" s="916">
        <f>K114</f>
        <v>3600000</v>
      </c>
      <c r="L113" s="1054">
        <f>L114</f>
        <v>1613413.14</v>
      </c>
      <c r="M113" s="1128">
        <f>'Rashodi-2021'!M117</f>
        <v>2980000</v>
      </c>
      <c r="N113" s="1128" t="e">
        <f>'Rashodi-2021'!#REF!</f>
        <v>#REF!</v>
      </c>
      <c r="O113" s="1214">
        <f>'Rashodi-2021'!N117</f>
        <v>0</v>
      </c>
      <c r="P113" s="1194">
        <f>'Rashodi-2021'!O117</f>
        <v>0</v>
      </c>
      <c r="Q113" s="1194">
        <f>'Rashodi-2021'!P117</f>
        <v>0</v>
      </c>
      <c r="R113" s="1194">
        <f>'Rashodi-2021'!Q117</f>
        <v>0</v>
      </c>
      <c r="S113" s="1194">
        <f>'Rashodi-2021'!R117</f>
        <v>0</v>
      </c>
      <c r="T113" s="1194">
        <f>'Rashodi-2021'!S117</f>
        <v>0</v>
      </c>
      <c r="U113" s="1195">
        <f t="shared" si="5"/>
        <v>0</v>
      </c>
      <c r="V113" s="1196">
        <f>'Rashodi-2021'!U117</f>
        <v>2980000</v>
      </c>
      <c r="W113" s="652">
        <v>2980000</v>
      </c>
      <c r="X113" s="652">
        <v>2980000</v>
      </c>
    </row>
    <row r="114" spans="2:24" s="356" customFormat="1" ht="12.75">
      <c r="B114" s="350"/>
      <c r="C114" s="357"/>
      <c r="D114" s="56">
        <v>220</v>
      </c>
      <c r="E114" s="180"/>
      <c r="F114" s="357"/>
      <c r="G114" s="353"/>
      <c r="H114" s="1526" t="s">
        <v>1255</v>
      </c>
      <c r="I114" s="1527"/>
      <c r="J114" s="1528"/>
      <c r="K114" s="181">
        <f>SUM(K115:K119)</f>
        <v>3600000</v>
      </c>
      <c r="L114" s="336">
        <f>SUM(L115:L119)</f>
        <v>1613413.14</v>
      </c>
      <c r="M114" s="1130">
        <f>'Rashodi-2021'!M118</f>
        <v>2980000</v>
      </c>
      <c r="N114" s="1130" t="e">
        <f>'Rashodi-2021'!#REF!</f>
        <v>#REF!</v>
      </c>
      <c r="O114" s="1216">
        <f>'Rashodi-2021'!N118</f>
        <v>0</v>
      </c>
      <c r="P114" s="1202">
        <f>'Rashodi-2021'!O118</f>
        <v>0</v>
      </c>
      <c r="Q114" s="1202">
        <f>'Rashodi-2021'!P118</f>
        <v>0</v>
      </c>
      <c r="R114" s="1202">
        <f>'Rashodi-2021'!Q118</f>
        <v>0</v>
      </c>
      <c r="S114" s="1202">
        <f>'Rashodi-2021'!R118</f>
        <v>0</v>
      </c>
      <c r="T114" s="1202">
        <f>'Rashodi-2021'!S118</f>
        <v>0</v>
      </c>
      <c r="U114" s="1221">
        <f t="shared" si="5"/>
        <v>0</v>
      </c>
      <c r="V114" s="1203">
        <f>'Rashodi-2021'!U118</f>
        <v>2980000</v>
      </c>
      <c r="W114" s="375">
        <v>2980000</v>
      </c>
      <c r="X114" s="844">
        <v>2980000</v>
      </c>
    </row>
    <row r="115" spans="2:24" s="510" customFormat="1" ht="12.75">
      <c r="B115" s="511"/>
      <c r="C115" s="452"/>
      <c r="D115" s="512"/>
      <c r="E115" s="452"/>
      <c r="F115" s="666" t="s">
        <v>1544</v>
      </c>
      <c r="G115" s="530">
        <v>423</v>
      </c>
      <c r="H115" s="1581" t="s">
        <v>1383</v>
      </c>
      <c r="I115" s="1582"/>
      <c r="J115" s="1583"/>
      <c r="K115" s="925">
        <v>100000</v>
      </c>
      <c r="L115" s="1089">
        <v>39760</v>
      </c>
      <c r="M115" s="1112">
        <f>'Rashodi-2021'!M119</f>
        <v>580000</v>
      </c>
      <c r="N115" s="1112" t="e">
        <f>'Rashodi-2021'!#REF!</f>
        <v>#REF!</v>
      </c>
      <c r="O115" s="1215">
        <f>'Rashodi-2021'!N119</f>
        <v>0</v>
      </c>
      <c r="P115" s="1208">
        <f>'Rashodi-2021'!O119</f>
        <v>0</v>
      </c>
      <c r="Q115" s="1208">
        <f>'Rashodi-2021'!P119</f>
        <v>0</v>
      </c>
      <c r="R115" s="1208">
        <f>'Rashodi-2021'!Q119</f>
        <v>0</v>
      </c>
      <c r="S115" s="1208">
        <f>'Rashodi-2021'!R119</f>
        <v>0</v>
      </c>
      <c r="T115" s="1208">
        <f>'Rashodi-2021'!S119</f>
        <v>0</v>
      </c>
      <c r="U115" s="1220">
        <f t="shared" si="5"/>
        <v>0</v>
      </c>
      <c r="V115" s="1138">
        <f>'Rashodi-2021'!U119</f>
        <v>580000</v>
      </c>
      <c r="W115" s="840">
        <v>580000</v>
      </c>
      <c r="X115" s="844">
        <v>580000</v>
      </c>
    </row>
    <row r="116" spans="2:24" s="356" customFormat="1" ht="12.75">
      <c r="B116" s="369"/>
      <c r="C116" s="362"/>
      <c r="D116" s="363"/>
      <c r="E116" s="362"/>
      <c r="F116" s="667" t="s">
        <v>1543</v>
      </c>
      <c r="G116" s="482">
        <v>424</v>
      </c>
      <c r="H116" s="1655" t="s">
        <v>1384</v>
      </c>
      <c r="I116" s="1655"/>
      <c r="J116" s="1656"/>
      <c r="K116" s="927">
        <v>3000000</v>
      </c>
      <c r="L116" s="953">
        <v>1342443.14</v>
      </c>
      <c r="M116" s="1112">
        <f>'Rashodi-2021'!M120</f>
        <v>1500000</v>
      </c>
      <c r="N116" s="1112" t="e">
        <f>'Rashodi-2021'!#REF!</f>
        <v>#REF!</v>
      </c>
      <c r="O116" s="1215">
        <f>'Rashodi-2021'!N120</f>
        <v>0</v>
      </c>
      <c r="P116" s="1208">
        <f>'Rashodi-2021'!O120</f>
        <v>0</v>
      </c>
      <c r="Q116" s="1208">
        <f>'Rashodi-2021'!P120</f>
        <v>0</v>
      </c>
      <c r="R116" s="1208">
        <f>'Rashodi-2021'!Q120</f>
        <v>0</v>
      </c>
      <c r="S116" s="1208">
        <f>'Rashodi-2021'!R120</f>
        <v>0</v>
      </c>
      <c r="T116" s="1208">
        <f>'Rashodi-2021'!S120</f>
        <v>0</v>
      </c>
      <c r="U116" s="1222">
        <f t="shared" si="5"/>
        <v>0</v>
      </c>
      <c r="V116" s="1138">
        <f>'Rashodi-2021'!U120</f>
        <v>1500000</v>
      </c>
      <c r="W116" s="608">
        <v>1500000</v>
      </c>
      <c r="X116" s="844">
        <v>1500000</v>
      </c>
    </row>
    <row r="117" spans="2:24" s="356" customFormat="1" ht="12.75">
      <c r="B117" s="369"/>
      <c r="C117" s="362"/>
      <c r="D117" s="363"/>
      <c r="E117" s="362"/>
      <c r="F117" s="1065" t="s">
        <v>1545</v>
      </c>
      <c r="G117" s="482">
        <v>472</v>
      </c>
      <c r="H117" s="1059" t="s">
        <v>1505</v>
      </c>
      <c r="I117" s="1060"/>
      <c r="J117" s="1060"/>
      <c r="K117" s="927">
        <v>0</v>
      </c>
      <c r="L117" s="953">
        <v>0</v>
      </c>
      <c r="M117" s="1112">
        <f>'Rashodi-2021'!M121</f>
        <v>100000</v>
      </c>
      <c r="N117" s="1112" t="e">
        <f>'Rashodi-2021'!#REF!</f>
        <v>#REF!</v>
      </c>
      <c r="O117" s="1215">
        <f>'Rashodi-2021'!N121</f>
        <v>0</v>
      </c>
      <c r="P117" s="1208">
        <f>'Rashodi-2021'!O121</f>
        <v>0</v>
      </c>
      <c r="Q117" s="1208">
        <f>'Rashodi-2021'!P121</f>
        <v>0</v>
      </c>
      <c r="R117" s="1208">
        <f>'Rashodi-2021'!Q121</f>
        <v>0</v>
      </c>
      <c r="S117" s="1208">
        <f>'Rashodi-2021'!R121</f>
        <v>0</v>
      </c>
      <c r="T117" s="1208">
        <f>'Rashodi-2021'!S121</f>
        <v>0</v>
      </c>
      <c r="U117" s="1222">
        <f t="shared" si="5"/>
        <v>0</v>
      </c>
      <c r="V117" s="1138">
        <f>'Rashodi-2021'!U121</f>
        <v>100000</v>
      </c>
      <c r="W117" s="608">
        <v>100000</v>
      </c>
      <c r="X117" s="844">
        <v>100000</v>
      </c>
    </row>
    <row r="118" spans="2:24" s="356" customFormat="1" ht="12.75">
      <c r="B118" s="369"/>
      <c r="C118" s="362"/>
      <c r="D118" s="363"/>
      <c r="E118" s="362"/>
      <c r="F118" s="1065" t="s">
        <v>433</v>
      </c>
      <c r="G118" s="482">
        <v>426</v>
      </c>
      <c r="H118" s="806" t="s">
        <v>38</v>
      </c>
      <c r="I118" s="1078"/>
      <c r="J118" s="1078"/>
      <c r="K118" s="927">
        <v>0</v>
      </c>
      <c r="L118" s="953">
        <v>0</v>
      </c>
      <c r="M118" s="1112">
        <f>'Rashodi-2021'!M122</f>
        <v>300000</v>
      </c>
      <c r="N118" s="1112" t="e">
        <f>'Rashodi-2021'!#REF!</f>
        <v>#REF!</v>
      </c>
      <c r="O118" s="1215">
        <f>'Rashodi-2021'!N122</f>
        <v>0</v>
      </c>
      <c r="P118" s="1208">
        <f>'Rashodi-2021'!O122</f>
        <v>0</v>
      </c>
      <c r="Q118" s="1208">
        <f>'Rashodi-2021'!P122</f>
        <v>0</v>
      </c>
      <c r="R118" s="1208">
        <f>'Rashodi-2021'!Q122</f>
        <v>0</v>
      </c>
      <c r="S118" s="1208">
        <f>'Rashodi-2021'!R122</f>
        <v>0</v>
      </c>
      <c r="T118" s="1208">
        <f>'Rashodi-2021'!S122</f>
        <v>0</v>
      </c>
      <c r="U118" s="1222">
        <f t="shared" si="5"/>
        <v>0</v>
      </c>
      <c r="V118" s="1138">
        <f>'Rashodi-2021'!U122</f>
        <v>300000</v>
      </c>
      <c r="W118" s="608">
        <v>300000</v>
      </c>
      <c r="X118" s="844">
        <v>300000</v>
      </c>
    </row>
    <row r="119" spans="2:24" s="356" customFormat="1" ht="12.75">
      <c r="B119" s="369"/>
      <c r="C119" s="362"/>
      <c r="D119" s="363"/>
      <c r="E119" s="362"/>
      <c r="F119" s="357" t="s">
        <v>1546</v>
      </c>
      <c r="G119" s="482">
        <v>512</v>
      </c>
      <c r="H119" s="1606" t="s">
        <v>1182</v>
      </c>
      <c r="I119" s="1606"/>
      <c r="J119" s="1607"/>
      <c r="K119" s="927">
        <v>500000</v>
      </c>
      <c r="L119" s="953">
        <v>231210</v>
      </c>
      <c r="M119" s="1112">
        <f>'Rashodi-2021'!M123</f>
        <v>500000</v>
      </c>
      <c r="N119" s="1112" t="e">
        <f>'Rashodi-2021'!#REF!</f>
        <v>#REF!</v>
      </c>
      <c r="O119" s="1215">
        <f>'Rashodi-2021'!N123</f>
        <v>0</v>
      </c>
      <c r="P119" s="1208">
        <f>'Rashodi-2021'!O123</f>
        <v>0</v>
      </c>
      <c r="Q119" s="1208">
        <f>'Rashodi-2021'!P123</f>
        <v>0</v>
      </c>
      <c r="R119" s="1208">
        <f>'Rashodi-2021'!Q123</f>
        <v>0</v>
      </c>
      <c r="S119" s="1208">
        <f>'Rashodi-2021'!R123</f>
        <v>0</v>
      </c>
      <c r="T119" s="1208">
        <f>'Rashodi-2021'!S123</f>
        <v>0</v>
      </c>
      <c r="U119" s="1229">
        <f t="shared" si="5"/>
        <v>0</v>
      </c>
      <c r="V119" s="1138">
        <f>'Rashodi-2021'!U123</f>
        <v>500000</v>
      </c>
      <c r="W119" s="608">
        <v>500000</v>
      </c>
      <c r="X119" s="844">
        <v>500000</v>
      </c>
    </row>
    <row r="120" spans="2:24" s="42" customFormat="1" ht="12.75">
      <c r="B120" s="284"/>
      <c r="C120" s="285"/>
      <c r="D120" s="428"/>
      <c r="E120" s="346" t="s">
        <v>1538</v>
      </c>
      <c r="F120" s="346"/>
      <c r="G120" s="429"/>
      <c r="H120" s="1663" t="s">
        <v>1207</v>
      </c>
      <c r="I120" s="1664"/>
      <c r="J120" s="1665"/>
      <c r="K120" s="1096">
        <f>K121</f>
        <v>300000</v>
      </c>
      <c r="L120" s="932">
        <f>L121</f>
        <v>0</v>
      </c>
      <c r="M120" s="1128">
        <f>'Rashodi-2021'!M124</f>
        <v>500000</v>
      </c>
      <c r="N120" s="1128" t="e">
        <f>'Rashodi-2021'!#REF!</f>
        <v>#REF!</v>
      </c>
      <c r="O120" s="1214">
        <f>'Rashodi-2021'!N124</f>
        <v>0</v>
      </c>
      <c r="P120" s="1194">
        <f>'Rashodi-2021'!O124</f>
        <v>0</v>
      </c>
      <c r="Q120" s="1194">
        <f>'Rashodi-2021'!P124</f>
        <v>0</v>
      </c>
      <c r="R120" s="1194">
        <f>'Rashodi-2021'!Q124</f>
        <v>0</v>
      </c>
      <c r="S120" s="1194">
        <f>'Rashodi-2021'!R124</f>
        <v>0</v>
      </c>
      <c r="T120" s="1194">
        <f>'Rashodi-2021'!S124</f>
        <v>0</v>
      </c>
      <c r="U120" s="1198">
        <f t="shared" si="5"/>
        <v>0</v>
      </c>
      <c r="V120" s="1196">
        <f>'Rashodi-2021'!U124</f>
        <v>500000</v>
      </c>
      <c r="W120" s="652">
        <v>500000</v>
      </c>
      <c r="X120" s="652">
        <v>500000</v>
      </c>
    </row>
    <row r="121" spans="2:24" s="1276" customFormat="1" ht="12.75">
      <c r="B121" s="1286"/>
      <c r="C121" s="1245"/>
      <c r="D121" s="1246">
        <v>160</v>
      </c>
      <c r="E121" s="1247"/>
      <c r="F121" s="1245"/>
      <c r="G121" s="1249"/>
      <c r="H121" s="1694" t="s">
        <v>1525</v>
      </c>
      <c r="I121" s="1695"/>
      <c r="J121" s="1695"/>
      <c r="K121" s="1130">
        <f>K122</f>
        <v>300000</v>
      </c>
      <c r="L121" s="1280">
        <f>L122</f>
        <v>0</v>
      </c>
      <c r="M121" s="1130">
        <f>'Rashodi-2021'!M125</f>
        <v>500000</v>
      </c>
      <c r="N121" s="1130" t="e">
        <f>'Rashodi-2021'!#REF!</f>
        <v>#REF!</v>
      </c>
      <c r="O121" s="1216">
        <f>'Rashodi-2021'!N125</f>
        <v>0</v>
      </c>
      <c r="P121" s="1202">
        <f>'Rashodi-2021'!O125</f>
        <v>0</v>
      </c>
      <c r="Q121" s="1202">
        <f>'Rashodi-2021'!P125</f>
        <v>0</v>
      </c>
      <c r="R121" s="1202">
        <f>'Rashodi-2021'!Q125</f>
        <v>0</v>
      </c>
      <c r="S121" s="1202">
        <f>'Rashodi-2021'!R125</f>
        <v>0</v>
      </c>
      <c r="T121" s="1202">
        <f>'Rashodi-2021'!S125</f>
        <v>0</v>
      </c>
      <c r="U121" s="1228">
        <f t="shared" si="5"/>
        <v>0</v>
      </c>
      <c r="V121" s="1203">
        <f>'Rashodi-2021'!U125</f>
        <v>500000</v>
      </c>
      <c r="W121" s="1203">
        <v>500000</v>
      </c>
      <c r="X121" s="1138">
        <v>500000</v>
      </c>
    </row>
    <row r="122" spans="2:24" s="1139" customFormat="1" ht="12.75">
      <c r="B122" s="1286"/>
      <c r="C122" s="1245"/>
      <c r="D122" s="1248"/>
      <c r="E122" s="1317"/>
      <c r="F122" s="1245" t="s">
        <v>1438</v>
      </c>
      <c r="G122" s="1318">
        <v>499</v>
      </c>
      <c r="H122" s="1720" t="s">
        <v>84</v>
      </c>
      <c r="I122" s="1717"/>
      <c r="J122" s="1717"/>
      <c r="K122" s="1112">
        <v>300000</v>
      </c>
      <c r="L122" s="1269">
        <v>0</v>
      </c>
      <c r="M122" s="1112">
        <f>'Rashodi-2021'!M126</f>
        <v>500000</v>
      </c>
      <c r="N122" s="1112" t="e">
        <f>'Rashodi-2021'!#REF!</f>
        <v>#REF!</v>
      </c>
      <c r="O122" s="1215">
        <f>'Rashodi-2021'!N126</f>
        <v>0</v>
      </c>
      <c r="P122" s="1208">
        <f>'Rashodi-2021'!O126</f>
        <v>0</v>
      </c>
      <c r="Q122" s="1208">
        <f>'Rashodi-2021'!P126</f>
        <v>0</v>
      </c>
      <c r="R122" s="1208">
        <f>'Rashodi-2021'!Q126</f>
        <v>0</v>
      </c>
      <c r="S122" s="1208">
        <f>'Rashodi-2021'!R126</f>
        <v>0</v>
      </c>
      <c r="T122" s="1208">
        <f>'Rashodi-2021'!S126</f>
        <v>0</v>
      </c>
      <c r="U122" s="1220">
        <f t="shared" si="5"/>
        <v>0</v>
      </c>
      <c r="V122" s="1138">
        <f>'Rashodi-2021'!U126</f>
        <v>500000</v>
      </c>
      <c r="W122" s="1261">
        <v>500000</v>
      </c>
      <c r="X122" s="1138">
        <v>500000</v>
      </c>
    </row>
    <row r="123" spans="2:24" s="42" customFormat="1" ht="12.75">
      <c r="B123" s="597"/>
      <c r="C123" s="598"/>
      <c r="D123" s="599"/>
      <c r="E123" s="346" t="s">
        <v>863</v>
      </c>
      <c r="F123" s="346"/>
      <c r="G123" s="601"/>
      <c r="H123" s="1663" t="s">
        <v>1206</v>
      </c>
      <c r="I123" s="1666"/>
      <c r="J123" s="1666"/>
      <c r="K123" s="1097">
        <f>K125</f>
        <v>400000</v>
      </c>
      <c r="L123" s="1210">
        <f>L125</f>
        <v>0</v>
      </c>
      <c r="M123" s="1128">
        <f>'Rashodi-2021'!M127</f>
        <v>500000</v>
      </c>
      <c r="N123" s="1128" t="e">
        <f>'Rashodi-2021'!#REF!</f>
        <v>#REF!</v>
      </c>
      <c r="O123" s="1214">
        <f>'Rashodi-2021'!N127</f>
        <v>0</v>
      </c>
      <c r="P123" s="1194">
        <f>'Rashodi-2021'!O127</f>
        <v>0</v>
      </c>
      <c r="Q123" s="1194">
        <f>'Rashodi-2021'!P127</f>
        <v>0</v>
      </c>
      <c r="R123" s="1194">
        <f>'Rashodi-2021'!Q127</f>
        <v>0</v>
      </c>
      <c r="S123" s="1194">
        <f>'Rashodi-2021'!R127</f>
        <v>0</v>
      </c>
      <c r="T123" s="1194">
        <f>'Rashodi-2021'!S127</f>
        <v>0</v>
      </c>
      <c r="U123" s="1243">
        <f t="shared" si="5"/>
        <v>0</v>
      </c>
      <c r="V123" s="1196">
        <f>'Rashodi-2021'!U127</f>
        <v>500000</v>
      </c>
      <c r="W123" s="841">
        <v>500000</v>
      </c>
      <c r="X123" s="652">
        <v>500000</v>
      </c>
    </row>
    <row r="124" spans="2:24" s="42" customFormat="1" ht="12.75">
      <c r="B124" s="350"/>
      <c r="C124" s="357"/>
      <c r="D124" s="56">
        <v>160</v>
      </c>
      <c r="E124" s="180"/>
      <c r="F124" s="357"/>
      <c r="G124" s="353"/>
      <c r="H124" s="1526" t="s">
        <v>1525</v>
      </c>
      <c r="I124" s="1527"/>
      <c r="J124" s="1527"/>
      <c r="K124" s="838">
        <f>K125</f>
        <v>400000</v>
      </c>
      <c r="L124" s="1115">
        <f>L125</f>
        <v>0</v>
      </c>
      <c r="M124" s="1130">
        <f>'Rashodi-2021'!M128</f>
        <v>500000</v>
      </c>
      <c r="N124" s="1130" t="e">
        <f>'Rashodi-2021'!#REF!</f>
        <v>#REF!</v>
      </c>
      <c r="O124" s="1216">
        <f>'Rashodi-2021'!N128</f>
        <v>0</v>
      </c>
      <c r="P124" s="1202">
        <f>'Rashodi-2021'!O128</f>
        <v>0</v>
      </c>
      <c r="Q124" s="1202">
        <f>'Rashodi-2021'!P128</f>
        <v>0</v>
      </c>
      <c r="R124" s="1202">
        <f>'Rashodi-2021'!Q128</f>
        <v>0</v>
      </c>
      <c r="S124" s="1202">
        <f>'Rashodi-2021'!R128</f>
        <v>0</v>
      </c>
      <c r="T124" s="1202">
        <f>'Rashodi-2021'!S128</f>
        <v>0</v>
      </c>
      <c r="U124" s="1228">
        <f t="shared" si="5"/>
        <v>0</v>
      </c>
      <c r="V124" s="1203">
        <f>'Rashodi-2021'!U128</f>
        <v>500000</v>
      </c>
      <c r="W124" s="375">
        <v>500000</v>
      </c>
      <c r="X124" s="1175">
        <v>500000</v>
      </c>
    </row>
    <row r="125" spans="2:24" s="356" customFormat="1" ht="12.75">
      <c r="B125" s="350"/>
      <c r="C125" s="357"/>
      <c r="D125" s="353"/>
      <c r="E125" s="485"/>
      <c r="F125" s="357" t="s">
        <v>1296</v>
      </c>
      <c r="G125" s="482">
        <v>499</v>
      </c>
      <c r="H125" s="1548" t="s">
        <v>85</v>
      </c>
      <c r="I125" s="1549"/>
      <c r="J125" s="1549"/>
      <c r="K125" s="540">
        <v>400000</v>
      </c>
      <c r="L125" s="1111">
        <v>0</v>
      </c>
      <c r="M125" s="1112">
        <f>'Rashodi-2021'!M129</f>
        <v>500000</v>
      </c>
      <c r="N125" s="1112" t="e">
        <f>'Rashodi-2021'!#REF!</f>
        <v>#REF!</v>
      </c>
      <c r="O125" s="1215">
        <f>'Rashodi-2021'!N129</f>
        <v>0</v>
      </c>
      <c r="P125" s="1208">
        <f>'Rashodi-2021'!O129</f>
        <v>0</v>
      </c>
      <c r="Q125" s="1208">
        <f>'Rashodi-2021'!P129</f>
        <v>0</v>
      </c>
      <c r="R125" s="1208">
        <f>'Rashodi-2021'!Q129</f>
        <v>0</v>
      </c>
      <c r="S125" s="1208">
        <f>'Rashodi-2021'!R129</f>
        <v>0</v>
      </c>
      <c r="T125" s="1208">
        <f>'Rashodi-2021'!S129</f>
        <v>0</v>
      </c>
      <c r="U125" s="1220">
        <f t="shared" si="5"/>
        <v>0</v>
      </c>
      <c r="V125" s="1138">
        <f>'Rashodi-2021'!U129</f>
        <v>500000</v>
      </c>
      <c r="W125" s="608">
        <v>500000</v>
      </c>
      <c r="X125" s="1175">
        <v>500000</v>
      </c>
    </row>
    <row r="126" spans="2:24" ht="12.75">
      <c r="B126" s="284"/>
      <c r="C126" s="285"/>
      <c r="D126" s="428"/>
      <c r="E126" s="610" t="s">
        <v>294</v>
      </c>
      <c r="F126" s="428"/>
      <c r="G126" s="429"/>
      <c r="H126" s="1529" t="s">
        <v>1224</v>
      </c>
      <c r="I126" s="1530"/>
      <c r="J126" s="1531"/>
      <c r="K126" s="933">
        <f>K127+K131</f>
        <v>9900000</v>
      </c>
      <c r="L126" s="1074">
        <f>L127+L131</f>
        <v>5395833.300000001</v>
      </c>
      <c r="M126" s="1128">
        <f>'Rashodi-2021'!M130</f>
        <v>8400000</v>
      </c>
      <c r="N126" s="1128" t="e">
        <f>'Rashodi-2021'!#REF!</f>
        <v>#REF!</v>
      </c>
      <c r="O126" s="1214">
        <f>'Rashodi-2021'!N130</f>
        <v>0</v>
      </c>
      <c r="P126" s="1194">
        <f>'Rashodi-2021'!O130</f>
        <v>0</v>
      </c>
      <c r="Q126" s="1194">
        <f>'Rashodi-2021'!P130</f>
        <v>0</v>
      </c>
      <c r="R126" s="1194">
        <f>'Rashodi-2021'!Q130</f>
        <v>0</v>
      </c>
      <c r="S126" s="1194">
        <f>'Rashodi-2021'!R130</f>
        <v>0</v>
      </c>
      <c r="T126" s="1194">
        <f>'Rashodi-2021'!S130</f>
        <v>0</v>
      </c>
      <c r="U126" s="1198">
        <f t="shared" si="5"/>
        <v>0</v>
      </c>
      <c r="V126" s="1196">
        <f>'Rashodi-2021'!U130</f>
        <v>8400000</v>
      </c>
      <c r="W126" s="652">
        <v>8400000</v>
      </c>
      <c r="X126" s="652">
        <v>8400000</v>
      </c>
    </row>
    <row r="127" spans="2:24" ht="14.25" customHeight="1">
      <c r="B127" s="284"/>
      <c r="C127" s="285"/>
      <c r="D127" s="428"/>
      <c r="E127" s="346" t="s">
        <v>309</v>
      </c>
      <c r="F127" s="428"/>
      <c r="G127" s="429"/>
      <c r="H127" s="1537" t="s">
        <v>1284</v>
      </c>
      <c r="I127" s="1600"/>
      <c r="J127" s="1601"/>
      <c r="K127" s="913">
        <f>K128</f>
        <v>5700000</v>
      </c>
      <c r="L127" s="1054">
        <f>L128</f>
        <v>2462499.9999999995</v>
      </c>
      <c r="M127" s="1128">
        <f>'Rashodi-2021'!M131</f>
        <v>4000000</v>
      </c>
      <c r="N127" s="1128" t="e">
        <f>'Rashodi-2021'!#REF!</f>
        <v>#REF!</v>
      </c>
      <c r="O127" s="1214">
        <f>'Rashodi-2021'!N131</f>
        <v>0</v>
      </c>
      <c r="P127" s="1194">
        <f>'Rashodi-2021'!O131</f>
        <v>0</v>
      </c>
      <c r="Q127" s="1194">
        <f>'Rashodi-2021'!P131</f>
        <v>0</v>
      </c>
      <c r="R127" s="1194">
        <f>'Rashodi-2021'!Q131</f>
        <v>0</v>
      </c>
      <c r="S127" s="1194">
        <f>'Rashodi-2021'!R131</f>
        <v>0</v>
      </c>
      <c r="T127" s="1194">
        <f>'Rashodi-2021'!S131</f>
        <v>0</v>
      </c>
      <c r="U127" s="1195">
        <f t="shared" si="5"/>
        <v>0</v>
      </c>
      <c r="V127" s="1196">
        <f>'Rashodi-2021'!U131</f>
        <v>4000000</v>
      </c>
      <c r="W127" s="652">
        <v>4000000</v>
      </c>
      <c r="X127" s="652">
        <v>4000000</v>
      </c>
    </row>
    <row r="128" spans="2:24" s="356" customFormat="1" ht="12.75">
      <c r="B128" s="350"/>
      <c r="C128" s="357"/>
      <c r="D128" s="56">
        <v>820</v>
      </c>
      <c r="E128" s="180"/>
      <c r="F128" s="352"/>
      <c r="G128" s="353"/>
      <c r="H128" s="1526" t="s">
        <v>170</v>
      </c>
      <c r="I128" s="1527"/>
      <c r="J128" s="1528"/>
      <c r="K128" s="181">
        <f>SUM(K129:K130)</f>
        <v>5700000</v>
      </c>
      <c r="L128" s="336">
        <f>SUM(L129:L130)</f>
        <v>2462499.9999999995</v>
      </c>
      <c r="M128" s="1130">
        <f>'Rashodi-2021'!M132</f>
        <v>4000000</v>
      </c>
      <c r="N128" s="1130" t="e">
        <f>'Rashodi-2021'!#REF!</f>
        <v>#REF!</v>
      </c>
      <c r="O128" s="1216">
        <f>'Rashodi-2021'!N132</f>
        <v>0</v>
      </c>
      <c r="P128" s="1202">
        <f>'Rashodi-2021'!O132</f>
        <v>0</v>
      </c>
      <c r="Q128" s="1202">
        <f>'Rashodi-2021'!P132</f>
        <v>0</v>
      </c>
      <c r="R128" s="1202">
        <f>'Rashodi-2021'!Q132</f>
        <v>0</v>
      </c>
      <c r="S128" s="1202">
        <f>'Rashodi-2021'!R132</f>
        <v>0</v>
      </c>
      <c r="T128" s="1202">
        <f>'Rashodi-2021'!S132</f>
        <v>0</v>
      </c>
      <c r="U128" s="1204">
        <f t="shared" si="5"/>
        <v>0</v>
      </c>
      <c r="V128" s="1203">
        <f>'Rashodi-2021'!U132</f>
        <v>4000000</v>
      </c>
      <c r="W128" s="375">
        <v>4000000</v>
      </c>
      <c r="X128" s="844">
        <v>4000000</v>
      </c>
    </row>
    <row r="129" spans="2:24" s="356" customFormat="1" ht="12.75">
      <c r="B129" s="350"/>
      <c r="C129" s="357"/>
      <c r="D129" s="56"/>
      <c r="E129" s="180"/>
      <c r="F129" s="357" t="s">
        <v>1297</v>
      </c>
      <c r="G129" s="448">
        <v>481</v>
      </c>
      <c r="H129" s="1508" t="s">
        <v>1418</v>
      </c>
      <c r="I129" s="1509"/>
      <c r="J129" s="1510"/>
      <c r="K129" s="746">
        <v>3400000</v>
      </c>
      <c r="L129" s="359">
        <v>2462500</v>
      </c>
      <c r="M129" s="1112">
        <f>'Rashodi-2021'!M133</f>
        <v>3000000</v>
      </c>
      <c r="N129" s="1112" t="e">
        <f>'Rashodi-2021'!#REF!</f>
        <v>#REF!</v>
      </c>
      <c r="O129" s="1215">
        <f>'Rashodi-2021'!N133</f>
        <v>0</v>
      </c>
      <c r="P129" s="1208">
        <f>'Rashodi-2021'!O133</f>
        <v>0</v>
      </c>
      <c r="Q129" s="1208">
        <f>'Rashodi-2021'!P133</f>
        <v>0</v>
      </c>
      <c r="R129" s="1208">
        <f>'Rashodi-2021'!Q133</f>
        <v>0</v>
      </c>
      <c r="S129" s="1208">
        <f>'Rashodi-2021'!R133</f>
        <v>0</v>
      </c>
      <c r="T129" s="1208">
        <f>'Rashodi-2021'!S133</f>
        <v>0</v>
      </c>
      <c r="U129" s="1209">
        <f t="shared" si="5"/>
        <v>0</v>
      </c>
      <c r="V129" s="1138">
        <f>'Rashodi-2021'!U133</f>
        <v>3000000</v>
      </c>
      <c r="W129" s="376">
        <v>3000000</v>
      </c>
      <c r="X129" s="844">
        <v>3000000</v>
      </c>
    </row>
    <row r="130" spans="2:24" s="356" customFormat="1" ht="12.75">
      <c r="B130" s="350"/>
      <c r="C130" s="357"/>
      <c r="D130" s="352"/>
      <c r="E130" s="357"/>
      <c r="F130" s="794">
        <v>86</v>
      </c>
      <c r="G130" s="434">
        <v>481</v>
      </c>
      <c r="H130" s="1508" t="s">
        <v>1417</v>
      </c>
      <c r="I130" s="1509"/>
      <c r="J130" s="1510"/>
      <c r="K130" s="746">
        <v>2300000</v>
      </c>
      <c r="L130" s="359">
        <v>-4.656612873077393E-10</v>
      </c>
      <c r="M130" s="1112">
        <f>'Rashodi-2021'!M134</f>
        <v>1000000</v>
      </c>
      <c r="N130" s="1112" t="e">
        <f>'Rashodi-2021'!#REF!</f>
        <v>#REF!</v>
      </c>
      <c r="O130" s="1215">
        <f>'Rashodi-2021'!N134</f>
        <v>0</v>
      </c>
      <c r="P130" s="1208">
        <f>'Rashodi-2021'!O134</f>
        <v>0</v>
      </c>
      <c r="Q130" s="1208">
        <f>'Rashodi-2021'!P134</f>
        <v>0</v>
      </c>
      <c r="R130" s="1208">
        <f>'Rashodi-2021'!Q134</f>
        <v>0</v>
      </c>
      <c r="S130" s="1208">
        <f>'Rashodi-2021'!R134</f>
        <v>0</v>
      </c>
      <c r="T130" s="1208">
        <f>'Rashodi-2021'!S134</f>
        <v>0</v>
      </c>
      <c r="U130" s="1205">
        <f t="shared" si="5"/>
        <v>0</v>
      </c>
      <c r="V130" s="1138">
        <f>'Rashodi-2021'!U134</f>
        <v>1000000</v>
      </c>
      <c r="W130" s="608">
        <v>1000000</v>
      </c>
      <c r="X130" s="844">
        <v>1000000</v>
      </c>
    </row>
    <row r="131" spans="2:24" ht="30" customHeight="1">
      <c r="B131" s="284"/>
      <c r="C131" s="285"/>
      <c r="D131" s="600"/>
      <c r="E131" s="346" t="s">
        <v>1222</v>
      </c>
      <c r="F131" s="428"/>
      <c r="G131" s="429"/>
      <c r="H131" s="1489" t="s">
        <v>1223</v>
      </c>
      <c r="I131" s="1490"/>
      <c r="J131" s="1491"/>
      <c r="K131" s="916">
        <f>K133</f>
        <v>4200000</v>
      </c>
      <c r="L131" s="1054">
        <f>L133</f>
        <v>2933333.3000000007</v>
      </c>
      <c r="M131" s="1128">
        <f>'Rashodi-2021'!M135</f>
        <v>4400000</v>
      </c>
      <c r="N131" s="1128" t="e">
        <f>'Rashodi-2021'!#REF!</f>
        <v>#REF!</v>
      </c>
      <c r="O131" s="1214">
        <f>'Rashodi-2021'!N135</f>
        <v>0</v>
      </c>
      <c r="P131" s="1194">
        <f>'Rashodi-2021'!O135</f>
        <v>0</v>
      </c>
      <c r="Q131" s="1194">
        <f>'Rashodi-2021'!P135</f>
        <v>0</v>
      </c>
      <c r="R131" s="1194">
        <f>'Rashodi-2021'!Q135</f>
        <v>0</v>
      </c>
      <c r="S131" s="1194">
        <f>'Rashodi-2021'!R135</f>
        <v>0</v>
      </c>
      <c r="T131" s="1194">
        <f>'Rashodi-2021'!S135</f>
        <v>0</v>
      </c>
      <c r="U131" s="1195">
        <f t="shared" si="5"/>
        <v>0</v>
      </c>
      <c r="V131" s="1196">
        <f>'Rashodi-2021'!U135</f>
        <v>4400000</v>
      </c>
      <c r="W131" s="652">
        <v>4400000</v>
      </c>
      <c r="X131" s="652">
        <v>4400000</v>
      </c>
    </row>
    <row r="132" spans="2:24" s="1276" customFormat="1" ht="12.75">
      <c r="B132" s="1287"/>
      <c r="C132" s="1271"/>
      <c r="D132" s="1246">
        <v>830</v>
      </c>
      <c r="E132" s="1247"/>
      <c r="F132" s="1272"/>
      <c r="G132" s="1288"/>
      <c r="H132" s="1694" t="s">
        <v>1225</v>
      </c>
      <c r="I132" s="1695"/>
      <c r="J132" s="1696"/>
      <c r="K132" s="1250">
        <f>K133</f>
        <v>4200000</v>
      </c>
      <c r="L132" s="1221">
        <f>L133</f>
        <v>2933333.3000000007</v>
      </c>
      <c r="M132" s="1130">
        <f>'Rashodi-2021'!M136</f>
        <v>4400000</v>
      </c>
      <c r="N132" s="1130" t="e">
        <f>'Rashodi-2021'!#REF!</f>
        <v>#REF!</v>
      </c>
      <c r="O132" s="1216">
        <f>'Rashodi-2021'!N136</f>
        <v>0</v>
      </c>
      <c r="P132" s="1202">
        <f>'Rashodi-2021'!O136</f>
        <v>0</v>
      </c>
      <c r="Q132" s="1202">
        <f>'Rashodi-2021'!P136</f>
        <v>0</v>
      </c>
      <c r="R132" s="1202">
        <f>'Rashodi-2021'!Q136</f>
        <v>0</v>
      </c>
      <c r="S132" s="1202">
        <f>'Rashodi-2021'!R136</f>
        <v>0</v>
      </c>
      <c r="T132" s="1202">
        <f>'Rashodi-2021'!S136</f>
        <v>0</v>
      </c>
      <c r="U132" s="1204">
        <f t="shared" si="5"/>
        <v>0</v>
      </c>
      <c r="V132" s="1203">
        <f>'Rashodi-2021'!U136</f>
        <v>4400000</v>
      </c>
      <c r="W132" s="1203">
        <v>4400000</v>
      </c>
      <c r="X132" s="1203">
        <v>4400000</v>
      </c>
    </row>
    <row r="133" spans="1:251" s="1305" customFormat="1" ht="12.75">
      <c r="A133" s="1286"/>
      <c r="B133" s="1286"/>
      <c r="C133" s="1245"/>
      <c r="D133" s="1245"/>
      <c r="E133" s="1245"/>
      <c r="F133" s="1254">
        <v>87</v>
      </c>
      <c r="G133" s="1245" t="s">
        <v>490</v>
      </c>
      <c r="H133" s="1256" t="s">
        <v>1526</v>
      </c>
      <c r="I133" s="1257"/>
      <c r="J133" s="1258"/>
      <c r="K133" s="1319">
        <v>4200000</v>
      </c>
      <c r="L133" s="1320">
        <v>2933333.3000000007</v>
      </c>
      <c r="M133" s="1112">
        <f>'Rashodi-2021'!M137</f>
        <v>4400000</v>
      </c>
      <c r="N133" s="1112" t="e">
        <f>'Rashodi-2021'!#REF!</f>
        <v>#REF!</v>
      </c>
      <c r="O133" s="1215">
        <f>'Rashodi-2021'!N137</f>
        <v>0</v>
      </c>
      <c r="P133" s="1208">
        <f>'Rashodi-2021'!O137</f>
        <v>0</v>
      </c>
      <c r="Q133" s="1208">
        <f>'Rashodi-2021'!P137</f>
        <v>0</v>
      </c>
      <c r="R133" s="1208">
        <f>'Rashodi-2021'!Q137</f>
        <v>0</v>
      </c>
      <c r="S133" s="1208">
        <f>'Rashodi-2021'!R137</f>
        <v>0</v>
      </c>
      <c r="T133" s="1208">
        <f>'Rashodi-2021'!S137</f>
        <v>0</v>
      </c>
      <c r="U133" s="1260">
        <f t="shared" si="5"/>
        <v>0</v>
      </c>
      <c r="V133" s="1138">
        <f>'Rashodi-2021'!U137</f>
        <v>4400000</v>
      </c>
      <c r="W133" s="1138">
        <v>4400000</v>
      </c>
      <c r="X133" s="1138">
        <v>4400000</v>
      </c>
      <c r="Y133" s="1321"/>
      <c r="Z133" s="1321"/>
      <c r="AA133" s="1321"/>
      <c r="AB133" s="1321"/>
      <c r="AC133" s="1321"/>
      <c r="AD133" s="1321"/>
      <c r="AE133" s="1321"/>
      <c r="AF133" s="1321"/>
      <c r="AG133" s="1321"/>
      <c r="AH133" s="1321"/>
      <c r="AI133" s="1321"/>
      <c r="AJ133" s="1321"/>
      <c r="AK133" s="1321"/>
      <c r="AL133" s="1321"/>
      <c r="AM133" s="1321"/>
      <c r="AN133" s="1321"/>
      <c r="AO133" s="1321"/>
      <c r="AP133" s="1321"/>
      <c r="AQ133" s="1321"/>
      <c r="AR133" s="1321"/>
      <c r="AS133" s="1321"/>
      <c r="AT133" s="1321"/>
      <c r="AU133" s="1321"/>
      <c r="AV133" s="1321"/>
      <c r="AW133" s="1321"/>
      <c r="AX133" s="1321"/>
      <c r="AY133" s="1321"/>
      <c r="AZ133" s="1321"/>
      <c r="BA133" s="1321"/>
      <c r="BB133" s="1321"/>
      <c r="BC133" s="1321"/>
      <c r="BD133" s="1321"/>
      <c r="BE133" s="1321"/>
      <c r="BF133" s="1321"/>
      <c r="BG133" s="1321"/>
      <c r="BH133" s="1321"/>
      <c r="BI133" s="1321"/>
      <c r="BJ133" s="1321"/>
      <c r="BK133" s="1321"/>
      <c r="BL133" s="1321"/>
      <c r="BM133" s="1321"/>
      <c r="BN133" s="1321"/>
      <c r="BO133" s="1321"/>
      <c r="BP133" s="1321"/>
      <c r="BQ133" s="1321"/>
      <c r="BR133" s="1321"/>
      <c r="BS133" s="1321"/>
      <c r="BT133" s="1321"/>
      <c r="BU133" s="1321"/>
      <c r="BV133" s="1321"/>
      <c r="BW133" s="1321"/>
      <c r="BX133" s="1321"/>
      <c r="BY133" s="1321"/>
      <c r="BZ133" s="1321"/>
      <c r="CA133" s="1321"/>
      <c r="CB133" s="1321"/>
      <c r="CC133" s="1321"/>
      <c r="CD133" s="1321"/>
      <c r="CE133" s="1321"/>
      <c r="CF133" s="1321"/>
      <c r="CG133" s="1321"/>
      <c r="CH133" s="1321"/>
      <c r="CI133" s="1321"/>
      <c r="CJ133" s="1321"/>
      <c r="CK133" s="1321"/>
      <c r="CL133" s="1321"/>
      <c r="CM133" s="1321"/>
      <c r="CN133" s="1321"/>
      <c r="CO133" s="1321"/>
      <c r="CP133" s="1321"/>
      <c r="CQ133" s="1321"/>
      <c r="CR133" s="1321"/>
      <c r="CS133" s="1321"/>
      <c r="CT133" s="1321"/>
      <c r="CU133" s="1321"/>
      <c r="CV133" s="1321"/>
      <c r="CW133" s="1321"/>
      <c r="CX133" s="1321"/>
      <c r="CY133" s="1321"/>
      <c r="CZ133" s="1321"/>
      <c r="DA133" s="1321"/>
      <c r="DB133" s="1321"/>
      <c r="DC133" s="1321"/>
      <c r="DD133" s="1321"/>
      <c r="DE133" s="1321"/>
      <c r="DF133" s="1321"/>
      <c r="DG133" s="1321"/>
      <c r="DH133" s="1321"/>
      <c r="DI133" s="1321"/>
      <c r="DJ133" s="1321"/>
      <c r="DK133" s="1321"/>
      <c r="DL133" s="1321"/>
      <c r="DM133" s="1321"/>
      <c r="DN133" s="1321"/>
      <c r="DO133" s="1321"/>
      <c r="DP133" s="1321"/>
      <c r="DQ133" s="1321"/>
      <c r="DR133" s="1321"/>
      <c r="DS133" s="1321"/>
      <c r="DT133" s="1321"/>
      <c r="DU133" s="1321"/>
      <c r="DV133" s="1321"/>
      <c r="DW133" s="1321"/>
      <c r="DX133" s="1321"/>
      <c r="DY133" s="1321"/>
      <c r="DZ133" s="1321"/>
      <c r="EA133" s="1321"/>
      <c r="EB133" s="1321"/>
      <c r="EC133" s="1321"/>
      <c r="ED133" s="1321"/>
      <c r="EE133" s="1321"/>
      <c r="EF133" s="1321"/>
      <c r="EG133" s="1321"/>
      <c r="EH133" s="1321"/>
      <c r="EI133" s="1321"/>
      <c r="EJ133" s="1321"/>
      <c r="EK133" s="1321"/>
      <c r="EL133" s="1321"/>
      <c r="EM133" s="1321"/>
      <c r="EN133" s="1321"/>
      <c r="EO133" s="1321"/>
      <c r="EP133" s="1321"/>
      <c r="EQ133" s="1321"/>
      <c r="ER133" s="1321"/>
      <c r="ES133" s="1321"/>
      <c r="ET133" s="1321"/>
      <c r="EU133" s="1321"/>
      <c r="EV133" s="1321"/>
      <c r="EW133" s="1321"/>
      <c r="EX133" s="1321"/>
      <c r="EY133" s="1321"/>
      <c r="EZ133" s="1321"/>
      <c r="FA133" s="1321"/>
      <c r="FB133" s="1321"/>
      <c r="FC133" s="1321"/>
      <c r="FD133" s="1321"/>
      <c r="FE133" s="1321"/>
      <c r="FF133" s="1321"/>
      <c r="FG133" s="1321"/>
      <c r="FH133" s="1321"/>
      <c r="FI133" s="1321"/>
      <c r="FJ133" s="1321"/>
      <c r="FK133" s="1321"/>
      <c r="FL133" s="1321"/>
      <c r="FM133" s="1321"/>
      <c r="FN133" s="1321"/>
      <c r="FO133" s="1321"/>
      <c r="FP133" s="1321"/>
      <c r="FQ133" s="1321"/>
      <c r="FR133" s="1321"/>
      <c r="FS133" s="1321"/>
      <c r="FT133" s="1321"/>
      <c r="FU133" s="1321"/>
      <c r="FV133" s="1321"/>
      <c r="FW133" s="1321"/>
      <c r="FX133" s="1321"/>
      <c r="FY133" s="1321"/>
      <c r="FZ133" s="1321"/>
      <c r="GA133" s="1321"/>
      <c r="GB133" s="1321"/>
      <c r="GC133" s="1321"/>
      <c r="GD133" s="1321"/>
      <c r="GE133" s="1321"/>
      <c r="GF133" s="1321"/>
      <c r="GG133" s="1321"/>
      <c r="GH133" s="1321"/>
      <c r="GI133" s="1321"/>
      <c r="GJ133" s="1321"/>
      <c r="GK133" s="1321"/>
      <c r="GL133" s="1321"/>
      <c r="GM133" s="1321"/>
      <c r="GN133" s="1321"/>
      <c r="GO133" s="1321"/>
      <c r="GP133" s="1321"/>
      <c r="GQ133" s="1321"/>
      <c r="GR133" s="1321"/>
      <c r="GS133" s="1321"/>
      <c r="GT133" s="1321"/>
      <c r="GU133" s="1321"/>
      <c r="GV133" s="1321"/>
      <c r="GW133" s="1321"/>
      <c r="GX133" s="1321"/>
      <c r="GY133" s="1321"/>
      <c r="GZ133" s="1321"/>
      <c r="HA133" s="1321"/>
      <c r="HB133" s="1321"/>
      <c r="HC133" s="1321"/>
      <c r="HD133" s="1321"/>
      <c r="HE133" s="1321"/>
      <c r="HF133" s="1321"/>
      <c r="HG133" s="1321"/>
      <c r="HH133" s="1321"/>
      <c r="HI133" s="1321"/>
      <c r="HJ133" s="1321"/>
      <c r="HK133" s="1321"/>
      <c r="HL133" s="1321"/>
      <c r="HM133" s="1321"/>
      <c r="HN133" s="1321"/>
      <c r="HO133" s="1321"/>
      <c r="HP133" s="1321"/>
      <c r="HQ133" s="1321"/>
      <c r="HR133" s="1321"/>
      <c r="HS133" s="1321"/>
      <c r="HT133" s="1321"/>
      <c r="HU133" s="1321"/>
      <c r="HV133" s="1321"/>
      <c r="HW133" s="1321"/>
      <c r="HX133" s="1321"/>
      <c r="HY133" s="1321"/>
      <c r="HZ133" s="1321"/>
      <c r="IA133" s="1321"/>
      <c r="IB133" s="1321"/>
      <c r="IC133" s="1321"/>
      <c r="ID133" s="1321"/>
      <c r="IE133" s="1321"/>
      <c r="IF133" s="1321"/>
      <c r="IG133" s="1321"/>
      <c r="IH133" s="1321"/>
      <c r="II133" s="1321"/>
      <c r="IJ133" s="1321"/>
      <c r="IK133" s="1321"/>
      <c r="IL133" s="1321"/>
      <c r="IM133" s="1321"/>
      <c r="IN133" s="1321"/>
      <c r="IO133" s="1321"/>
      <c r="IP133" s="1321"/>
      <c r="IQ133" s="1321"/>
    </row>
    <row r="134" spans="2:24" ht="12.75">
      <c r="B134" s="284"/>
      <c r="C134" s="285"/>
      <c r="D134" s="428"/>
      <c r="E134" s="613" t="s">
        <v>306</v>
      </c>
      <c r="F134" s="544"/>
      <c r="G134" s="429"/>
      <c r="H134" s="1520" t="s">
        <v>307</v>
      </c>
      <c r="I134" s="1521"/>
      <c r="J134" s="1521"/>
      <c r="K134" s="1072">
        <f>K135</f>
        <v>8100000</v>
      </c>
      <c r="L134" s="1122">
        <f>L135</f>
        <v>4169922</v>
      </c>
      <c r="M134" s="957">
        <f>'Rashodi-2021'!M138</f>
        <v>7001000</v>
      </c>
      <c r="N134" s="957" t="e">
        <f>'Rashodi-2021'!#REF!</f>
        <v>#REF!</v>
      </c>
      <c r="O134" s="1213">
        <f>'Rashodi-2021'!N138</f>
        <v>0</v>
      </c>
      <c r="P134" s="1189">
        <f>'Rashodi-2021'!O138</f>
        <v>0</v>
      </c>
      <c r="Q134" s="1189">
        <f>'Rashodi-2021'!P138</f>
        <v>0</v>
      </c>
      <c r="R134" s="1189">
        <f>'Rashodi-2021'!Q138</f>
        <v>0</v>
      </c>
      <c r="S134" s="1189">
        <f>'Rashodi-2021'!R138</f>
        <v>0</v>
      </c>
      <c r="T134" s="1189">
        <f>'Rashodi-2021'!S138</f>
        <v>0</v>
      </c>
      <c r="U134" s="1191">
        <f t="shared" si="5"/>
        <v>0</v>
      </c>
      <c r="V134" s="1107">
        <f>'Rashodi-2021'!U138</f>
        <v>7001000</v>
      </c>
      <c r="W134" s="848">
        <v>7001000</v>
      </c>
      <c r="X134" s="848">
        <v>7001000</v>
      </c>
    </row>
    <row r="135" spans="2:24" ht="26.25" customHeight="1">
      <c r="B135" s="284"/>
      <c r="C135" s="285"/>
      <c r="D135" s="542"/>
      <c r="E135" s="542" t="s">
        <v>308</v>
      </c>
      <c r="F135" s="545"/>
      <c r="G135" s="543"/>
      <c r="H135" s="1489" t="s">
        <v>324</v>
      </c>
      <c r="I135" s="1490"/>
      <c r="J135" s="1490"/>
      <c r="K135" s="1062">
        <f>SUM(K137:K138)</f>
        <v>8100000</v>
      </c>
      <c r="L135" s="1114">
        <f>SUM(L137:L138)</f>
        <v>4169922</v>
      </c>
      <c r="M135" s="1128">
        <f>'Rashodi-2021'!M139</f>
        <v>7001000</v>
      </c>
      <c r="N135" s="1128" t="e">
        <f>'Rashodi-2021'!#REF!</f>
        <v>#REF!</v>
      </c>
      <c r="O135" s="1214">
        <f>'Rashodi-2021'!N139</f>
        <v>0</v>
      </c>
      <c r="P135" s="1194">
        <f>'Rashodi-2021'!O139</f>
        <v>0</v>
      </c>
      <c r="Q135" s="1194">
        <f>'Rashodi-2021'!P139</f>
        <v>0</v>
      </c>
      <c r="R135" s="1194">
        <f>'Rashodi-2021'!Q139</f>
        <v>0</v>
      </c>
      <c r="S135" s="1194">
        <f>'Rashodi-2021'!R139</f>
        <v>0</v>
      </c>
      <c r="T135" s="1194">
        <f>'Rashodi-2021'!S139</f>
        <v>0</v>
      </c>
      <c r="U135" s="1197">
        <f aca="true" t="shared" si="6" ref="U135:U172">SUM(O135:T135)</f>
        <v>0</v>
      </c>
      <c r="V135" s="1196">
        <f>'Rashodi-2021'!U139</f>
        <v>7001000</v>
      </c>
      <c r="W135" s="652">
        <v>7001000</v>
      </c>
      <c r="X135" s="652">
        <v>7001000</v>
      </c>
    </row>
    <row r="136" spans="2:24" s="1139" customFormat="1" ht="12.75">
      <c r="B136" s="1286"/>
      <c r="C136" s="1245"/>
      <c r="D136" s="1134" t="s">
        <v>549</v>
      </c>
      <c r="E136" s="1326"/>
      <c r="F136" s="1133"/>
      <c r="G136" s="1249"/>
      <c r="H136" s="1682" t="s">
        <v>171</v>
      </c>
      <c r="I136" s="1683"/>
      <c r="J136" s="1684"/>
      <c r="K136" s="1207">
        <f>K137+K138</f>
        <v>8100000</v>
      </c>
      <c r="L136" s="1327">
        <f>L137+L138</f>
        <v>4169922</v>
      </c>
      <c r="M136" s="1112">
        <f>'Rashodi-2021'!M140</f>
        <v>7001000</v>
      </c>
      <c r="N136" s="1112" t="e">
        <f>'Rashodi-2021'!#REF!</f>
        <v>#REF!</v>
      </c>
      <c r="O136" s="1215">
        <f>'Rashodi-2021'!N140</f>
        <v>0</v>
      </c>
      <c r="P136" s="1208">
        <f>'Rashodi-2021'!O140</f>
        <v>0</v>
      </c>
      <c r="Q136" s="1208">
        <f>'Rashodi-2021'!P140</f>
        <v>0</v>
      </c>
      <c r="R136" s="1208">
        <f>'Rashodi-2021'!Q140</f>
        <v>0</v>
      </c>
      <c r="S136" s="1208">
        <f>'Rashodi-2021'!R140</f>
        <v>0</v>
      </c>
      <c r="T136" s="1208">
        <f>'Rashodi-2021'!S140</f>
        <v>0</v>
      </c>
      <c r="U136" s="1328">
        <f t="shared" si="6"/>
        <v>0</v>
      </c>
      <c r="V136" s="1138">
        <f>'Rashodi-2021'!U140</f>
        <v>7001000</v>
      </c>
      <c r="W136" s="1138">
        <v>7001000</v>
      </c>
      <c r="X136" s="1138">
        <v>7001000</v>
      </c>
    </row>
    <row r="137" spans="2:24" s="1139" customFormat="1" ht="12.75">
      <c r="B137" s="1286"/>
      <c r="C137" s="1245"/>
      <c r="D137" s="1248"/>
      <c r="E137" s="1317"/>
      <c r="F137" s="1254">
        <v>88</v>
      </c>
      <c r="G137" s="1318">
        <v>481</v>
      </c>
      <c r="H137" s="1730" t="s">
        <v>1416</v>
      </c>
      <c r="I137" s="1731"/>
      <c r="J137" s="1731"/>
      <c r="K137" s="1112">
        <v>7400000</v>
      </c>
      <c r="L137" s="1269">
        <v>4169922</v>
      </c>
      <c r="M137" s="1112">
        <f>'Rashodi-2021'!M141</f>
        <v>7000000</v>
      </c>
      <c r="N137" s="1112" t="e">
        <f>'Rashodi-2021'!#REF!</f>
        <v>#REF!</v>
      </c>
      <c r="O137" s="1215">
        <f>'Rashodi-2021'!N141</f>
        <v>0</v>
      </c>
      <c r="P137" s="1208">
        <f>'Rashodi-2021'!O141</f>
        <v>0</v>
      </c>
      <c r="Q137" s="1208">
        <f>'Rashodi-2021'!P141</f>
        <v>0</v>
      </c>
      <c r="R137" s="1208">
        <f>'Rashodi-2021'!Q141</f>
        <v>0</v>
      </c>
      <c r="S137" s="1208">
        <f>'Rashodi-2021'!R141</f>
        <v>0</v>
      </c>
      <c r="T137" s="1208">
        <f>'Rashodi-2021'!S141</f>
        <v>0</v>
      </c>
      <c r="U137" s="1308">
        <f t="shared" si="6"/>
        <v>0</v>
      </c>
      <c r="V137" s="1138">
        <f>'Rashodi-2021'!U141</f>
        <v>7000000</v>
      </c>
      <c r="W137" s="1261">
        <v>7000000</v>
      </c>
      <c r="X137" s="1138">
        <v>7000000</v>
      </c>
    </row>
    <row r="138" spans="2:24" s="1139" customFormat="1" ht="13.5" thickBot="1">
      <c r="B138" s="1329"/>
      <c r="C138" s="1330"/>
      <c r="E138" s="1331"/>
      <c r="F138" s="1332">
        <v>89</v>
      </c>
      <c r="G138" s="1135">
        <v>481</v>
      </c>
      <c r="H138" s="1333" t="s">
        <v>1442</v>
      </c>
      <c r="I138" s="1304"/>
      <c r="J138" s="1304"/>
      <c r="K138" s="1334">
        <v>700000</v>
      </c>
      <c r="L138" s="1335">
        <v>0</v>
      </c>
      <c r="M138" s="1112">
        <f>'Rashodi-2021'!M142</f>
        <v>1000</v>
      </c>
      <c r="N138" s="1112" t="e">
        <f>'Rashodi-2021'!#REF!</f>
        <v>#REF!</v>
      </c>
      <c r="O138" s="1215">
        <f>'Rashodi-2021'!N142</f>
        <v>0</v>
      </c>
      <c r="P138" s="1208">
        <f>'Rashodi-2021'!O142</f>
        <v>0</v>
      </c>
      <c r="Q138" s="1208">
        <f>'Rashodi-2021'!P142</f>
        <v>0</v>
      </c>
      <c r="R138" s="1208">
        <f>'Rashodi-2021'!Q142</f>
        <v>0</v>
      </c>
      <c r="S138" s="1208">
        <f>'Rashodi-2021'!R142</f>
        <v>0</v>
      </c>
      <c r="T138" s="1208">
        <f>'Rashodi-2021'!S142</f>
        <v>0</v>
      </c>
      <c r="U138" s="1336"/>
      <c r="V138" s="1138">
        <f>'Rashodi-2021'!U142</f>
        <v>1000</v>
      </c>
      <c r="W138" s="1337">
        <v>1000</v>
      </c>
      <c r="X138" s="1138">
        <v>1000</v>
      </c>
    </row>
    <row r="139" spans="2:24" ht="12.75">
      <c r="B139" s="1148"/>
      <c r="C139" s="1149"/>
      <c r="D139" s="1150"/>
      <c r="E139" s="1151" t="s">
        <v>291</v>
      </c>
      <c r="F139" s="1150"/>
      <c r="G139" s="1152"/>
      <c r="H139" s="1669" t="s">
        <v>1265</v>
      </c>
      <c r="I139" s="1670"/>
      <c r="J139" s="1732"/>
      <c r="K139" s="1153" t="e">
        <f>K140+#REF!+#REF!</f>
        <v>#REF!</v>
      </c>
      <c r="L139" s="1154" t="e">
        <f>L140+#REF!+#REF!</f>
        <v>#REF!</v>
      </c>
      <c r="M139" s="957">
        <f>'Rashodi-2021'!M143</f>
        <v>41680762</v>
      </c>
      <c r="N139" s="957" t="e">
        <f>'Rashodi-2021'!#REF!</f>
        <v>#REF!</v>
      </c>
      <c r="O139" s="1213">
        <f>'Rashodi-2021'!N143</f>
        <v>0</v>
      </c>
      <c r="P139" s="1189">
        <f>'Rashodi-2021'!O143</f>
        <v>0</v>
      </c>
      <c r="Q139" s="1189">
        <f>'Rashodi-2021'!P143</f>
        <v>0</v>
      </c>
      <c r="R139" s="1189">
        <f>'Rashodi-2021'!Q143</f>
        <v>0</v>
      </c>
      <c r="S139" s="1189">
        <f>'Rashodi-2021'!R143</f>
        <v>0</v>
      </c>
      <c r="T139" s="1189">
        <f>'Rashodi-2021'!S143</f>
        <v>0</v>
      </c>
      <c r="U139" s="1192">
        <f t="shared" si="6"/>
        <v>0</v>
      </c>
      <c r="V139" s="1107">
        <f>'Rashodi-2021'!U143</f>
        <v>41680762</v>
      </c>
      <c r="W139" s="1431">
        <v>41680762</v>
      </c>
      <c r="X139" s="848">
        <v>41680762</v>
      </c>
    </row>
    <row r="140" spans="2:24" ht="12.75" customHeight="1">
      <c r="B140" s="1160"/>
      <c r="C140" s="285"/>
      <c r="D140" s="428"/>
      <c r="E140" s="346" t="s">
        <v>289</v>
      </c>
      <c r="F140" s="428"/>
      <c r="G140" s="429"/>
      <c r="H140" s="1489" t="s">
        <v>1555</v>
      </c>
      <c r="I140" s="1490"/>
      <c r="J140" s="1491"/>
      <c r="K140" s="916">
        <f>K141</f>
        <v>14630531</v>
      </c>
      <c r="L140" s="1054">
        <f>L141</f>
        <v>5053324.529999998</v>
      </c>
      <c r="M140" s="1128">
        <f>M142+M143+M144+M145+M146+M147+M148+M149+M150+M151+M152+M153+M155+M156+M157+M154</f>
        <v>41680762</v>
      </c>
      <c r="N140" s="1128" t="e">
        <f>N142+N143+N144+N145+N146+N147+N148+N149+N150+N151+N152+N153+N155+N156+N157</f>
        <v>#REF!</v>
      </c>
      <c r="O140" s="1214">
        <f>'Rashodi-2021'!N144</f>
        <v>0</v>
      </c>
      <c r="P140" s="1194">
        <f>'Rashodi-2021'!O144</f>
        <v>0</v>
      </c>
      <c r="Q140" s="1194">
        <f>'Rashodi-2021'!P144</f>
        <v>0</v>
      </c>
      <c r="R140" s="1194">
        <f>'Rashodi-2021'!Q144</f>
        <v>0</v>
      </c>
      <c r="S140" s="1194">
        <f>'Rashodi-2021'!R144</f>
        <v>0</v>
      </c>
      <c r="T140" s="1194">
        <f>'Rashodi-2021'!S144</f>
        <v>0</v>
      </c>
      <c r="U140" s="1195">
        <f t="shared" si="6"/>
        <v>0</v>
      </c>
      <c r="V140" s="1196">
        <f>M140+O140+P140+Q140+R140+S140</f>
        <v>41680762</v>
      </c>
      <c r="W140" s="652">
        <v>41680762</v>
      </c>
      <c r="X140" s="652">
        <v>41680762</v>
      </c>
    </row>
    <row r="141" spans="2:24" s="1139" customFormat="1" ht="12.75">
      <c r="B141" s="1244"/>
      <c r="C141" s="1245"/>
      <c r="D141" s="1246">
        <v>912</v>
      </c>
      <c r="E141" s="1247"/>
      <c r="F141" s="1248"/>
      <c r="G141" s="1249"/>
      <c r="H141" s="1694" t="s">
        <v>97</v>
      </c>
      <c r="I141" s="1695"/>
      <c r="J141" s="1696"/>
      <c r="K141" s="1130">
        <f>SUM(K142:K156)</f>
        <v>14630531</v>
      </c>
      <c r="L141" s="1280">
        <f>SUM(L142:L156)</f>
        <v>5053324.529999998</v>
      </c>
      <c r="M141" s="1130">
        <f>M140</f>
        <v>41680762</v>
      </c>
      <c r="N141" s="1130" t="e">
        <f>N140</f>
        <v>#REF!</v>
      </c>
      <c r="O141" s="1216">
        <f>'Rashodi-2021'!N145</f>
        <v>0</v>
      </c>
      <c r="P141" s="1202">
        <f>'Rashodi-2021'!O145</f>
        <v>0</v>
      </c>
      <c r="Q141" s="1202">
        <f>'Rashodi-2021'!P145</f>
        <v>0</v>
      </c>
      <c r="R141" s="1202">
        <f>'Rashodi-2021'!Q145</f>
        <v>0</v>
      </c>
      <c r="S141" s="1202">
        <f>'Rashodi-2021'!R145</f>
        <v>0</v>
      </c>
      <c r="T141" s="1202">
        <f>'Rashodi-2021'!S145</f>
        <v>0</v>
      </c>
      <c r="U141" s="1204">
        <f t="shared" si="6"/>
        <v>0</v>
      </c>
      <c r="V141" s="1203">
        <f>M141+O141+P141+Q141+R141+S141+T141</f>
        <v>41680762</v>
      </c>
      <c r="W141" s="1203">
        <v>41680762</v>
      </c>
      <c r="X141" s="1138">
        <v>41680762</v>
      </c>
    </row>
    <row r="142" spans="2:24" s="1139" customFormat="1" ht="12.75">
      <c r="B142" s="1244"/>
      <c r="C142" s="1245"/>
      <c r="D142" s="1248"/>
      <c r="E142" s="1245"/>
      <c r="F142" s="1254">
        <v>90</v>
      </c>
      <c r="G142" s="1255">
        <v>463</v>
      </c>
      <c r="H142" s="1256" t="s">
        <v>98</v>
      </c>
      <c r="I142" s="1257"/>
      <c r="J142" s="1258"/>
      <c r="K142" s="1259">
        <v>200000</v>
      </c>
      <c r="L142" s="1260">
        <v>50303.18</v>
      </c>
      <c r="M142" s="1112">
        <f>'Rashodi-2021'!M177+'Rashodi-2021'!M146</f>
        <v>130000</v>
      </c>
      <c r="N142" s="1112" t="e">
        <f>'Rashodi-2021'!#REF!+'Rashodi-2021'!#REF!</f>
        <v>#REF!</v>
      </c>
      <c r="O142" s="1215">
        <f>'Rashodi-2021'!N146</f>
        <v>0</v>
      </c>
      <c r="P142" s="1208">
        <f>'Rashodi-2021'!O146</f>
        <v>0</v>
      </c>
      <c r="Q142" s="1208">
        <f>'Rashodi-2021'!P146</f>
        <v>0</v>
      </c>
      <c r="R142" s="1208">
        <f>'Rashodi-2021'!Q146</f>
        <v>0</v>
      </c>
      <c r="S142" s="1208">
        <f>'Rashodi-2021'!R146</f>
        <v>0</v>
      </c>
      <c r="T142" s="1208">
        <f>'Rashodi-2021'!S146</f>
        <v>0</v>
      </c>
      <c r="U142" s="1220">
        <f t="shared" si="6"/>
        <v>0</v>
      </c>
      <c r="V142" s="1138">
        <f aca="true" t="shared" si="7" ref="V142:V157">M142+O142+P142+Q142+R142+S142+T142</f>
        <v>130000</v>
      </c>
      <c r="W142" s="1261">
        <v>130000</v>
      </c>
      <c r="X142" s="1138">
        <v>130000</v>
      </c>
    </row>
    <row r="143" spans="2:24" s="1139" customFormat="1" ht="12.75">
      <c r="B143" s="1244"/>
      <c r="C143" s="1245"/>
      <c r="D143" s="1248"/>
      <c r="E143" s="1245"/>
      <c r="F143" s="1254">
        <v>91</v>
      </c>
      <c r="G143" s="1255">
        <v>463</v>
      </c>
      <c r="H143" s="1685" t="s">
        <v>220</v>
      </c>
      <c r="I143" s="1686"/>
      <c r="J143" s="1687"/>
      <c r="K143" s="1262">
        <v>178000</v>
      </c>
      <c r="L143" s="1242">
        <v>105982.83</v>
      </c>
      <c r="M143" s="1112">
        <f>'Rashodi-2021'!M147+'Rashodi-2021'!M162</f>
        <v>128000</v>
      </c>
      <c r="N143" s="1112" t="e">
        <f>'Rashodi-2021'!#REF!+'Rashodi-2021'!#REF!</f>
        <v>#REF!</v>
      </c>
      <c r="O143" s="1215">
        <f>'Rashodi-2021'!N147</f>
        <v>0</v>
      </c>
      <c r="P143" s="1208">
        <f>'Rashodi-2021'!O147</f>
        <v>0</v>
      </c>
      <c r="Q143" s="1208">
        <f>'Rashodi-2021'!P147</f>
        <v>0</v>
      </c>
      <c r="R143" s="1208">
        <f>'Rashodi-2021'!Q147</f>
        <v>0</v>
      </c>
      <c r="S143" s="1208">
        <f>'Rashodi-2021'!R147</f>
        <v>0</v>
      </c>
      <c r="T143" s="1208">
        <f>'Rashodi-2021'!S147</f>
        <v>0</v>
      </c>
      <c r="U143" s="1220">
        <f t="shared" si="6"/>
        <v>0</v>
      </c>
      <c r="V143" s="1138">
        <f t="shared" si="7"/>
        <v>128000</v>
      </c>
      <c r="W143" s="1261">
        <v>128000</v>
      </c>
      <c r="X143" s="1138">
        <v>128000</v>
      </c>
    </row>
    <row r="144" spans="2:24" s="1139" customFormat="1" ht="12.75">
      <c r="B144" s="1244"/>
      <c r="C144" s="1245"/>
      <c r="D144" s="1248"/>
      <c r="E144" s="1245"/>
      <c r="F144" s="1254">
        <v>92</v>
      </c>
      <c r="G144" s="1255">
        <v>463</v>
      </c>
      <c r="H144" s="1682" t="s">
        <v>99</v>
      </c>
      <c r="I144" s="1683"/>
      <c r="J144" s="1684"/>
      <c r="K144" s="1262">
        <v>2100000</v>
      </c>
      <c r="L144" s="1242">
        <v>785721</v>
      </c>
      <c r="M144" s="1112">
        <f>'Rashodi-2021'!M178+'Rashodi-2021'!M163+'Rashodi-2021'!M148</f>
        <v>15006190</v>
      </c>
      <c r="N144" s="1112" t="e">
        <f>'Rashodi-2021'!#REF!+'Rashodi-2021'!#REF!+'Rashodi-2021'!#REF!</f>
        <v>#REF!</v>
      </c>
      <c r="O144" s="1215">
        <f>'Rashodi-2021'!N148</f>
        <v>0</v>
      </c>
      <c r="P144" s="1208">
        <f>'Rashodi-2021'!O148</f>
        <v>0</v>
      </c>
      <c r="Q144" s="1208">
        <f>'Rashodi-2021'!P148</f>
        <v>0</v>
      </c>
      <c r="R144" s="1208">
        <f>'Rashodi-2021'!Q148</f>
        <v>0</v>
      </c>
      <c r="S144" s="1208">
        <f>'Rashodi-2021'!R148</f>
        <v>0</v>
      </c>
      <c r="T144" s="1208">
        <f>'Rashodi-2021'!S148</f>
        <v>0</v>
      </c>
      <c r="U144" s="1220">
        <f t="shared" si="6"/>
        <v>0</v>
      </c>
      <c r="V144" s="1138">
        <f t="shared" si="7"/>
        <v>15006190</v>
      </c>
      <c r="W144" s="1261">
        <v>15006190</v>
      </c>
      <c r="X144" s="1138">
        <v>15006190</v>
      </c>
    </row>
    <row r="145" spans="2:24" s="1139" customFormat="1" ht="12.75">
      <c r="B145" s="1244"/>
      <c r="C145" s="1245"/>
      <c r="D145" s="1248"/>
      <c r="E145" s="1245"/>
      <c r="F145" s="1254">
        <v>93</v>
      </c>
      <c r="G145" s="1255">
        <v>463</v>
      </c>
      <c r="H145" s="1256" t="s">
        <v>201</v>
      </c>
      <c r="I145" s="1257"/>
      <c r="J145" s="1263"/>
      <c r="K145" s="1262">
        <v>1047553.1</v>
      </c>
      <c r="L145" s="1242">
        <v>569415</v>
      </c>
      <c r="M145" s="1112">
        <f>'Rashodi-2021'!M149+'Rashodi-2021'!M164+'Rashodi-2021'!M179</f>
        <v>2195000</v>
      </c>
      <c r="N145" s="1112" t="e">
        <f>'Rashodi-2021'!#REF!+'Rashodi-2021'!#REF!+'Rashodi-2021'!#REF!</f>
        <v>#REF!</v>
      </c>
      <c r="O145" s="1215">
        <f>'Rashodi-2021'!N149</f>
        <v>0</v>
      </c>
      <c r="P145" s="1208">
        <f>'Rashodi-2021'!O149</f>
        <v>0</v>
      </c>
      <c r="Q145" s="1208">
        <f>'Rashodi-2021'!P149</f>
        <v>0</v>
      </c>
      <c r="R145" s="1208">
        <f>'Rashodi-2021'!Q149</f>
        <v>0</v>
      </c>
      <c r="S145" s="1208">
        <f>'Rashodi-2021'!R149</f>
        <v>0</v>
      </c>
      <c r="T145" s="1208">
        <f>'Rashodi-2021'!S149</f>
        <v>0</v>
      </c>
      <c r="U145" s="1220">
        <f t="shared" si="6"/>
        <v>0</v>
      </c>
      <c r="V145" s="1138">
        <f t="shared" si="7"/>
        <v>2195000</v>
      </c>
      <c r="W145" s="1261">
        <v>2195000</v>
      </c>
      <c r="X145" s="1138">
        <v>2195000</v>
      </c>
    </row>
    <row r="146" spans="2:24" s="1139" customFormat="1" ht="12.75">
      <c r="B146" s="1244"/>
      <c r="C146" s="1245"/>
      <c r="D146" s="1248"/>
      <c r="E146" s="1245"/>
      <c r="F146" s="1254">
        <v>94</v>
      </c>
      <c r="G146" s="1255">
        <v>463</v>
      </c>
      <c r="H146" s="1256" t="s">
        <v>100</v>
      </c>
      <c r="I146" s="1257"/>
      <c r="J146" s="1258"/>
      <c r="K146" s="1259">
        <v>3123000</v>
      </c>
      <c r="L146" s="1260">
        <v>1869894.6799999988</v>
      </c>
      <c r="M146" s="1112">
        <f>'Rashodi-2021'!M180+'Rashodi-2021'!M165+'Rashodi-2021'!M150</f>
        <v>8618372</v>
      </c>
      <c r="N146" s="1112" t="e">
        <f>'Rashodi-2021'!#REF!+'Rashodi-2021'!#REF!+'Rashodi-2021'!#REF!</f>
        <v>#REF!</v>
      </c>
      <c r="O146" s="1215">
        <f>'Rashodi-2021'!N150</f>
        <v>0</v>
      </c>
      <c r="P146" s="1208">
        <f>'Rashodi-2021'!O150</f>
        <v>0</v>
      </c>
      <c r="Q146" s="1208">
        <f>'Rashodi-2021'!P150</f>
        <v>0</v>
      </c>
      <c r="R146" s="1208">
        <f>'Rashodi-2021'!Q150</f>
        <v>0</v>
      </c>
      <c r="S146" s="1208">
        <f>'Rashodi-2021'!R150</f>
        <v>0</v>
      </c>
      <c r="T146" s="1208">
        <f>'Rashodi-2021'!S150</f>
        <v>0</v>
      </c>
      <c r="U146" s="1220">
        <f t="shared" si="6"/>
        <v>0</v>
      </c>
      <c r="V146" s="1138">
        <f t="shared" si="7"/>
        <v>8618372</v>
      </c>
      <c r="W146" s="1261">
        <v>8618372</v>
      </c>
      <c r="X146" s="1138">
        <v>8618372</v>
      </c>
    </row>
    <row r="147" spans="2:24" s="1139" customFormat="1" ht="12.75">
      <c r="B147" s="1244"/>
      <c r="C147" s="1245"/>
      <c r="D147" s="1248"/>
      <c r="E147" s="1245"/>
      <c r="F147" s="1254">
        <v>95</v>
      </c>
      <c r="G147" s="1255">
        <v>463</v>
      </c>
      <c r="H147" s="1682" t="s">
        <v>1165</v>
      </c>
      <c r="I147" s="1683"/>
      <c r="J147" s="1684"/>
      <c r="K147" s="1262">
        <v>1510000</v>
      </c>
      <c r="L147" s="1242">
        <v>476425.89</v>
      </c>
      <c r="M147" s="1112">
        <f>'Rashodi-2021'!M181+'Rashodi-2021'!M166+'Rashodi-2021'!M151</f>
        <v>2620000</v>
      </c>
      <c r="N147" s="1112" t="e">
        <f>'Rashodi-2021'!#REF!+'Rashodi-2021'!#REF!+'Rashodi-2021'!#REF!</f>
        <v>#REF!</v>
      </c>
      <c r="O147" s="1215">
        <f>'Rashodi-2021'!N151</f>
        <v>0</v>
      </c>
      <c r="P147" s="1208">
        <f>'Rashodi-2021'!O151</f>
        <v>0</v>
      </c>
      <c r="Q147" s="1208">
        <f>'Rashodi-2021'!P151</f>
        <v>0</v>
      </c>
      <c r="R147" s="1208">
        <f>'Rashodi-2021'!Q151</f>
        <v>0</v>
      </c>
      <c r="S147" s="1208">
        <f>'Rashodi-2021'!R151</f>
        <v>0</v>
      </c>
      <c r="T147" s="1208">
        <f>'Rashodi-2021'!S151</f>
        <v>0</v>
      </c>
      <c r="U147" s="1220">
        <f t="shared" si="6"/>
        <v>0</v>
      </c>
      <c r="V147" s="1138">
        <f t="shared" si="7"/>
        <v>2620000</v>
      </c>
      <c r="W147" s="1261">
        <v>2620000</v>
      </c>
      <c r="X147" s="1138">
        <v>2620000</v>
      </c>
    </row>
    <row r="148" spans="2:24" s="1139" customFormat="1" ht="12.75">
      <c r="B148" s="1244"/>
      <c r="C148" s="1245"/>
      <c r="D148" s="1248"/>
      <c r="E148" s="1245"/>
      <c r="F148" s="1254">
        <v>96</v>
      </c>
      <c r="G148" s="1255">
        <v>463</v>
      </c>
      <c r="H148" s="1682" t="s">
        <v>102</v>
      </c>
      <c r="I148" s="1683"/>
      <c r="J148" s="1684"/>
      <c r="K148" s="1262">
        <v>755000</v>
      </c>
      <c r="L148" s="1242">
        <v>399909.68</v>
      </c>
      <c r="M148" s="1112">
        <f>'Rashodi-2021'!M152+'Rashodi-2021'!M167+'Rashodi-2021'!M182</f>
        <v>1424000</v>
      </c>
      <c r="N148" s="1112" t="e">
        <f>'Rashodi-2021'!#REF!+'Rashodi-2021'!#REF!+'Rashodi-2021'!#REF!</f>
        <v>#REF!</v>
      </c>
      <c r="O148" s="1215">
        <f>'Rashodi-2021'!N152</f>
        <v>0</v>
      </c>
      <c r="P148" s="1208">
        <f>'Rashodi-2021'!O152</f>
        <v>0</v>
      </c>
      <c r="Q148" s="1208">
        <f>'Rashodi-2021'!P152</f>
        <v>0</v>
      </c>
      <c r="R148" s="1208">
        <f>'Rashodi-2021'!Q152</f>
        <v>0</v>
      </c>
      <c r="S148" s="1208">
        <f>'Rashodi-2021'!R152</f>
        <v>0</v>
      </c>
      <c r="T148" s="1208">
        <f>'Rashodi-2021'!S152</f>
        <v>0</v>
      </c>
      <c r="U148" s="1220">
        <f t="shared" si="6"/>
        <v>0</v>
      </c>
      <c r="V148" s="1138">
        <f t="shared" si="7"/>
        <v>1424000</v>
      </c>
      <c r="W148" s="1261">
        <v>1424000</v>
      </c>
      <c r="X148" s="1138">
        <v>1424000</v>
      </c>
    </row>
    <row r="149" spans="2:24" s="1139" customFormat="1" ht="12.75">
      <c r="B149" s="1244"/>
      <c r="C149" s="1245"/>
      <c r="D149" s="1248"/>
      <c r="E149" s="1245"/>
      <c r="F149" s="1254">
        <v>97</v>
      </c>
      <c r="G149" s="1255">
        <v>463</v>
      </c>
      <c r="H149" s="1682" t="s">
        <v>103</v>
      </c>
      <c r="I149" s="1683"/>
      <c r="J149" s="1684"/>
      <c r="K149" s="1262">
        <v>160000</v>
      </c>
      <c r="L149" s="1242">
        <v>7440</v>
      </c>
      <c r="M149" s="1112">
        <f>'Rashodi-2021'!M183+'Rashodi-2021'!M168+'Rashodi-2021'!M153</f>
        <v>574000</v>
      </c>
      <c r="N149" s="1112" t="e">
        <f>'Rashodi-2021'!#REF!+'Rashodi-2021'!#REF!+'Rashodi-2021'!#REF!</f>
        <v>#REF!</v>
      </c>
      <c r="O149" s="1215">
        <f>'Rashodi-2021'!N153</f>
        <v>0</v>
      </c>
      <c r="P149" s="1208">
        <f>'Rashodi-2021'!O153</f>
        <v>0</v>
      </c>
      <c r="Q149" s="1208">
        <f>'Rashodi-2021'!P153</f>
        <v>0</v>
      </c>
      <c r="R149" s="1208">
        <f>'Rashodi-2021'!Q153</f>
        <v>0</v>
      </c>
      <c r="S149" s="1208">
        <f>'Rashodi-2021'!R153</f>
        <v>0</v>
      </c>
      <c r="T149" s="1208">
        <f>'Rashodi-2021'!S153</f>
        <v>0</v>
      </c>
      <c r="U149" s="1220">
        <f t="shared" si="6"/>
        <v>0</v>
      </c>
      <c r="V149" s="1138">
        <f t="shared" si="7"/>
        <v>574000</v>
      </c>
      <c r="W149" s="1261">
        <v>574000</v>
      </c>
      <c r="X149" s="1138">
        <v>574000</v>
      </c>
    </row>
    <row r="150" spans="2:24" s="1139" customFormat="1" ht="12.75">
      <c r="B150" s="1244"/>
      <c r="C150" s="1245"/>
      <c r="D150" s="1248"/>
      <c r="E150" s="1245"/>
      <c r="F150" s="1254">
        <v>99</v>
      </c>
      <c r="G150" s="1255">
        <v>463</v>
      </c>
      <c r="H150" s="1682" t="s">
        <v>104</v>
      </c>
      <c r="I150" s="1683"/>
      <c r="J150" s="1684"/>
      <c r="K150" s="1262">
        <v>3604977.9</v>
      </c>
      <c r="L150" s="1242">
        <v>125507</v>
      </c>
      <c r="M150" s="1112">
        <f>'Rashodi-2021'!M154+'Rashodi-2021'!M169+'Rashodi-2021'!M184</f>
        <v>1065200</v>
      </c>
      <c r="N150" s="1112" t="e">
        <f>'Rashodi-2021'!#REF!+'Rashodi-2021'!#REF!+'Rashodi-2021'!#REF!</f>
        <v>#REF!</v>
      </c>
      <c r="O150" s="1215">
        <f>'Rashodi-2021'!N154</f>
        <v>0</v>
      </c>
      <c r="P150" s="1208">
        <f>'Rashodi-2021'!O154</f>
        <v>0</v>
      </c>
      <c r="Q150" s="1208">
        <f>'Rashodi-2021'!P154</f>
        <v>0</v>
      </c>
      <c r="R150" s="1208">
        <f>'Rashodi-2021'!Q154</f>
        <v>0</v>
      </c>
      <c r="S150" s="1208">
        <f>'Rashodi-2021'!R154</f>
        <v>0</v>
      </c>
      <c r="T150" s="1208">
        <f>'Rashodi-2021'!S154</f>
        <v>0</v>
      </c>
      <c r="U150" s="1220">
        <f t="shared" si="6"/>
        <v>0</v>
      </c>
      <c r="V150" s="1138">
        <f t="shared" si="7"/>
        <v>1065200</v>
      </c>
      <c r="W150" s="1261">
        <v>1065200</v>
      </c>
      <c r="X150" s="1138">
        <v>1065200</v>
      </c>
    </row>
    <row r="151" spans="2:24" s="1139" customFormat="1" ht="12.75">
      <c r="B151" s="1244"/>
      <c r="C151" s="1245"/>
      <c r="D151" s="1248"/>
      <c r="E151" s="1245"/>
      <c r="F151" s="1254">
        <v>100</v>
      </c>
      <c r="G151" s="1255">
        <v>463</v>
      </c>
      <c r="H151" s="1256" t="s">
        <v>105</v>
      </c>
      <c r="I151" s="1257"/>
      <c r="J151" s="1258"/>
      <c r="K151" s="1259">
        <v>1152000</v>
      </c>
      <c r="L151" s="1260">
        <v>552638.2699999999</v>
      </c>
      <c r="M151" s="1112">
        <f>'Rashodi-2021'!M170+'Rashodi-2021'!M185+'Rashodi-2021'!M155</f>
        <v>2331000</v>
      </c>
      <c r="N151" s="1112" t="e">
        <f>'Rashodi-2021'!#REF!+'Rashodi-2021'!#REF!+'Rashodi-2021'!#REF!</f>
        <v>#REF!</v>
      </c>
      <c r="O151" s="1215">
        <f>'Rashodi-2021'!N155</f>
        <v>0</v>
      </c>
      <c r="P151" s="1208">
        <f>'Rashodi-2021'!O155</f>
        <v>0</v>
      </c>
      <c r="Q151" s="1208">
        <f>'Rashodi-2021'!P155</f>
        <v>0</v>
      </c>
      <c r="R151" s="1208">
        <f>'Rashodi-2021'!Q155</f>
        <v>0</v>
      </c>
      <c r="S151" s="1208">
        <f>'Rashodi-2021'!R155</f>
        <v>0</v>
      </c>
      <c r="T151" s="1208">
        <f>'Rashodi-2021'!S155</f>
        <v>0</v>
      </c>
      <c r="U151" s="1220">
        <f t="shared" si="6"/>
        <v>0</v>
      </c>
      <c r="V151" s="1138">
        <f t="shared" si="7"/>
        <v>2331000</v>
      </c>
      <c r="W151" s="1261">
        <v>2331000</v>
      </c>
      <c r="X151" s="1138">
        <v>2331000</v>
      </c>
    </row>
    <row r="152" spans="2:24" s="1139" customFormat="1" ht="12.75">
      <c r="B152" s="1244"/>
      <c r="C152" s="1245"/>
      <c r="D152" s="1248"/>
      <c r="E152" s="1245"/>
      <c r="F152" s="1254">
        <v>101</v>
      </c>
      <c r="G152" s="1255">
        <v>463</v>
      </c>
      <c r="H152" s="1256" t="s">
        <v>1164</v>
      </c>
      <c r="I152" s="1257"/>
      <c r="J152" s="1258"/>
      <c r="K152" s="1259">
        <v>0</v>
      </c>
      <c r="L152" s="1260">
        <v>0</v>
      </c>
      <c r="M152" s="1112">
        <f>'Rashodi-2021'!M156</f>
        <v>880000</v>
      </c>
      <c r="N152" s="1112" t="e">
        <f>'Rashodi-2021'!#REF!</f>
        <v>#REF!</v>
      </c>
      <c r="O152" s="1215">
        <f>'Rashodi-2021'!N156</f>
        <v>0</v>
      </c>
      <c r="P152" s="1208">
        <f>'Rashodi-2021'!O156</f>
        <v>0</v>
      </c>
      <c r="Q152" s="1208">
        <f>'Rashodi-2021'!P156</f>
        <v>0</v>
      </c>
      <c r="R152" s="1208">
        <f>'Rashodi-2021'!Q156</f>
        <v>0</v>
      </c>
      <c r="S152" s="1208">
        <f>'Rashodi-2021'!R156</f>
        <v>0</v>
      </c>
      <c r="T152" s="1208">
        <f>'Rashodi-2021'!S156</f>
        <v>0</v>
      </c>
      <c r="U152" s="1220">
        <f t="shared" si="6"/>
        <v>0</v>
      </c>
      <c r="V152" s="1138">
        <f t="shared" si="7"/>
        <v>880000</v>
      </c>
      <c r="W152" s="1261">
        <v>880000</v>
      </c>
      <c r="X152" s="1138">
        <v>880000</v>
      </c>
    </row>
    <row r="153" spans="2:24" s="1139" customFormat="1" ht="12.75">
      <c r="B153" s="1244"/>
      <c r="C153" s="1245"/>
      <c r="D153" s="1248"/>
      <c r="E153" s="1245"/>
      <c r="F153" s="1254">
        <v>102</v>
      </c>
      <c r="G153" s="1255">
        <v>463</v>
      </c>
      <c r="H153" s="1682" t="s">
        <v>106</v>
      </c>
      <c r="I153" s="1683"/>
      <c r="J153" s="1684"/>
      <c r="K153" s="1262">
        <v>100000</v>
      </c>
      <c r="L153" s="1242">
        <v>27239</v>
      </c>
      <c r="M153" s="1112">
        <f>'Rashodi-2021'!M171+'Rashodi-2021'!M186+'Rashodi-2021'!M157</f>
        <v>769000</v>
      </c>
      <c r="N153" s="1429" t="e">
        <f>'Rashodi-2021'!#REF!+'Rashodi-2021'!#REF!+'Rashodi-2021'!#REF!</f>
        <v>#REF!</v>
      </c>
      <c r="O153" s="1215">
        <f>'Rashodi-2021'!N157</f>
        <v>0</v>
      </c>
      <c r="P153" s="1208">
        <f>'Rashodi-2021'!O157</f>
        <v>0</v>
      </c>
      <c r="Q153" s="1208">
        <f>'Rashodi-2021'!P157</f>
        <v>0</v>
      </c>
      <c r="R153" s="1208">
        <f>'Rashodi-2021'!Q157</f>
        <v>0</v>
      </c>
      <c r="S153" s="1208">
        <f>'Rashodi-2021'!R157</f>
        <v>0</v>
      </c>
      <c r="T153" s="1208">
        <f>'Rashodi-2021'!S157</f>
        <v>0</v>
      </c>
      <c r="U153" s="1220">
        <f t="shared" si="6"/>
        <v>0</v>
      </c>
      <c r="V153" s="1138">
        <f t="shared" si="7"/>
        <v>769000</v>
      </c>
      <c r="W153" s="1261">
        <v>769000</v>
      </c>
      <c r="X153" s="1138">
        <v>769000</v>
      </c>
    </row>
    <row r="154" spans="2:24" s="1139" customFormat="1" ht="12.75">
      <c r="B154" s="1244"/>
      <c r="C154" s="1245"/>
      <c r="D154" s="1248"/>
      <c r="E154" s="1245"/>
      <c r="F154" s="1254"/>
      <c r="G154" s="1255">
        <v>463</v>
      </c>
      <c r="H154" s="1685" t="s">
        <v>1340</v>
      </c>
      <c r="I154" s="1686"/>
      <c r="J154" s="1687"/>
      <c r="K154" s="1262"/>
      <c r="L154" s="1242"/>
      <c r="M154" s="1112">
        <f>'Rashodi-2021'!M187</f>
        <v>50000</v>
      </c>
      <c r="N154" s="1112" t="e">
        <f>'Rashodi-2021'!#REF!</f>
        <v>#REF!</v>
      </c>
      <c r="O154" s="1215"/>
      <c r="P154" s="1208"/>
      <c r="Q154" s="1208"/>
      <c r="R154" s="1208"/>
      <c r="S154" s="1208"/>
      <c r="T154" s="1208"/>
      <c r="U154" s="1220"/>
      <c r="V154" s="1138">
        <f t="shared" si="7"/>
        <v>50000</v>
      </c>
      <c r="W154" s="1261">
        <v>50000</v>
      </c>
      <c r="X154" s="1138">
        <v>50000</v>
      </c>
    </row>
    <row r="155" spans="2:24" s="1139" customFormat="1" ht="12.75">
      <c r="B155" s="1244"/>
      <c r="C155" s="1245"/>
      <c r="D155" s="1248"/>
      <c r="E155" s="1245"/>
      <c r="F155" s="1254">
        <v>103</v>
      </c>
      <c r="G155" s="1255">
        <v>463</v>
      </c>
      <c r="H155" s="1682" t="s">
        <v>221</v>
      </c>
      <c r="I155" s="1683"/>
      <c r="J155" s="1684"/>
      <c r="K155" s="1262">
        <v>500000</v>
      </c>
      <c r="L155" s="1242">
        <v>0</v>
      </c>
      <c r="M155" s="1112">
        <f>'Rashodi-2021'!M158+'Rashodi-2021'!M172+'Rashodi-2021'!M189</f>
        <v>550000</v>
      </c>
      <c r="N155" s="1112" t="e">
        <f>'Rashodi-2021'!#REF!+'Rashodi-2021'!#REF!+'Rashodi-2021'!#REF!</f>
        <v>#REF!</v>
      </c>
      <c r="O155" s="1215">
        <f>'Rashodi-2021'!N158</f>
        <v>0</v>
      </c>
      <c r="P155" s="1208">
        <f>'Rashodi-2021'!O158</f>
        <v>0</v>
      </c>
      <c r="Q155" s="1208">
        <f>'Rashodi-2021'!P158</f>
        <v>0</v>
      </c>
      <c r="R155" s="1208">
        <f>'Rashodi-2021'!Q158</f>
        <v>0</v>
      </c>
      <c r="S155" s="1208">
        <f>'Rashodi-2021'!R158</f>
        <v>0</v>
      </c>
      <c r="T155" s="1208">
        <f>'Rashodi-2021'!S158</f>
        <v>0</v>
      </c>
      <c r="U155" s="1220">
        <f t="shared" si="6"/>
        <v>0</v>
      </c>
      <c r="V155" s="1138">
        <f t="shared" si="7"/>
        <v>550000</v>
      </c>
      <c r="W155" s="1261">
        <v>550000</v>
      </c>
      <c r="X155" s="1138">
        <v>550000</v>
      </c>
    </row>
    <row r="156" spans="2:24" s="1139" customFormat="1" ht="12.75">
      <c r="B156" s="1244"/>
      <c r="C156" s="1245"/>
      <c r="D156" s="1248"/>
      <c r="E156" s="1245"/>
      <c r="F156" s="1254">
        <v>104</v>
      </c>
      <c r="G156" s="1255">
        <v>463</v>
      </c>
      <c r="H156" s="1256" t="s">
        <v>107</v>
      </c>
      <c r="I156" s="1257"/>
      <c r="J156" s="1263"/>
      <c r="K156" s="1262">
        <v>200000</v>
      </c>
      <c r="L156" s="1242">
        <v>82848</v>
      </c>
      <c r="M156" s="1112">
        <f>'Rashodi-2021'!M188+'Rashodi-2021'!M173+'Rashodi-2021'!M159</f>
        <v>5300000</v>
      </c>
      <c r="N156" s="1112" t="e">
        <f>'Rashodi-2021'!#REF!+'Rashodi-2021'!#REF!+'Rashodi-2021'!#REF!</f>
        <v>#REF!</v>
      </c>
      <c r="O156" s="1215">
        <f>'Rashodi-2021'!N159</f>
        <v>0</v>
      </c>
      <c r="P156" s="1208">
        <f>'Rashodi-2021'!O159</f>
        <v>0</v>
      </c>
      <c r="Q156" s="1208">
        <f>'Rashodi-2021'!P159</f>
        <v>0</v>
      </c>
      <c r="R156" s="1208">
        <f>'Rashodi-2021'!Q159</f>
        <v>0</v>
      </c>
      <c r="S156" s="1208">
        <f>'Rashodi-2021'!R159</f>
        <v>0</v>
      </c>
      <c r="T156" s="1208">
        <f>'Rashodi-2021'!S159</f>
        <v>0</v>
      </c>
      <c r="U156" s="1220">
        <f t="shared" si="6"/>
        <v>0</v>
      </c>
      <c r="V156" s="1138">
        <f t="shared" si="7"/>
        <v>5300000</v>
      </c>
      <c r="W156" s="1261">
        <v>5300000</v>
      </c>
      <c r="X156" s="1138">
        <v>5300000</v>
      </c>
    </row>
    <row r="157" spans="2:24" s="1139" customFormat="1" ht="12.75">
      <c r="B157" s="1427"/>
      <c r="C157" s="1132"/>
      <c r="D157" s="1133"/>
      <c r="E157" s="1132"/>
      <c r="F157" s="1351"/>
      <c r="G157" s="1283">
        <v>463</v>
      </c>
      <c r="H157" s="1333" t="s">
        <v>1360</v>
      </c>
      <c r="I157" s="1304"/>
      <c r="J157" s="1304"/>
      <c r="K157" s="1327"/>
      <c r="L157" s="1327"/>
      <c r="M157" s="1112">
        <f>'Rashodi-2021'!M174</f>
        <v>40000</v>
      </c>
      <c r="N157" s="1112" t="e">
        <f>'Rashodi-2021'!#REF!</f>
        <v>#REF!</v>
      </c>
      <c r="O157" s="1215"/>
      <c r="P157" s="1208"/>
      <c r="Q157" s="1208"/>
      <c r="R157" s="1208"/>
      <c r="S157" s="1208"/>
      <c r="T157" s="1208"/>
      <c r="U157" s="1229"/>
      <c r="V157" s="1138">
        <f t="shared" si="7"/>
        <v>40000</v>
      </c>
      <c r="W157" s="1428">
        <v>40000</v>
      </c>
      <c r="X157" s="1138">
        <v>40000</v>
      </c>
    </row>
    <row r="158" spans="2:24" ht="12.75">
      <c r="B158" s="284"/>
      <c r="C158" s="285"/>
      <c r="D158" s="428"/>
      <c r="E158" s="610" t="s">
        <v>290</v>
      </c>
      <c r="F158" s="428"/>
      <c r="G158" s="429"/>
      <c r="H158" s="1520" t="s">
        <v>1266</v>
      </c>
      <c r="I158" s="1521"/>
      <c r="J158" s="1521"/>
      <c r="K158" s="1091">
        <f>K159</f>
        <v>5437550</v>
      </c>
      <c r="L158" s="1123">
        <f>L159</f>
        <v>3333699.33</v>
      </c>
      <c r="M158" s="957">
        <f>'Rashodi-2021'!M190</f>
        <v>6875439</v>
      </c>
      <c r="N158" s="957" t="e">
        <f>'Rashodi-2021'!#REF!</f>
        <v>#REF!</v>
      </c>
      <c r="O158" s="1213">
        <f>'Rashodi-2021'!N190</f>
        <v>0</v>
      </c>
      <c r="P158" s="1189">
        <f>'Rashodi-2021'!O190</f>
        <v>0</v>
      </c>
      <c r="Q158" s="1189">
        <f>'Rashodi-2021'!P190</f>
        <v>0</v>
      </c>
      <c r="R158" s="1189">
        <f>'Rashodi-2021'!Q190</f>
        <v>0</v>
      </c>
      <c r="S158" s="1189">
        <f>'Rashodi-2021'!R190</f>
        <v>0</v>
      </c>
      <c r="T158" s="1189">
        <f>'Rashodi-2021'!S190</f>
        <v>0</v>
      </c>
      <c r="U158" s="1190">
        <f t="shared" si="6"/>
        <v>0</v>
      </c>
      <c r="V158" s="1107">
        <f>'Rashodi-2021'!U190</f>
        <v>6875439</v>
      </c>
      <c r="W158" s="1432">
        <v>6875439</v>
      </c>
      <c r="X158" s="848">
        <v>6875439</v>
      </c>
    </row>
    <row r="159" spans="2:24" ht="13.5" customHeight="1">
      <c r="B159" s="284"/>
      <c r="C159" s="285"/>
      <c r="D159" s="428"/>
      <c r="E159" s="346" t="s">
        <v>293</v>
      </c>
      <c r="F159" s="428"/>
      <c r="G159" s="429"/>
      <c r="H159" s="1489" t="s">
        <v>1213</v>
      </c>
      <c r="I159" s="1490"/>
      <c r="J159" s="1490"/>
      <c r="K159" s="1062">
        <f>K160</f>
        <v>5437550</v>
      </c>
      <c r="L159" s="1114">
        <f>L160</f>
        <v>3333699.33</v>
      </c>
      <c r="M159" s="1128">
        <f>'Rashodi-2021'!M191</f>
        <v>6875439</v>
      </c>
      <c r="N159" s="1128" t="e">
        <f>'Rashodi-2021'!#REF!</f>
        <v>#REF!</v>
      </c>
      <c r="O159" s="1214">
        <f>'Rashodi-2021'!N191</f>
        <v>0</v>
      </c>
      <c r="P159" s="1194">
        <f>'Rashodi-2021'!O191</f>
        <v>0</v>
      </c>
      <c r="Q159" s="1194">
        <f>'Rashodi-2021'!P191</f>
        <v>0</v>
      </c>
      <c r="R159" s="1194">
        <f>'Rashodi-2021'!Q191</f>
        <v>0</v>
      </c>
      <c r="S159" s="1194">
        <f>'Rashodi-2021'!R191</f>
        <v>0</v>
      </c>
      <c r="T159" s="1194">
        <f>'Rashodi-2021'!S191</f>
        <v>0</v>
      </c>
      <c r="U159" s="1195">
        <f t="shared" si="6"/>
        <v>0</v>
      </c>
      <c r="V159" s="1196">
        <f>'Rashodi-2021'!U191</f>
        <v>6875439</v>
      </c>
      <c r="W159" s="652">
        <v>6875439</v>
      </c>
      <c r="X159" s="652">
        <v>6875439</v>
      </c>
    </row>
    <row r="160" spans="2:24" s="1139" customFormat="1" ht="12.75">
      <c r="B160" s="1286"/>
      <c r="C160" s="1245"/>
      <c r="D160" s="1246">
        <v>920</v>
      </c>
      <c r="E160" s="1247"/>
      <c r="F160" s="1248"/>
      <c r="G160" s="1249"/>
      <c r="H160" s="1694" t="s">
        <v>108</v>
      </c>
      <c r="I160" s="1695"/>
      <c r="J160" s="1696"/>
      <c r="K160" s="1284">
        <f>SUM(K161:K171)</f>
        <v>5437550</v>
      </c>
      <c r="L160" s="1285">
        <f>SUM(L161:L171)</f>
        <v>3333699.33</v>
      </c>
      <c r="M160" s="1130">
        <f>'Rashodi-2021'!M192</f>
        <v>6875439</v>
      </c>
      <c r="N160" s="1130" t="e">
        <f>'Rashodi-2021'!#REF!</f>
        <v>#REF!</v>
      </c>
      <c r="O160" s="1216">
        <f>'Rashodi-2021'!N192</f>
        <v>0</v>
      </c>
      <c r="P160" s="1202">
        <f>'Rashodi-2021'!O192</f>
        <v>0</v>
      </c>
      <c r="Q160" s="1202">
        <f>'Rashodi-2021'!P192</f>
        <v>0</v>
      </c>
      <c r="R160" s="1202">
        <f>'Rashodi-2021'!Q192</f>
        <v>0</v>
      </c>
      <c r="S160" s="1202">
        <f>'Rashodi-2021'!R192</f>
        <v>0</v>
      </c>
      <c r="T160" s="1202">
        <f>'Rashodi-2021'!S192</f>
        <v>0</v>
      </c>
      <c r="U160" s="1204">
        <f t="shared" si="6"/>
        <v>0</v>
      </c>
      <c r="V160" s="1203">
        <f>'Rashodi-2021'!U192</f>
        <v>6875439</v>
      </c>
      <c r="W160" s="1203">
        <v>6875439</v>
      </c>
      <c r="X160" s="1138">
        <v>6875439</v>
      </c>
    </row>
    <row r="161" spans="2:24" s="1139" customFormat="1" ht="12.75">
      <c r="B161" s="1286"/>
      <c r="C161" s="1245"/>
      <c r="D161" s="1289"/>
      <c r="E161" s="1134"/>
      <c r="F161" s="1248">
        <v>131</v>
      </c>
      <c r="G161" s="1249">
        <v>463</v>
      </c>
      <c r="H161" s="1682" t="s">
        <v>220</v>
      </c>
      <c r="I161" s="1683"/>
      <c r="J161" s="1684"/>
      <c r="K161" s="1262">
        <v>30000</v>
      </c>
      <c r="L161" s="1242">
        <v>27636.26</v>
      </c>
      <c r="M161" s="1112">
        <f>'Rashodi-2021'!M193</f>
        <v>70000</v>
      </c>
      <c r="N161" s="1112" t="e">
        <f>'Rashodi-2021'!#REF!</f>
        <v>#REF!</v>
      </c>
      <c r="O161" s="1215">
        <f>'Rashodi-2021'!N193</f>
        <v>0</v>
      </c>
      <c r="P161" s="1208">
        <f>'Rashodi-2021'!O193</f>
        <v>0</v>
      </c>
      <c r="Q161" s="1208">
        <f>'Rashodi-2021'!P193</f>
        <v>0</v>
      </c>
      <c r="R161" s="1208">
        <f>'Rashodi-2021'!Q193</f>
        <v>0</v>
      </c>
      <c r="S161" s="1208">
        <f>'Rashodi-2021'!R193</f>
        <v>0</v>
      </c>
      <c r="T161" s="1208">
        <f>'Rashodi-2021'!S193</f>
        <v>0</v>
      </c>
      <c r="U161" s="1205">
        <f t="shared" si="6"/>
        <v>0</v>
      </c>
      <c r="V161" s="1138">
        <f>'Rashodi-2021'!U193</f>
        <v>70000</v>
      </c>
      <c r="W161" s="1261">
        <v>70000</v>
      </c>
      <c r="X161" s="1138">
        <v>70000</v>
      </c>
    </row>
    <row r="162" spans="2:24" s="1139" customFormat="1" ht="12.75">
      <c r="B162" s="1286"/>
      <c r="C162" s="1245"/>
      <c r="D162" s="1248"/>
      <c r="E162" s="1245"/>
      <c r="F162" s="1248">
        <v>132</v>
      </c>
      <c r="G162" s="1255">
        <v>463</v>
      </c>
      <c r="H162" s="1682" t="s">
        <v>109</v>
      </c>
      <c r="I162" s="1683"/>
      <c r="J162" s="1684"/>
      <c r="K162" s="1262">
        <v>1215000</v>
      </c>
      <c r="L162" s="1242">
        <v>567666.9</v>
      </c>
      <c r="M162" s="1112">
        <f>'Rashodi-2021'!M194</f>
        <v>2652889</v>
      </c>
      <c r="N162" s="1112" t="e">
        <f>'Rashodi-2021'!#REF!</f>
        <v>#REF!</v>
      </c>
      <c r="O162" s="1215">
        <f>'Rashodi-2021'!N194</f>
        <v>0</v>
      </c>
      <c r="P162" s="1208">
        <f>'Rashodi-2021'!O194</f>
        <v>0</v>
      </c>
      <c r="Q162" s="1208">
        <f>'Rashodi-2021'!P194</f>
        <v>0</v>
      </c>
      <c r="R162" s="1208">
        <f>'Rashodi-2021'!Q194</f>
        <v>0</v>
      </c>
      <c r="S162" s="1208">
        <f>'Rashodi-2021'!R194</f>
        <v>0</v>
      </c>
      <c r="T162" s="1208">
        <f>'Rashodi-2021'!S194</f>
        <v>0</v>
      </c>
      <c r="U162" s="1220">
        <f t="shared" si="6"/>
        <v>0</v>
      </c>
      <c r="V162" s="1138">
        <f>'Rashodi-2021'!U194</f>
        <v>2652889</v>
      </c>
      <c r="W162" s="1261">
        <v>2652889</v>
      </c>
      <c r="X162" s="1138">
        <v>2652889</v>
      </c>
    </row>
    <row r="163" spans="2:24" s="1139" customFormat="1" ht="12.75">
      <c r="B163" s="1286"/>
      <c r="C163" s="1245"/>
      <c r="D163" s="1248"/>
      <c r="E163" s="1245"/>
      <c r="F163" s="1248">
        <v>133</v>
      </c>
      <c r="G163" s="1255">
        <v>463</v>
      </c>
      <c r="H163" s="1256" t="s">
        <v>201</v>
      </c>
      <c r="I163" s="1257"/>
      <c r="J163" s="1263"/>
      <c r="K163" s="1262">
        <v>526073</v>
      </c>
      <c r="L163" s="1242">
        <v>526072.88</v>
      </c>
      <c r="M163" s="1112">
        <f>'Rashodi-2021'!M195</f>
        <v>255000</v>
      </c>
      <c r="N163" s="1112" t="e">
        <f>'Rashodi-2021'!#REF!</f>
        <v>#REF!</v>
      </c>
      <c r="O163" s="1215">
        <f>'Rashodi-2021'!N195</f>
        <v>0</v>
      </c>
      <c r="P163" s="1208">
        <f>'Rashodi-2021'!O195</f>
        <v>0</v>
      </c>
      <c r="Q163" s="1208">
        <f>'Rashodi-2021'!P195</f>
        <v>0</v>
      </c>
      <c r="R163" s="1208">
        <f>'Rashodi-2021'!Q195</f>
        <v>0</v>
      </c>
      <c r="S163" s="1208">
        <f>'Rashodi-2021'!R195</f>
        <v>0</v>
      </c>
      <c r="T163" s="1208">
        <f>'Rashodi-2021'!S195</f>
        <v>0</v>
      </c>
      <c r="U163" s="1220">
        <f t="shared" si="6"/>
        <v>0</v>
      </c>
      <c r="V163" s="1138">
        <f>'Rashodi-2021'!U195</f>
        <v>255000</v>
      </c>
      <c r="W163" s="1261">
        <v>255000</v>
      </c>
      <c r="X163" s="1138">
        <v>255000</v>
      </c>
    </row>
    <row r="164" spans="2:24" s="1139" customFormat="1" ht="12.75">
      <c r="B164" s="1286"/>
      <c r="C164" s="1245"/>
      <c r="D164" s="1248"/>
      <c r="E164" s="1245"/>
      <c r="F164" s="1248">
        <v>134</v>
      </c>
      <c r="G164" s="1255">
        <v>463</v>
      </c>
      <c r="H164" s="1682" t="s">
        <v>100</v>
      </c>
      <c r="I164" s="1683"/>
      <c r="J164" s="1684"/>
      <c r="K164" s="1262">
        <v>1912000</v>
      </c>
      <c r="L164" s="1242">
        <v>1022564.4899999996</v>
      </c>
      <c r="M164" s="1112">
        <f>'Rashodi-2021'!M196</f>
        <v>2091000</v>
      </c>
      <c r="N164" s="1112" t="e">
        <f>'Rashodi-2021'!#REF!</f>
        <v>#REF!</v>
      </c>
      <c r="O164" s="1215">
        <f>'Rashodi-2021'!N196</f>
        <v>0</v>
      </c>
      <c r="P164" s="1208">
        <f>'Rashodi-2021'!O196</f>
        <v>0</v>
      </c>
      <c r="Q164" s="1208">
        <f>'Rashodi-2021'!P196</f>
        <v>0</v>
      </c>
      <c r="R164" s="1208">
        <f>'Rashodi-2021'!Q196</f>
        <v>0</v>
      </c>
      <c r="S164" s="1208">
        <f>'Rashodi-2021'!R196</f>
        <v>0</v>
      </c>
      <c r="T164" s="1208">
        <f>'Rashodi-2021'!S196</f>
        <v>0</v>
      </c>
      <c r="U164" s="1220">
        <f t="shared" si="6"/>
        <v>0</v>
      </c>
      <c r="V164" s="1138">
        <f>'Rashodi-2021'!U196</f>
        <v>2091000</v>
      </c>
      <c r="W164" s="1261">
        <v>2091000</v>
      </c>
      <c r="X164" s="1138">
        <v>2091000</v>
      </c>
    </row>
    <row r="165" spans="2:24" s="1139" customFormat="1" ht="12.75">
      <c r="B165" s="1286"/>
      <c r="C165" s="1245"/>
      <c r="D165" s="1248"/>
      <c r="E165" s="1245"/>
      <c r="F165" s="1248">
        <v>135</v>
      </c>
      <c r="G165" s="1255">
        <v>463</v>
      </c>
      <c r="H165" s="1682" t="s">
        <v>101</v>
      </c>
      <c r="I165" s="1683"/>
      <c r="J165" s="1684"/>
      <c r="K165" s="1262">
        <v>70000</v>
      </c>
      <c r="L165" s="1242">
        <v>6500</v>
      </c>
      <c r="M165" s="1112">
        <f>'Rashodi-2021'!M197</f>
        <v>70000</v>
      </c>
      <c r="N165" s="1112" t="e">
        <f>'Rashodi-2021'!#REF!</f>
        <v>#REF!</v>
      </c>
      <c r="O165" s="1215">
        <f>'Rashodi-2021'!N197</f>
        <v>0</v>
      </c>
      <c r="P165" s="1208">
        <f>'Rashodi-2021'!O197</f>
        <v>0</v>
      </c>
      <c r="Q165" s="1208">
        <f>'Rashodi-2021'!P197</f>
        <v>0</v>
      </c>
      <c r="R165" s="1208">
        <f>'Rashodi-2021'!Q197</f>
        <v>0</v>
      </c>
      <c r="S165" s="1208">
        <f>'Rashodi-2021'!R197</f>
        <v>0</v>
      </c>
      <c r="T165" s="1208">
        <f>'Rashodi-2021'!S197</f>
        <v>0</v>
      </c>
      <c r="U165" s="1220">
        <f t="shared" si="6"/>
        <v>0</v>
      </c>
      <c r="V165" s="1138">
        <f>'Rashodi-2021'!U197</f>
        <v>70000</v>
      </c>
      <c r="W165" s="1261">
        <v>70000</v>
      </c>
      <c r="X165" s="1138">
        <v>70000</v>
      </c>
    </row>
    <row r="166" spans="2:24" s="1139" customFormat="1" ht="12.75">
      <c r="B166" s="1286"/>
      <c r="C166" s="1245"/>
      <c r="D166" s="1248"/>
      <c r="E166" s="1245"/>
      <c r="F166" s="1248">
        <v>136</v>
      </c>
      <c r="G166" s="1255">
        <v>463</v>
      </c>
      <c r="H166" s="1682" t="s">
        <v>102</v>
      </c>
      <c r="I166" s="1683"/>
      <c r="J166" s="1684"/>
      <c r="K166" s="1262">
        <v>206550</v>
      </c>
      <c r="L166" s="1242">
        <v>129900</v>
      </c>
      <c r="M166" s="1112">
        <f>'Rashodi-2021'!M198</f>
        <v>206550</v>
      </c>
      <c r="N166" s="1112" t="e">
        <f>'Rashodi-2021'!#REF!</f>
        <v>#REF!</v>
      </c>
      <c r="O166" s="1215">
        <f>'Rashodi-2021'!N198</f>
        <v>0</v>
      </c>
      <c r="P166" s="1208">
        <f>'Rashodi-2021'!O198</f>
        <v>0</v>
      </c>
      <c r="Q166" s="1208">
        <f>'Rashodi-2021'!P198</f>
        <v>0</v>
      </c>
      <c r="R166" s="1208">
        <f>'Rashodi-2021'!Q198</f>
        <v>0</v>
      </c>
      <c r="S166" s="1208">
        <f>'Rashodi-2021'!R198</f>
        <v>0</v>
      </c>
      <c r="T166" s="1208">
        <f>'Rashodi-2021'!S198</f>
        <v>0</v>
      </c>
      <c r="U166" s="1220">
        <f t="shared" si="6"/>
        <v>0</v>
      </c>
      <c r="V166" s="1138">
        <f>'Rashodi-2021'!U198</f>
        <v>206550</v>
      </c>
      <c r="W166" s="1261">
        <v>206550</v>
      </c>
      <c r="X166" s="1138">
        <v>206550</v>
      </c>
    </row>
    <row r="167" spans="2:24" s="1139" customFormat="1" ht="12.75">
      <c r="B167" s="1286"/>
      <c r="C167" s="1245"/>
      <c r="D167" s="1248"/>
      <c r="E167" s="1245"/>
      <c r="F167" s="1248">
        <v>137</v>
      </c>
      <c r="G167" s="1255">
        <v>463</v>
      </c>
      <c r="H167" s="1256" t="s">
        <v>103</v>
      </c>
      <c r="I167" s="1257"/>
      <c r="J167" s="1263"/>
      <c r="K167" s="1262">
        <v>50000</v>
      </c>
      <c r="L167" s="1242">
        <v>0</v>
      </c>
      <c r="M167" s="1112">
        <f>'Rashodi-2021'!M199</f>
        <v>50000</v>
      </c>
      <c r="N167" s="1112" t="e">
        <f>'Rashodi-2021'!#REF!</f>
        <v>#REF!</v>
      </c>
      <c r="O167" s="1215">
        <f>'Rashodi-2021'!N199</f>
        <v>0</v>
      </c>
      <c r="P167" s="1208">
        <f>'Rashodi-2021'!O199</f>
        <v>0</v>
      </c>
      <c r="Q167" s="1208">
        <f>'Rashodi-2021'!P199</f>
        <v>0</v>
      </c>
      <c r="R167" s="1208">
        <f>'Rashodi-2021'!Q199</f>
        <v>0</v>
      </c>
      <c r="S167" s="1208">
        <f>'Rashodi-2021'!R199</f>
        <v>0</v>
      </c>
      <c r="T167" s="1208">
        <f>'Rashodi-2021'!S199</f>
        <v>0</v>
      </c>
      <c r="U167" s="1220">
        <f t="shared" si="6"/>
        <v>0</v>
      </c>
      <c r="V167" s="1138">
        <f>'Rashodi-2021'!U199</f>
        <v>50000</v>
      </c>
      <c r="W167" s="1261">
        <v>50000</v>
      </c>
      <c r="X167" s="1138">
        <v>50000</v>
      </c>
    </row>
    <row r="168" spans="2:24" s="1139" customFormat="1" ht="12.75">
      <c r="B168" s="1286"/>
      <c r="C168" s="1245"/>
      <c r="D168" s="1248"/>
      <c r="E168" s="1245"/>
      <c r="F168" s="1248">
        <v>138</v>
      </c>
      <c r="G168" s="1255">
        <v>463</v>
      </c>
      <c r="H168" s="1682" t="s">
        <v>104</v>
      </c>
      <c r="I168" s="1683"/>
      <c r="J168" s="1684"/>
      <c r="K168" s="1262">
        <v>473620</v>
      </c>
      <c r="L168" s="1242">
        <v>224653</v>
      </c>
      <c r="M168" s="1112">
        <f>'Rashodi-2021'!M200</f>
        <v>460000</v>
      </c>
      <c r="N168" s="1112" t="e">
        <f>'Rashodi-2021'!#REF!</f>
        <v>#REF!</v>
      </c>
      <c r="O168" s="1215">
        <f>'Rashodi-2021'!N200</f>
        <v>0</v>
      </c>
      <c r="P168" s="1208">
        <f>'Rashodi-2021'!O200</f>
        <v>0</v>
      </c>
      <c r="Q168" s="1208">
        <f>'Rashodi-2021'!P200</f>
        <v>0</v>
      </c>
      <c r="R168" s="1208">
        <f>'Rashodi-2021'!Q200</f>
        <v>0</v>
      </c>
      <c r="S168" s="1208">
        <f>'Rashodi-2021'!R200</f>
        <v>0</v>
      </c>
      <c r="T168" s="1208">
        <f>'Rashodi-2021'!S200</f>
        <v>0</v>
      </c>
      <c r="U168" s="1220">
        <f t="shared" si="6"/>
        <v>0</v>
      </c>
      <c r="V168" s="1138">
        <f>'Rashodi-2021'!U200</f>
        <v>460000</v>
      </c>
      <c r="W168" s="1261">
        <v>460000</v>
      </c>
      <c r="X168" s="1138">
        <v>460000</v>
      </c>
    </row>
    <row r="169" spans="2:24" s="1139" customFormat="1" ht="12.75">
      <c r="B169" s="1286"/>
      <c r="C169" s="1245"/>
      <c r="D169" s="1248"/>
      <c r="E169" s="1245"/>
      <c r="F169" s="1254">
        <v>139</v>
      </c>
      <c r="G169" s="1255">
        <v>463</v>
      </c>
      <c r="H169" s="1682" t="s">
        <v>105</v>
      </c>
      <c r="I169" s="1683"/>
      <c r="J169" s="1684"/>
      <c r="K169" s="1262">
        <v>847927</v>
      </c>
      <c r="L169" s="1242">
        <v>732332.8000000002</v>
      </c>
      <c r="M169" s="1112">
        <f>'Rashodi-2021'!M201</f>
        <v>940000</v>
      </c>
      <c r="N169" s="1112" t="e">
        <f>'Rashodi-2021'!#REF!</f>
        <v>#REF!</v>
      </c>
      <c r="O169" s="1215">
        <f>'Rashodi-2021'!N201</f>
        <v>0</v>
      </c>
      <c r="P169" s="1208">
        <f>'Rashodi-2021'!O201</f>
        <v>0</v>
      </c>
      <c r="Q169" s="1208">
        <f>'Rashodi-2021'!P201</f>
        <v>0</v>
      </c>
      <c r="R169" s="1208">
        <f>'Rashodi-2021'!Q201</f>
        <v>0</v>
      </c>
      <c r="S169" s="1208">
        <f>'Rashodi-2021'!R201</f>
        <v>0</v>
      </c>
      <c r="T169" s="1208">
        <f>'Rashodi-2021'!S201</f>
        <v>0</v>
      </c>
      <c r="U169" s="1220">
        <f t="shared" si="6"/>
        <v>0</v>
      </c>
      <c r="V169" s="1138">
        <f>'Rashodi-2021'!U201</f>
        <v>940000</v>
      </c>
      <c r="W169" s="1261">
        <v>940000</v>
      </c>
      <c r="X169" s="1138">
        <v>940000</v>
      </c>
    </row>
    <row r="170" spans="2:24" s="1139" customFormat="1" ht="12.75">
      <c r="B170" s="1286"/>
      <c r="C170" s="1245"/>
      <c r="D170" s="1248"/>
      <c r="E170" s="1245"/>
      <c r="F170" s="1254">
        <v>141</v>
      </c>
      <c r="G170" s="1255">
        <v>463</v>
      </c>
      <c r="H170" s="1682" t="s">
        <v>106</v>
      </c>
      <c r="I170" s="1683"/>
      <c r="J170" s="1684"/>
      <c r="K170" s="1262">
        <v>15000</v>
      </c>
      <c r="L170" s="1242">
        <v>4993</v>
      </c>
      <c r="M170" s="1112">
        <f>'Rashodi-2021'!M202</f>
        <v>15000</v>
      </c>
      <c r="N170" s="1112" t="e">
        <f>'Rashodi-2021'!#REF!</f>
        <v>#REF!</v>
      </c>
      <c r="O170" s="1215">
        <f>'Rashodi-2021'!N202</f>
        <v>0</v>
      </c>
      <c r="P170" s="1208">
        <f>'Rashodi-2021'!O202</f>
        <v>0</v>
      </c>
      <c r="Q170" s="1208">
        <f>'Rashodi-2021'!P202</f>
        <v>0</v>
      </c>
      <c r="R170" s="1208">
        <f>'Rashodi-2021'!Q202</f>
        <v>0</v>
      </c>
      <c r="S170" s="1208">
        <f>'Rashodi-2021'!R202</f>
        <v>0</v>
      </c>
      <c r="T170" s="1208">
        <f>'Rashodi-2021'!S202</f>
        <v>0</v>
      </c>
      <c r="U170" s="1220">
        <f t="shared" si="6"/>
        <v>0</v>
      </c>
      <c r="V170" s="1138">
        <f>'Rashodi-2021'!U202</f>
        <v>15000</v>
      </c>
      <c r="W170" s="1261">
        <v>15000</v>
      </c>
      <c r="X170" s="1138">
        <v>15000</v>
      </c>
    </row>
    <row r="171" spans="2:24" s="1139" customFormat="1" ht="12.75">
      <c r="B171" s="1286"/>
      <c r="C171" s="1245"/>
      <c r="D171" s="1248"/>
      <c r="E171" s="1245"/>
      <c r="F171" s="1254">
        <v>142</v>
      </c>
      <c r="G171" s="1255">
        <v>463</v>
      </c>
      <c r="H171" s="1256" t="s">
        <v>107</v>
      </c>
      <c r="I171" s="1257"/>
      <c r="J171" s="1263"/>
      <c r="K171" s="1264">
        <v>91380</v>
      </c>
      <c r="L171" s="1265">
        <v>91380</v>
      </c>
      <c r="M171" s="1112">
        <f>'Rashodi-2021'!M203</f>
        <v>65000</v>
      </c>
      <c r="N171" s="1112" t="e">
        <f>'Rashodi-2021'!#REF!</f>
        <v>#REF!</v>
      </c>
      <c r="O171" s="1215">
        <f>'Rashodi-2021'!N203</f>
        <v>0</v>
      </c>
      <c r="P171" s="1208">
        <f>'Rashodi-2021'!O203</f>
        <v>0</v>
      </c>
      <c r="Q171" s="1208">
        <f>'Rashodi-2021'!P203</f>
        <v>0</v>
      </c>
      <c r="R171" s="1208">
        <f>'Rashodi-2021'!Q203</f>
        <v>0</v>
      </c>
      <c r="S171" s="1208">
        <f>'Rashodi-2021'!R203</f>
        <v>0</v>
      </c>
      <c r="T171" s="1208">
        <f>'Rashodi-2021'!S203</f>
        <v>0</v>
      </c>
      <c r="U171" s="1220">
        <f t="shared" si="6"/>
        <v>0</v>
      </c>
      <c r="V171" s="1138">
        <f>'Rashodi-2021'!U203</f>
        <v>65000</v>
      </c>
      <c r="W171" s="1261">
        <v>65000</v>
      </c>
      <c r="X171" s="1138">
        <v>65000</v>
      </c>
    </row>
    <row r="172" spans="2:24" ht="12.75">
      <c r="B172" s="284"/>
      <c r="C172" s="285"/>
      <c r="D172" s="428"/>
      <c r="E172" s="610" t="s">
        <v>296</v>
      </c>
      <c r="F172" s="428"/>
      <c r="G172" s="429"/>
      <c r="H172" s="1520" t="s">
        <v>298</v>
      </c>
      <c r="I172" s="1521"/>
      <c r="J172" s="1521"/>
      <c r="K172" s="1072">
        <f>K173+K191+K199+K207</f>
        <v>40909000</v>
      </c>
      <c r="L172" s="1122">
        <f>L173+L191+L199+L207</f>
        <v>29170816.41</v>
      </c>
      <c r="M172" s="957">
        <f>'Rashodi-2021'!M204</f>
        <v>49129000</v>
      </c>
      <c r="N172" s="957" t="e">
        <f>'Rashodi-2021'!#REF!</f>
        <v>#REF!</v>
      </c>
      <c r="O172" s="1213">
        <f>'Rashodi-2021'!N204</f>
        <v>0</v>
      </c>
      <c r="P172" s="1189">
        <f>'Rashodi-2021'!O204</f>
        <v>0</v>
      </c>
      <c r="Q172" s="1189">
        <f>'Rashodi-2021'!P204</f>
        <v>2758999</v>
      </c>
      <c r="R172" s="1189">
        <f>'Rashodi-2021'!Q204</f>
        <v>0</v>
      </c>
      <c r="S172" s="1189">
        <f>'Rashodi-2021'!R204</f>
        <v>0</v>
      </c>
      <c r="T172" s="1189">
        <f>'Rashodi-2021'!S204</f>
        <v>0</v>
      </c>
      <c r="U172" s="1190">
        <f t="shared" si="6"/>
        <v>2758999</v>
      </c>
      <c r="V172" s="1107">
        <f>'Rashodi-2021'!U204</f>
        <v>51887999</v>
      </c>
      <c r="W172" s="848">
        <v>51887999</v>
      </c>
      <c r="X172" s="848">
        <v>51887999</v>
      </c>
    </row>
    <row r="173" spans="2:24" ht="28.5" customHeight="1">
      <c r="B173" s="284"/>
      <c r="C173" s="285"/>
      <c r="D173" s="428"/>
      <c r="E173" s="346" t="s">
        <v>297</v>
      </c>
      <c r="F173" s="428"/>
      <c r="G173" s="429"/>
      <c r="H173" s="1489" t="s">
        <v>1322</v>
      </c>
      <c r="I173" s="1490"/>
      <c r="J173" s="1490"/>
      <c r="K173" s="1062">
        <f>K174</f>
        <v>6679000</v>
      </c>
      <c r="L173" s="1114">
        <f>L174</f>
        <v>3572151.5199999996</v>
      </c>
      <c r="M173" s="1128">
        <f>'Rashodi-2021'!M205</f>
        <v>7162000</v>
      </c>
      <c r="N173" s="1128" t="e">
        <f>'Rashodi-2021'!#REF!</f>
        <v>#REF!</v>
      </c>
      <c r="O173" s="1214">
        <f>'Rashodi-2021'!N205</f>
        <v>0</v>
      </c>
      <c r="P173" s="1194">
        <f>'Rashodi-2021'!O205</f>
        <v>0</v>
      </c>
      <c r="Q173" s="1194">
        <f>'Rashodi-2021'!P205</f>
        <v>0</v>
      </c>
      <c r="R173" s="1194">
        <f>'Rashodi-2021'!Q205</f>
        <v>0</v>
      </c>
      <c r="S173" s="1194">
        <f>'Rashodi-2021'!R205</f>
        <v>0</v>
      </c>
      <c r="T173" s="1194">
        <f>'Rashodi-2021'!S205</f>
        <v>0</v>
      </c>
      <c r="U173" s="1195">
        <f aca="true" t="shared" si="8" ref="U173:U238">SUM(O173:T173)</f>
        <v>0</v>
      </c>
      <c r="V173" s="1196">
        <f>'Rashodi-2021'!U205</f>
        <v>7162000</v>
      </c>
      <c r="W173" s="652">
        <v>7162000</v>
      </c>
      <c r="X173" s="652">
        <v>7162000</v>
      </c>
    </row>
    <row r="174" spans="2:24" s="1139" customFormat="1" ht="12.75">
      <c r="B174" s="1286"/>
      <c r="C174" s="1245"/>
      <c r="D174" s="1247" t="s">
        <v>21</v>
      </c>
      <c r="E174" s="1247"/>
      <c r="F174" s="1248"/>
      <c r="G174" s="1249"/>
      <c r="H174" s="1694" t="s">
        <v>111</v>
      </c>
      <c r="I174" s="1695"/>
      <c r="J174" s="1696"/>
      <c r="K174" s="1284">
        <f>SUM(K175:K190)</f>
        <v>6679000</v>
      </c>
      <c r="L174" s="1285">
        <f>SUM(L175:L190)</f>
        <v>3572151.5199999996</v>
      </c>
      <c r="M174" s="1130">
        <f>'Rashodi-2021'!M206</f>
        <v>7162000</v>
      </c>
      <c r="N174" s="1130" t="e">
        <f>'Rashodi-2021'!#REF!</f>
        <v>#REF!</v>
      </c>
      <c r="O174" s="1216">
        <f>'Rashodi-2021'!N206</f>
        <v>0</v>
      </c>
      <c r="P174" s="1202">
        <f>'Rashodi-2021'!O206</f>
        <v>0</v>
      </c>
      <c r="Q174" s="1202">
        <f>'Rashodi-2021'!P206</f>
        <v>0</v>
      </c>
      <c r="R174" s="1202">
        <f>'Rashodi-2021'!Q206</f>
        <v>0</v>
      </c>
      <c r="S174" s="1202">
        <f>'Rashodi-2021'!R206</f>
        <v>0</v>
      </c>
      <c r="T174" s="1202">
        <f>'Rashodi-2021'!S206</f>
        <v>0</v>
      </c>
      <c r="U174" s="1204">
        <f t="shared" si="8"/>
        <v>0</v>
      </c>
      <c r="V174" s="1203">
        <f>'Rashodi-2021'!U206</f>
        <v>7162000</v>
      </c>
      <c r="W174" s="1203">
        <v>7162000</v>
      </c>
      <c r="X174" s="1138">
        <v>7162000</v>
      </c>
    </row>
    <row r="175" spans="2:24" s="1139" customFormat="1" ht="12.75">
      <c r="B175" s="1286"/>
      <c r="C175" s="1245"/>
      <c r="D175" s="1248"/>
      <c r="E175" s="1245"/>
      <c r="F175" s="1254">
        <v>143</v>
      </c>
      <c r="G175" s="1255">
        <v>463</v>
      </c>
      <c r="H175" s="1682" t="s">
        <v>112</v>
      </c>
      <c r="I175" s="1683"/>
      <c r="J175" s="1684"/>
      <c r="K175" s="1262">
        <v>1095000</v>
      </c>
      <c r="L175" s="1242">
        <v>720804.72</v>
      </c>
      <c r="M175" s="1112">
        <f>'Rashodi-2021'!M207</f>
        <v>1095000</v>
      </c>
      <c r="N175" s="1112" t="e">
        <f>'Rashodi-2021'!#REF!</f>
        <v>#REF!</v>
      </c>
      <c r="O175" s="1215">
        <f>'Rashodi-2021'!N207</f>
        <v>0</v>
      </c>
      <c r="P175" s="1208">
        <f>'Rashodi-2021'!O207</f>
        <v>0</v>
      </c>
      <c r="Q175" s="1208">
        <f>'Rashodi-2021'!P207</f>
        <v>0</v>
      </c>
      <c r="R175" s="1208">
        <f>'Rashodi-2021'!Q207</f>
        <v>0</v>
      </c>
      <c r="S175" s="1208">
        <f>'Rashodi-2021'!R207</f>
        <v>0</v>
      </c>
      <c r="T175" s="1208">
        <f>'Rashodi-2021'!S207</f>
        <v>0</v>
      </c>
      <c r="U175" s="1220">
        <f t="shared" si="8"/>
        <v>0</v>
      </c>
      <c r="V175" s="1138">
        <f>'Rashodi-2021'!U207</f>
        <v>1095000</v>
      </c>
      <c r="W175" s="1261">
        <v>1095000</v>
      </c>
      <c r="X175" s="1138">
        <v>1095000</v>
      </c>
    </row>
    <row r="176" spans="2:24" s="1139" customFormat="1" ht="12.75">
      <c r="B176" s="1286"/>
      <c r="C176" s="1245"/>
      <c r="D176" s="1248"/>
      <c r="E176" s="1245"/>
      <c r="F176" s="1254">
        <v>144</v>
      </c>
      <c r="G176" s="1255">
        <v>463</v>
      </c>
      <c r="H176" s="1682" t="s">
        <v>113</v>
      </c>
      <c r="I176" s="1683"/>
      <c r="J176" s="1684"/>
      <c r="K176" s="1262">
        <v>188000</v>
      </c>
      <c r="L176" s="1242">
        <v>120013.99000000003</v>
      </c>
      <c r="M176" s="1112">
        <f>'Rashodi-2021'!M208</f>
        <v>188000</v>
      </c>
      <c r="N176" s="1112" t="e">
        <f>'Rashodi-2021'!#REF!</f>
        <v>#REF!</v>
      </c>
      <c r="O176" s="1215">
        <f>'Rashodi-2021'!N208</f>
        <v>0</v>
      </c>
      <c r="P176" s="1208">
        <f>'Rashodi-2021'!O208</f>
        <v>0</v>
      </c>
      <c r="Q176" s="1208">
        <f>'Rashodi-2021'!P208</f>
        <v>0</v>
      </c>
      <c r="R176" s="1208">
        <f>'Rashodi-2021'!Q208</f>
        <v>0</v>
      </c>
      <c r="S176" s="1208">
        <f>'Rashodi-2021'!R208</f>
        <v>0</v>
      </c>
      <c r="T176" s="1208">
        <f>'Rashodi-2021'!S208</f>
        <v>0</v>
      </c>
      <c r="U176" s="1220">
        <f t="shared" si="8"/>
        <v>0</v>
      </c>
      <c r="V176" s="1138">
        <f>'Rashodi-2021'!U208</f>
        <v>188000</v>
      </c>
      <c r="W176" s="1261">
        <v>188000</v>
      </c>
      <c r="X176" s="1138">
        <v>188000</v>
      </c>
    </row>
    <row r="177" spans="2:24" s="1139" customFormat="1" ht="12.75">
      <c r="B177" s="1286"/>
      <c r="C177" s="1245"/>
      <c r="D177" s="1248"/>
      <c r="E177" s="1245"/>
      <c r="F177" s="1254">
        <v>145</v>
      </c>
      <c r="G177" s="1255">
        <v>463</v>
      </c>
      <c r="H177" s="1256" t="s">
        <v>220</v>
      </c>
      <c r="I177" s="1257"/>
      <c r="J177" s="1263"/>
      <c r="K177" s="1262">
        <v>1000</v>
      </c>
      <c r="L177" s="1242">
        <v>0</v>
      </c>
      <c r="M177" s="1112">
        <f>'Rashodi-2021'!M209</f>
        <v>1000</v>
      </c>
      <c r="N177" s="1112" t="e">
        <f>'Rashodi-2021'!#REF!</f>
        <v>#REF!</v>
      </c>
      <c r="O177" s="1215">
        <f>'Rashodi-2021'!N209</f>
        <v>0</v>
      </c>
      <c r="P177" s="1208">
        <f>'Rashodi-2021'!O209</f>
        <v>0</v>
      </c>
      <c r="Q177" s="1208">
        <f>'Rashodi-2021'!P209</f>
        <v>0</v>
      </c>
      <c r="R177" s="1208">
        <f>'Rashodi-2021'!Q209</f>
        <v>0</v>
      </c>
      <c r="S177" s="1208">
        <f>'Rashodi-2021'!R209</f>
        <v>0</v>
      </c>
      <c r="T177" s="1208">
        <f>'Rashodi-2021'!S209</f>
        <v>0</v>
      </c>
      <c r="U177" s="1220"/>
      <c r="V177" s="1138">
        <f>'Rashodi-2021'!U209</f>
        <v>1000</v>
      </c>
      <c r="W177" s="1261">
        <v>1000</v>
      </c>
      <c r="X177" s="1138">
        <v>1000</v>
      </c>
    </row>
    <row r="178" spans="2:24" s="1139" customFormat="1" ht="12" customHeight="1">
      <c r="B178" s="1286"/>
      <c r="C178" s="1245"/>
      <c r="D178" s="1248"/>
      <c r="E178" s="1245"/>
      <c r="F178" s="1254">
        <v>146</v>
      </c>
      <c r="G178" s="1255">
        <v>463</v>
      </c>
      <c r="H178" s="1682" t="s">
        <v>99</v>
      </c>
      <c r="I178" s="1683"/>
      <c r="J178" s="1684"/>
      <c r="K178" s="1262">
        <v>330000</v>
      </c>
      <c r="L178" s="1242">
        <v>150123.61</v>
      </c>
      <c r="M178" s="1112">
        <f>'Rashodi-2021'!M210</f>
        <v>320000</v>
      </c>
      <c r="N178" s="1112" t="e">
        <f>'Rashodi-2021'!#REF!</f>
        <v>#REF!</v>
      </c>
      <c r="O178" s="1215">
        <f>'Rashodi-2021'!N210</f>
        <v>0</v>
      </c>
      <c r="P178" s="1208">
        <f>'Rashodi-2021'!O210</f>
        <v>0</v>
      </c>
      <c r="Q178" s="1208">
        <f>'Rashodi-2021'!P210</f>
        <v>0</v>
      </c>
      <c r="R178" s="1208">
        <f>'Rashodi-2021'!Q210</f>
        <v>0</v>
      </c>
      <c r="S178" s="1208">
        <f>'Rashodi-2021'!R210</f>
        <v>0</v>
      </c>
      <c r="T178" s="1208">
        <f>'Rashodi-2021'!S210</f>
        <v>0</v>
      </c>
      <c r="U178" s="1220">
        <f t="shared" si="8"/>
        <v>0</v>
      </c>
      <c r="V178" s="1138">
        <f>'Rashodi-2021'!U210</f>
        <v>320000</v>
      </c>
      <c r="W178" s="1261">
        <v>320000</v>
      </c>
      <c r="X178" s="1138">
        <v>320000</v>
      </c>
    </row>
    <row r="179" spans="2:24" s="1139" customFormat="1" ht="12.75" customHeight="1">
      <c r="B179" s="1286"/>
      <c r="C179" s="1245"/>
      <c r="D179" s="1248"/>
      <c r="E179" s="1245"/>
      <c r="F179" s="1254">
        <v>147</v>
      </c>
      <c r="G179" s="1255">
        <v>463</v>
      </c>
      <c r="H179" s="1685" t="s">
        <v>100</v>
      </c>
      <c r="I179" s="1686"/>
      <c r="J179" s="1687"/>
      <c r="K179" s="1262">
        <v>208000</v>
      </c>
      <c r="L179" s="1242">
        <v>90232</v>
      </c>
      <c r="M179" s="1112">
        <f>'Rashodi-2021'!M211</f>
        <v>280000</v>
      </c>
      <c r="N179" s="1112" t="e">
        <f>'Rashodi-2021'!#REF!</f>
        <v>#REF!</v>
      </c>
      <c r="O179" s="1215">
        <f>'Rashodi-2021'!N211</f>
        <v>0</v>
      </c>
      <c r="P179" s="1208">
        <f>'Rashodi-2021'!O211</f>
        <v>0</v>
      </c>
      <c r="Q179" s="1208">
        <f>'Rashodi-2021'!P211</f>
        <v>0</v>
      </c>
      <c r="R179" s="1208">
        <f>'Rashodi-2021'!Q211</f>
        <v>0</v>
      </c>
      <c r="S179" s="1208">
        <f>'Rashodi-2021'!R211</f>
        <v>0</v>
      </c>
      <c r="T179" s="1208">
        <f>'Rashodi-2021'!S211</f>
        <v>0</v>
      </c>
      <c r="U179" s="1220">
        <f t="shared" si="8"/>
        <v>0</v>
      </c>
      <c r="V179" s="1138">
        <f>'Rashodi-2021'!U211</f>
        <v>280000</v>
      </c>
      <c r="W179" s="1261">
        <v>280000</v>
      </c>
      <c r="X179" s="1138">
        <v>280000</v>
      </c>
    </row>
    <row r="180" spans="2:24" s="1139" customFormat="1" ht="12.75" customHeight="1">
      <c r="B180" s="1286"/>
      <c r="C180" s="1245"/>
      <c r="D180" s="1248"/>
      <c r="E180" s="1245"/>
      <c r="F180" s="1254">
        <v>148</v>
      </c>
      <c r="G180" s="1255">
        <v>463</v>
      </c>
      <c r="H180" s="1685" t="s">
        <v>210</v>
      </c>
      <c r="I180" s="1686"/>
      <c r="J180" s="1687"/>
      <c r="K180" s="1262">
        <v>70000</v>
      </c>
      <c r="L180" s="1242">
        <v>0</v>
      </c>
      <c r="M180" s="1112">
        <f>'Rashodi-2021'!M212</f>
        <v>60000</v>
      </c>
      <c r="N180" s="1112" t="e">
        <f>'Rashodi-2021'!#REF!</f>
        <v>#REF!</v>
      </c>
      <c r="O180" s="1215">
        <f>'Rashodi-2021'!N212</f>
        <v>0</v>
      </c>
      <c r="P180" s="1208">
        <f>'Rashodi-2021'!O212</f>
        <v>0</v>
      </c>
      <c r="Q180" s="1208">
        <f>'Rashodi-2021'!P212</f>
        <v>0</v>
      </c>
      <c r="R180" s="1208">
        <f>'Rashodi-2021'!Q212</f>
        <v>0</v>
      </c>
      <c r="S180" s="1208">
        <f>'Rashodi-2021'!R212</f>
        <v>0</v>
      </c>
      <c r="T180" s="1208">
        <f>'Rashodi-2021'!S212</f>
        <v>0</v>
      </c>
      <c r="U180" s="1220">
        <f t="shared" si="8"/>
        <v>0</v>
      </c>
      <c r="V180" s="1138">
        <f>'Rashodi-2021'!U212</f>
        <v>60000</v>
      </c>
      <c r="W180" s="1261">
        <v>60000</v>
      </c>
      <c r="X180" s="1138">
        <v>60000</v>
      </c>
    </row>
    <row r="181" spans="2:24" s="1139" customFormat="1" ht="12.75">
      <c r="B181" s="1286"/>
      <c r="C181" s="1245"/>
      <c r="D181" s="1248"/>
      <c r="E181" s="1245"/>
      <c r="F181" s="1254">
        <v>149</v>
      </c>
      <c r="G181" s="1255">
        <v>463</v>
      </c>
      <c r="H181" s="1682" t="s">
        <v>102</v>
      </c>
      <c r="I181" s="1683"/>
      <c r="J181" s="1684"/>
      <c r="K181" s="1262">
        <v>2815000</v>
      </c>
      <c r="L181" s="1242">
        <v>1397403.5999999999</v>
      </c>
      <c r="M181" s="1112">
        <f>'Rashodi-2021'!M213</f>
        <v>2546000</v>
      </c>
      <c r="N181" s="1112" t="e">
        <f>'Rashodi-2021'!#REF!</f>
        <v>#REF!</v>
      </c>
      <c r="O181" s="1215">
        <f>'Rashodi-2021'!N213</f>
        <v>0</v>
      </c>
      <c r="P181" s="1208">
        <f>'Rashodi-2021'!O213</f>
        <v>0</v>
      </c>
      <c r="Q181" s="1208">
        <f>'Rashodi-2021'!P213</f>
        <v>0</v>
      </c>
      <c r="R181" s="1208">
        <f>'Rashodi-2021'!Q213</f>
        <v>0</v>
      </c>
      <c r="S181" s="1208">
        <f>'Rashodi-2021'!R213</f>
        <v>0</v>
      </c>
      <c r="T181" s="1208">
        <f>'Rashodi-2021'!S213</f>
        <v>0</v>
      </c>
      <c r="U181" s="1220">
        <f t="shared" si="8"/>
        <v>0</v>
      </c>
      <c r="V181" s="1138">
        <f>'Rashodi-2021'!U213</f>
        <v>2546000</v>
      </c>
      <c r="W181" s="1261">
        <v>2546000</v>
      </c>
      <c r="X181" s="1138">
        <v>2546000</v>
      </c>
    </row>
    <row r="182" spans="2:24" s="1139" customFormat="1" ht="12.75">
      <c r="B182" s="1286"/>
      <c r="C182" s="1245"/>
      <c r="D182" s="1248"/>
      <c r="E182" s="1245"/>
      <c r="F182" s="1254">
        <v>150</v>
      </c>
      <c r="G182" s="1255">
        <v>463</v>
      </c>
      <c r="H182" s="1682" t="s">
        <v>104</v>
      </c>
      <c r="I182" s="1683"/>
      <c r="J182" s="1684"/>
      <c r="K182" s="1262">
        <v>80000</v>
      </c>
      <c r="L182" s="1242">
        <v>25874</v>
      </c>
      <c r="M182" s="1112">
        <f>'Rashodi-2021'!M214</f>
        <v>70000</v>
      </c>
      <c r="N182" s="1112" t="e">
        <f>'Rashodi-2021'!#REF!</f>
        <v>#REF!</v>
      </c>
      <c r="O182" s="1215">
        <f>'Rashodi-2021'!N214</f>
        <v>0</v>
      </c>
      <c r="P182" s="1208">
        <f>'Rashodi-2021'!O214</f>
        <v>0</v>
      </c>
      <c r="Q182" s="1208">
        <f>'Rashodi-2021'!P214</f>
        <v>0</v>
      </c>
      <c r="R182" s="1208">
        <f>'Rashodi-2021'!Q214</f>
        <v>0</v>
      </c>
      <c r="S182" s="1208">
        <f>'Rashodi-2021'!R214</f>
        <v>0</v>
      </c>
      <c r="T182" s="1208">
        <f>'Rashodi-2021'!S214</f>
        <v>0</v>
      </c>
      <c r="U182" s="1220">
        <f t="shared" si="8"/>
        <v>0</v>
      </c>
      <c r="V182" s="1138">
        <f>'Rashodi-2021'!U214</f>
        <v>70000</v>
      </c>
      <c r="W182" s="1261">
        <v>70000</v>
      </c>
      <c r="X182" s="1138">
        <v>70000</v>
      </c>
    </row>
    <row r="183" spans="2:24" s="1139" customFormat="1" ht="12.75">
      <c r="B183" s="1286"/>
      <c r="C183" s="1245"/>
      <c r="D183" s="1248"/>
      <c r="E183" s="1245"/>
      <c r="F183" s="1254">
        <v>151</v>
      </c>
      <c r="G183" s="1255">
        <v>463</v>
      </c>
      <c r="H183" s="1685" t="s">
        <v>105</v>
      </c>
      <c r="I183" s="1686"/>
      <c r="J183" s="1687"/>
      <c r="K183" s="1262">
        <v>275000</v>
      </c>
      <c r="L183" s="1242">
        <v>55813</v>
      </c>
      <c r="M183" s="1112">
        <f>'Rashodi-2021'!M215</f>
        <v>300000</v>
      </c>
      <c r="N183" s="1112" t="e">
        <f>'Rashodi-2021'!#REF!</f>
        <v>#REF!</v>
      </c>
      <c r="O183" s="1215">
        <f>'Rashodi-2021'!N215</f>
        <v>0</v>
      </c>
      <c r="P183" s="1208">
        <f>'Rashodi-2021'!O215</f>
        <v>0</v>
      </c>
      <c r="Q183" s="1208">
        <f>'Rashodi-2021'!P215</f>
        <v>0</v>
      </c>
      <c r="R183" s="1208">
        <f>'Rashodi-2021'!Q215</f>
        <v>0</v>
      </c>
      <c r="S183" s="1208">
        <f>'Rashodi-2021'!R215</f>
        <v>0</v>
      </c>
      <c r="T183" s="1208">
        <f>'Rashodi-2021'!S215</f>
        <v>0</v>
      </c>
      <c r="U183" s="1220">
        <f t="shared" si="8"/>
        <v>0</v>
      </c>
      <c r="V183" s="1138">
        <f>'Rashodi-2021'!U215</f>
        <v>300000</v>
      </c>
      <c r="W183" s="1261">
        <v>300000</v>
      </c>
      <c r="X183" s="1138">
        <v>300000</v>
      </c>
    </row>
    <row r="184" spans="2:24" s="1139" customFormat="1" ht="12.75">
      <c r="B184" s="1286"/>
      <c r="C184" s="1245"/>
      <c r="D184" s="1248"/>
      <c r="E184" s="1245"/>
      <c r="F184" s="1254">
        <v>152</v>
      </c>
      <c r="G184" s="1255">
        <v>463</v>
      </c>
      <c r="H184" s="1682" t="s">
        <v>1413</v>
      </c>
      <c r="I184" s="1683"/>
      <c r="J184" s="1684"/>
      <c r="K184" s="1262">
        <v>400000</v>
      </c>
      <c r="L184" s="1242">
        <v>146343.55</v>
      </c>
      <c r="M184" s="1112">
        <f>'Rashodi-2021'!M216</f>
        <v>600000</v>
      </c>
      <c r="N184" s="1112" t="e">
        <f>'Rashodi-2021'!#REF!</f>
        <v>#REF!</v>
      </c>
      <c r="O184" s="1215">
        <f>'Rashodi-2021'!N216</f>
        <v>0</v>
      </c>
      <c r="P184" s="1208">
        <f>'Rashodi-2021'!O216</f>
        <v>0</v>
      </c>
      <c r="Q184" s="1208">
        <f>'Rashodi-2021'!P216</f>
        <v>0</v>
      </c>
      <c r="R184" s="1208">
        <f>'Rashodi-2021'!Q216</f>
        <v>0</v>
      </c>
      <c r="S184" s="1208">
        <f>'Rashodi-2021'!R216</f>
        <v>0</v>
      </c>
      <c r="T184" s="1208">
        <f>'Rashodi-2021'!S216</f>
        <v>0</v>
      </c>
      <c r="U184" s="1220">
        <f t="shared" si="8"/>
        <v>0</v>
      </c>
      <c r="V184" s="1138">
        <f>'Rashodi-2021'!U216</f>
        <v>600000</v>
      </c>
      <c r="W184" s="1261">
        <v>600000</v>
      </c>
      <c r="X184" s="1138">
        <v>600000</v>
      </c>
    </row>
    <row r="185" spans="2:24" s="1139" customFormat="1" ht="12.75">
      <c r="B185" s="1286"/>
      <c r="C185" s="1245"/>
      <c r="D185" s="1248"/>
      <c r="E185" s="1245"/>
      <c r="F185" s="1254">
        <v>153</v>
      </c>
      <c r="G185" s="1255">
        <v>463</v>
      </c>
      <c r="H185" s="1682" t="s">
        <v>1422</v>
      </c>
      <c r="I185" s="1683"/>
      <c r="J185" s="1684"/>
      <c r="K185" s="1262">
        <v>60000</v>
      </c>
      <c r="L185" s="1242">
        <v>0</v>
      </c>
      <c r="M185" s="1112">
        <f>'Rashodi-2021'!M217</f>
        <v>100000</v>
      </c>
      <c r="N185" s="1112" t="e">
        <f>'Rashodi-2021'!#REF!</f>
        <v>#REF!</v>
      </c>
      <c r="O185" s="1215">
        <f>'Rashodi-2021'!N217</f>
        <v>0</v>
      </c>
      <c r="P185" s="1208">
        <f>'Rashodi-2021'!O217</f>
        <v>0</v>
      </c>
      <c r="Q185" s="1208">
        <f>'Rashodi-2021'!P217</f>
        <v>0</v>
      </c>
      <c r="R185" s="1208">
        <f>'Rashodi-2021'!Q217</f>
        <v>0</v>
      </c>
      <c r="S185" s="1208">
        <f>'Rashodi-2021'!R217</f>
        <v>0</v>
      </c>
      <c r="T185" s="1208">
        <f>'Rashodi-2021'!S217</f>
        <v>0</v>
      </c>
      <c r="U185" s="1220">
        <f t="shared" si="8"/>
        <v>0</v>
      </c>
      <c r="V185" s="1138">
        <f>'Rashodi-2021'!U217</f>
        <v>100000</v>
      </c>
      <c r="W185" s="1261">
        <v>100000</v>
      </c>
      <c r="X185" s="1138">
        <v>100000</v>
      </c>
    </row>
    <row r="186" spans="2:24" s="1139" customFormat="1" ht="12.75">
      <c r="B186" s="1286"/>
      <c r="C186" s="1245"/>
      <c r="D186" s="1248"/>
      <c r="E186" s="1245"/>
      <c r="F186" s="1254">
        <v>154</v>
      </c>
      <c r="G186" s="1255">
        <v>463</v>
      </c>
      <c r="H186" s="1682" t="s">
        <v>1423</v>
      </c>
      <c r="I186" s="1683"/>
      <c r="J186" s="1684"/>
      <c r="K186" s="1262">
        <v>1000000</v>
      </c>
      <c r="L186" s="1242">
        <v>852977.05</v>
      </c>
      <c r="M186" s="1112">
        <f>'Rashodi-2021'!M218</f>
        <v>1400000</v>
      </c>
      <c r="N186" s="1112" t="e">
        <f>'Rashodi-2021'!#REF!</f>
        <v>#REF!</v>
      </c>
      <c r="O186" s="1215">
        <f>'Rashodi-2021'!N218</f>
        <v>0</v>
      </c>
      <c r="P186" s="1208">
        <f>'Rashodi-2021'!O218</f>
        <v>0</v>
      </c>
      <c r="Q186" s="1208">
        <f>'Rashodi-2021'!P218</f>
        <v>0</v>
      </c>
      <c r="R186" s="1208">
        <f>'Rashodi-2021'!Q218</f>
        <v>0</v>
      </c>
      <c r="S186" s="1208">
        <f>'Rashodi-2021'!R218</f>
        <v>0</v>
      </c>
      <c r="T186" s="1208">
        <f>'Rashodi-2021'!S218</f>
        <v>0</v>
      </c>
      <c r="U186" s="1220">
        <f t="shared" si="8"/>
        <v>0</v>
      </c>
      <c r="V186" s="1138">
        <f>'Rashodi-2021'!U218</f>
        <v>1400000</v>
      </c>
      <c r="W186" s="1261">
        <v>1400000</v>
      </c>
      <c r="X186" s="1138">
        <v>1400000</v>
      </c>
    </row>
    <row r="187" spans="2:24" s="1139" customFormat="1" ht="12.75">
      <c r="B187" s="1286"/>
      <c r="C187" s="1245"/>
      <c r="D187" s="1248"/>
      <c r="E187" s="1245"/>
      <c r="F187" s="1254">
        <v>155</v>
      </c>
      <c r="G187" s="1255">
        <v>463</v>
      </c>
      <c r="H187" s="1256" t="s">
        <v>1340</v>
      </c>
      <c r="I187" s="1257"/>
      <c r="J187" s="1263"/>
      <c r="K187" s="1262">
        <v>0</v>
      </c>
      <c r="L187" s="1242">
        <v>0</v>
      </c>
      <c r="M187" s="1112">
        <f>'Rashodi-2021'!M219</f>
        <v>50000</v>
      </c>
      <c r="N187" s="1112" t="e">
        <f>'Rashodi-2021'!#REF!</f>
        <v>#REF!</v>
      </c>
      <c r="O187" s="1215">
        <f>'Rashodi-2021'!N219</f>
        <v>0</v>
      </c>
      <c r="P187" s="1208">
        <f>'Rashodi-2021'!O219</f>
        <v>0</v>
      </c>
      <c r="Q187" s="1208">
        <f>'Rashodi-2021'!P219</f>
        <v>0</v>
      </c>
      <c r="R187" s="1208">
        <f>'Rashodi-2021'!Q219</f>
        <v>0</v>
      </c>
      <c r="S187" s="1208">
        <f>'Rashodi-2021'!R219</f>
        <v>0</v>
      </c>
      <c r="T187" s="1208">
        <f>'Rashodi-2021'!S219</f>
        <v>0</v>
      </c>
      <c r="U187" s="1220">
        <f t="shared" si="8"/>
        <v>0</v>
      </c>
      <c r="V187" s="1138">
        <f>'Rashodi-2021'!U219</f>
        <v>50000</v>
      </c>
      <c r="W187" s="1261">
        <v>50000</v>
      </c>
      <c r="X187" s="1138">
        <v>50000</v>
      </c>
    </row>
    <row r="188" spans="2:24" s="1139" customFormat="1" ht="12.75">
      <c r="B188" s="1286"/>
      <c r="C188" s="1245"/>
      <c r="D188" s="1248"/>
      <c r="E188" s="1245"/>
      <c r="F188" s="1254">
        <v>156</v>
      </c>
      <c r="G188" s="1255">
        <v>463</v>
      </c>
      <c r="H188" s="1682" t="s">
        <v>106</v>
      </c>
      <c r="I188" s="1683"/>
      <c r="J188" s="1684"/>
      <c r="K188" s="1262">
        <v>37000</v>
      </c>
      <c r="L188" s="1242">
        <v>12566</v>
      </c>
      <c r="M188" s="1112">
        <f>'Rashodi-2021'!M220</f>
        <v>1000</v>
      </c>
      <c r="N188" s="1112" t="e">
        <f>'Rashodi-2021'!#REF!</f>
        <v>#REF!</v>
      </c>
      <c r="O188" s="1215">
        <f>'Rashodi-2021'!N220</f>
        <v>0</v>
      </c>
      <c r="P188" s="1208">
        <f>'Rashodi-2021'!O220</f>
        <v>0</v>
      </c>
      <c r="Q188" s="1208">
        <f>'Rashodi-2021'!P220</f>
        <v>0</v>
      </c>
      <c r="R188" s="1208">
        <f>'Rashodi-2021'!Q220</f>
        <v>0</v>
      </c>
      <c r="S188" s="1208">
        <f>'Rashodi-2021'!R220</f>
        <v>0</v>
      </c>
      <c r="T188" s="1208">
        <f>'Rashodi-2021'!S220</f>
        <v>0</v>
      </c>
      <c r="U188" s="1220">
        <f t="shared" si="8"/>
        <v>0</v>
      </c>
      <c r="V188" s="1138">
        <f>'Rashodi-2021'!U220</f>
        <v>1000</v>
      </c>
      <c r="W188" s="1261">
        <v>1000</v>
      </c>
      <c r="X188" s="1138">
        <v>1000</v>
      </c>
    </row>
    <row r="189" spans="2:24" s="1139" customFormat="1" ht="12.75">
      <c r="B189" s="1286"/>
      <c r="C189" s="1245"/>
      <c r="D189" s="1248"/>
      <c r="E189" s="1245"/>
      <c r="F189" s="1254">
        <v>157</v>
      </c>
      <c r="G189" s="1255">
        <v>463</v>
      </c>
      <c r="H189" s="1290" t="s">
        <v>1535</v>
      </c>
      <c r="I189" s="1291"/>
      <c r="J189" s="1292"/>
      <c r="K189" s="1264"/>
      <c r="L189" s="1265"/>
      <c r="M189" s="1112">
        <f>'Rashodi-2021'!M221</f>
        <v>1000</v>
      </c>
      <c r="N189" s="1112" t="e">
        <f>'Rashodi-2021'!#REF!</f>
        <v>#REF!</v>
      </c>
      <c r="O189" s="1215">
        <f>'Rashodi-2021'!N221</f>
        <v>0</v>
      </c>
      <c r="P189" s="1208">
        <f>'Rashodi-2021'!O221</f>
        <v>0</v>
      </c>
      <c r="Q189" s="1208">
        <f>'Rashodi-2021'!P221</f>
        <v>0</v>
      </c>
      <c r="R189" s="1208">
        <f>'Rashodi-2021'!Q221</f>
        <v>0</v>
      </c>
      <c r="S189" s="1208">
        <f>'Rashodi-2021'!R221</f>
        <v>0</v>
      </c>
      <c r="T189" s="1208">
        <f>'Rashodi-2021'!S221</f>
        <v>0</v>
      </c>
      <c r="U189" s="1205"/>
      <c r="V189" s="1138">
        <f>'Rashodi-2021'!U221</f>
        <v>1000</v>
      </c>
      <c r="W189" s="1261">
        <v>1000</v>
      </c>
      <c r="X189" s="1138">
        <v>1000</v>
      </c>
    </row>
    <row r="190" spans="2:24" s="1139" customFormat="1" ht="12.75">
      <c r="B190" s="1286"/>
      <c r="C190" s="1245"/>
      <c r="D190" s="1248"/>
      <c r="E190" s="1245"/>
      <c r="F190" s="1254">
        <v>158</v>
      </c>
      <c r="G190" s="1255">
        <v>463</v>
      </c>
      <c r="H190" s="1720" t="s">
        <v>107</v>
      </c>
      <c r="I190" s="1717"/>
      <c r="J190" s="1721"/>
      <c r="K190" s="1264">
        <v>120000</v>
      </c>
      <c r="L190" s="1265">
        <v>0</v>
      </c>
      <c r="M190" s="1112">
        <f>'Rashodi-2021'!M222</f>
        <v>150000</v>
      </c>
      <c r="N190" s="1112" t="e">
        <f>'Rashodi-2021'!#REF!</f>
        <v>#REF!</v>
      </c>
      <c r="O190" s="1215">
        <f>'Rashodi-2021'!N222</f>
        <v>0</v>
      </c>
      <c r="P190" s="1208">
        <f>'Rashodi-2021'!O222</f>
        <v>0</v>
      </c>
      <c r="Q190" s="1208">
        <f>'Rashodi-2021'!P222</f>
        <v>0</v>
      </c>
      <c r="R190" s="1208">
        <f>'Rashodi-2021'!Q222</f>
        <v>0</v>
      </c>
      <c r="S190" s="1208">
        <f>'Rashodi-2021'!R222</f>
        <v>0</v>
      </c>
      <c r="T190" s="1208">
        <f>'Rashodi-2021'!S222</f>
        <v>0</v>
      </c>
      <c r="U190" s="1205">
        <f t="shared" si="8"/>
        <v>0</v>
      </c>
      <c r="V190" s="1138">
        <f>'Rashodi-2021'!U222</f>
        <v>150000</v>
      </c>
      <c r="W190" s="1261">
        <v>150000</v>
      </c>
      <c r="X190" s="1138">
        <v>150000</v>
      </c>
    </row>
    <row r="191" spans="2:24" ht="26.25" customHeight="1">
      <c r="B191" s="284"/>
      <c r="C191" s="285"/>
      <c r="D191" s="428"/>
      <c r="E191" s="346" t="s">
        <v>853</v>
      </c>
      <c r="F191" s="428"/>
      <c r="G191" s="429"/>
      <c r="H191" s="1489" t="s">
        <v>1325</v>
      </c>
      <c r="I191" s="1490"/>
      <c r="J191" s="1491"/>
      <c r="K191" s="1055">
        <f>K192</f>
        <v>17860000</v>
      </c>
      <c r="L191" s="1124">
        <f>L192</f>
        <v>16271190.01</v>
      </c>
      <c r="M191" s="1128">
        <f>'Rashodi-2021'!M223</f>
        <v>25397000</v>
      </c>
      <c r="N191" s="1128" t="e">
        <f>'Rashodi-2021'!#REF!</f>
        <v>#REF!</v>
      </c>
      <c r="O191" s="1214">
        <f>'Rashodi-2021'!N223</f>
        <v>0</v>
      </c>
      <c r="P191" s="1194">
        <f>'Rashodi-2021'!O223</f>
        <v>0</v>
      </c>
      <c r="Q191" s="1194">
        <f>'Rashodi-2021'!P223</f>
        <v>2156458</v>
      </c>
      <c r="R191" s="1194">
        <f>'Rashodi-2021'!Q223</f>
        <v>0</v>
      </c>
      <c r="S191" s="1194">
        <f>'Rashodi-2021'!R223</f>
        <v>0</v>
      </c>
      <c r="T191" s="1194">
        <f>'Rashodi-2021'!S223</f>
        <v>0</v>
      </c>
      <c r="U191" s="1195">
        <f t="shared" si="8"/>
        <v>2156458</v>
      </c>
      <c r="V191" s="1196">
        <f>'Rashodi-2021'!U223</f>
        <v>27553458</v>
      </c>
      <c r="W191" s="842">
        <v>27553458</v>
      </c>
      <c r="X191" s="652">
        <v>27553458</v>
      </c>
    </row>
    <row r="192" spans="2:24" s="1276" customFormat="1" ht="12.75">
      <c r="B192" s="1287"/>
      <c r="C192" s="1271"/>
      <c r="D192" s="1247" t="s">
        <v>21</v>
      </c>
      <c r="E192" s="1247"/>
      <c r="F192" s="1272"/>
      <c r="G192" s="1288"/>
      <c r="H192" s="1251" t="s">
        <v>111</v>
      </c>
      <c r="I192" s="1252"/>
      <c r="J192" s="1253"/>
      <c r="K192" s="1250">
        <f>SUM(K193:K198)</f>
        <v>17860000</v>
      </c>
      <c r="L192" s="1221">
        <f>SUM(L193:L198)</f>
        <v>16271190.01</v>
      </c>
      <c r="M192" s="1130">
        <f>'Rashodi-2021'!M224</f>
        <v>25397000</v>
      </c>
      <c r="N192" s="1130" t="e">
        <f>'Rashodi-2021'!#REF!</f>
        <v>#REF!</v>
      </c>
      <c r="O192" s="1216">
        <f>'Rashodi-2021'!N224</f>
        <v>0</v>
      </c>
      <c r="P192" s="1202">
        <f>'Rashodi-2021'!O224</f>
        <v>0</v>
      </c>
      <c r="Q192" s="1202">
        <f>'Rashodi-2021'!P224</f>
        <v>2156458</v>
      </c>
      <c r="R192" s="1202">
        <f>'Rashodi-2021'!Q224</f>
        <v>0</v>
      </c>
      <c r="S192" s="1202">
        <f>'Rashodi-2021'!R224</f>
        <v>0</v>
      </c>
      <c r="T192" s="1202">
        <f>'Rashodi-2021'!S224</f>
        <v>0</v>
      </c>
      <c r="U192" s="1275">
        <f t="shared" si="8"/>
        <v>2156458</v>
      </c>
      <c r="V192" s="1203">
        <f>'Rashodi-2021'!U224</f>
        <v>27553458</v>
      </c>
      <c r="W192" s="1203">
        <v>27553458</v>
      </c>
      <c r="X192" s="1138">
        <v>27553458</v>
      </c>
    </row>
    <row r="193" spans="2:24" s="1139" customFormat="1" ht="12.75">
      <c r="B193" s="1286"/>
      <c r="C193" s="1245"/>
      <c r="D193" s="1248"/>
      <c r="E193" s="1245"/>
      <c r="F193" s="1254">
        <v>159</v>
      </c>
      <c r="G193" s="1255">
        <v>463</v>
      </c>
      <c r="H193" s="1685" t="s">
        <v>1385</v>
      </c>
      <c r="I193" s="1686"/>
      <c r="J193" s="1687"/>
      <c r="K193" s="1262">
        <v>698000</v>
      </c>
      <c r="L193" s="1242">
        <v>325492.19999999995</v>
      </c>
      <c r="M193" s="1112">
        <f>'Rashodi-2021'!M225</f>
        <v>603000</v>
      </c>
      <c r="N193" s="1112" t="e">
        <f>'Rashodi-2021'!#REF!</f>
        <v>#REF!</v>
      </c>
      <c r="O193" s="1215">
        <f>'Rashodi-2021'!N225</f>
        <v>0</v>
      </c>
      <c r="P193" s="1208">
        <f>'Rashodi-2021'!O225</f>
        <v>0</v>
      </c>
      <c r="Q193" s="1208">
        <f>'Rashodi-2021'!P225</f>
        <v>0</v>
      </c>
      <c r="R193" s="1208">
        <f>'Rashodi-2021'!Q225</f>
        <v>0</v>
      </c>
      <c r="S193" s="1208">
        <f>'Rashodi-2021'!R225</f>
        <v>0</v>
      </c>
      <c r="T193" s="1208">
        <f>'Rashodi-2021'!S225</f>
        <v>0</v>
      </c>
      <c r="U193" s="1205">
        <f t="shared" si="8"/>
        <v>0</v>
      </c>
      <c r="V193" s="1138">
        <f>'Rashodi-2021'!U225</f>
        <v>603000</v>
      </c>
      <c r="W193" s="1261">
        <v>603000</v>
      </c>
      <c r="X193" s="1138">
        <v>603000</v>
      </c>
    </row>
    <row r="194" spans="2:24" s="1139" customFormat="1" ht="12.75">
      <c r="B194" s="1286"/>
      <c r="C194" s="1245"/>
      <c r="D194" s="1248"/>
      <c r="E194" s="1245"/>
      <c r="F194" s="1254">
        <v>160</v>
      </c>
      <c r="G194" s="1255">
        <v>463</v>
      </c>
      <c r="H194" s="1685" t="s">
        <v>1386</v>
      </c>
      <c r="I194" s="1686"/>
      <c r="J194" s="1687"/>
      <c r="K194" s="1262">
        <v>15902000</v>
      </c>
      <c r="L194" s="1242">
        <v>15504140.81</v>
      </c>
      <c r="M194" s="1112">
        <f>'Rashodi-2021'!M226</f>
        <v>23744000</v>
      </c>
      <c r="N194" s="1112" t="e">
        <f>'Rashodi-2021'!#REF!</f>
        <v>#REF!</v>
      </c>
      <c r="O194" s="1215">
        <f>'Rashodi-2021'!N226</f>
        <v>0</v>
      </c>
      <c r="P194" s="1208">
        <f>'Rashodi-2021'!O226</f>
        <v>0</v>
      </c>
      <c r="Q194" s="1208">
        <f>'Rashodi-2021'!P226</f>
        <v>2156458</v>
      </c>
      <c r="R194" s="1208">
        <f>'Rashodi-2021'!Q226</f>
        <v>0</v>
      </c>
      <c r="S194" s="1208">
        <f>'Rashodi-2021'!R226</f>
        <v>0</v>
      </c>
      <c r="T194" s="1208">
        <f>'Rashodi-2021'!S226</f>
        <v>0</v>
      </c>
      <c r="U194" s="1205">
        <f t="shared" si="8"/>
        <v>2156458</v>
      </c>
      <c r="V194" s="1138">
        <f>'Rashodi-2021'!U226</f>
        <v>25900458</v>
      </c>
      <c r="W194" s="1261">
        <v>25900458</v>
      </c>
      <c r="X194" s="1138">
        <v>25900458</v>
      </c>
    </row>
    <row r="195" spans="2:24" s="1139" customFormat="1" ht="12.75">
      <c r="B195" s="1286"/>
      <c r="C195" s="1245"/>
      <c r="D195" s="1248"/>
      <c r="E195" s="1245"/>
      <c r="F195" s="1254">
        <v>161</v>
      </c>
      <c r="G195" s="1255">
        <v>463</v>
      </c>
      <c r="H195" s="1186" t="s">
        <v>103</v>
      </c>
      <c r="I195" s="1187"/>
      <c r="J195" s="1188"/>
      <c r="K195" s="1262">
        <v>120000</v>
      </c>
      <c r="L195" s="1242">
        <v>69600</v>
      </c>
      <c r="M195" s="1112">
        <f>'Rashodi-2021'!M227</f>
        <v>120000</v>
      </c>
      <c r="N195" s="1112" t="e">
        <f>'Rashodi-2021'!#REF!</f>
        <v>#REF!</v>
      </c>
      <c r="O195" s="1215">
        <f>'Rashodi-2021'!N227</f>
        <v>0</v>
      </c>
      <c r="P195" s="1208">
        <f>'Rashodi-2021'!O227</f>
        <v>0</v>
      </c>
      <c r="Q195" s="1208">
        <f>'Rashodi-2021'!P227</f>
        <v>0</v>
      </c>
      <c r="R195" s="1208">
        <f>'Rashodi-2021'!Q227</f>
        <v>0</v>
      </c>
      <c r="S195" s="1208">
        <f>'Rashodi-2021'!R227</f>
        <v>0</v>
      </c>
      <c r="T195" s="1208">
        <f>'Rashodi-2021'!S227</f>
        <v>0</v>
      </c>
      <c r="U195" s="1205">
        <f t="shared" si="8"/>
        <v>0</v>
      </c>
      <c r="V195" s="1138">
        <f>'Rashodi-2021'!U227</f>
        <v>120000</v>
      </c>
      <c r="W195" s="1261">
        <v>120000</v>
      </c>
      <c r="X195" s="1138">
        <v>120000</v>
      </c>
    </row>
    <row r="196" spans="2:24" s="1139" customFormat="1" ht="12.75">
      <c r="B196" s="1286"/>
      <c r="C196" s="1245"/>
      <c r="D196" s="1248"/>
      <c r="E196" s="1245"/>
      <c r="F196" s="1132" t="s">
        <v>1547</v>
      </c>
      <c r="G196" s="1255">
        <v>463</v>
      </c>
      <c r="H196" s="1685" t="s">
        <v>1387</v>
      </c>
      <c r="I196" s="1686"/>
      <c r="J196" s="1687"/>
      <c r="K196" s="1262">
        <v>80000</v>
      </c>
      <c r="L196" s="1242">
        <v>19037.5</v>
      </c>
      <c r="M196" s="1112">
        <f>'Rashodi-2021'!M228</f>
        <v>70000</v>
      </c>
      <c r="N196" s="1112" t="e">
        <f>'Rashodi-2021'!#REF!</f>
        <v>#REF!</v>
      </c>
      <c r="O196" s="1215">
        <f>'Rashodi-2021'!N228</f>
        <v>0</v>
      </c>
      <c r="P196" s="1208">
        <f>'Rashodi-2021'!O228</f>
        <v>0</v>
      </c>
      <c r="Q196" s="1208">
        <f>'Rashodi-2021'!P228</f>
        <v>0</v>
      </c>
      <c r="R196" s="1208">
        <f>'Rashodi-2021'!Q228</f>
        <v>0</v>
      </c>
      <c r="S196" s="1208">
        <f>'Rashodi-2021'!R228</f>
        <v>0</v>
      </c>
      <c r="T196" s="1208">
        <f>'Rashodi-2021'!S228</f>
        <v>0</v>
      </c>
      <c r="U196" s="1205">
        <f t="shared" si="8"/>
        <v>0</v>
      </c>
      <c r="V196" s="1138">
        <f>'Rashodi-2021'!U228</f>
        <v>70000</v>
      </c>
      <c r="W196" s="1261">
        <v>70000</v>
      </c>
      <c r="X196" s="1138">
        <v>70000</v>
      </c>
    </row>
    <row r="197" spans="2:24" s="1139" customFormat="1" ht="12.75">
      <c r="B197" s="1286"/>
      <c r="C197" s="1245"/>
      <c r="D197" s="1295"/>
      <c r="E197" s="1296"/>
      <c r="F197" s="1132" t="s">
        <v>1548</v>
      </c>
      <c r="G197" s="1268">
        <v>463</v>
      </c>
      <c r="H197" s="1685" t="s">
        <v>1388</v>
      </c>
      <c r="I197" s="1686"/>
      <c r="J197" s="1687"/>
      <c r="K197" s="1264">
        <v>980000</v>
      </c>
      <c r="L197" s="1265">
        <v>283059.5</v>
      </c>
      <c r="M197" s="1112">
        <f>'Rashodi-2021'!M229</f>
        <v>660000</v>
      </c>
      <c r="N197" s="1112" t="e">
        <f>'Rashodi-2021'!#REF!</f>
        <v>#REF!</v>
      </c>
      <c r="O197" s="1215">
        <f>'Rashodi-2021'!N229</f>
        <v>0</v>
      </c>
      <c r="P197" s="1208">
        <f>'Rashodi-2021'!O229</f>
        <v>0</v>
      </c>
      <c r="Q197" s="1208">
        <f>'Rashodi-2021'!P229</f>
        <v>0</v>
      </c>
      <c r="R197" s="1208">
        <f>'Rashodi-2021'!Q229</f>
        <v>0</v>
      </c>
      <c r="S197" s="1208">
        <f>'Rashodi-2021'!R229</f>
        <v>0</v>
      </c>
      <c r="T197" s="1208">
        <f>'Rashodi-2021'!S229</f>
        <v>0</v>
      </c>
      <c r="U197" s="1205">
        <f t="shared" si="8"/>
        <v>0</v>
      </c>
      <c r="V197" s="1138">
        <f>'Rashodi-2021'!U229</f>
        <v>660000</v>
      </c>
      <c r="W197" s="1261">
        <v>660000</v>
      </c>
      <c r="X197" s="1138">
        <v>660000</v>
      </c>
    </row>
    <row r="198" spans="2:24" s="1139" customFormat="1" ht="12.75">
      <c r="B198" s="1131"/>
      <c r="C198" s="1297"/>
      <c r="D198" s="1298"/>
      <c r="E198" s="1299"/>
      <c r="F198" s="1132" t="s">
        <v>1549</v>
      </c>
      <c r="G198" s="1300">
        <v>463</v>
      </c>
      <c r="H198" s="1691" t="s">
        <v>1389</v>
      </c>
      <c r="I198" s="1692"/>
      <c r="J198" s="1692"/>
      <c r="K198" s="1112">
        <v>80000</v>
      </c>
      <c r="L198" s="1269">
        <v>69860</v>
      </c>
      <c r="M198" s="1112">
        <f>'Rashodi-2021'!M230</f>
        <v>200000</v>
      </c>
      <c r="N198" s="1112" t="e">
        <f>'Rashodi-2021'!#REF!</f>
        <v>#REF!</v>
      </c>
      <c r="O198" s="1215">
        <f>'Rashodi-2021'!N230</f>
        <v>0</v>
      </c>
      <c r="P198" s="1208">
        <f>'Rashodi-2021'!O230</f>
        <v>0</v>
      </c>
      <c r="Q198" s="1208">
        <f>'Rashodi-2021'!P230</f>
        <v>0</v>
      </c>
      <c r="R198" s="1208">
        <f>'Rashodi-2021'!Q230</f>
        <v>0</v>
      </c>
      <c r="S198" s="1208">
        <f>'Rashodi-2021'!R230</f>
        <v>0</v>
      </c>
      <c r="T198" s="1208">
        <f>'Rashodi-2021'!S230</f>
        <v>0</v>
      </c>
      <c r="U198" s="1205">
        <f t="shared" si="8"/>
        <v>0</v>
      </c>
      <c r="V198" s="1138">
        <f>'Rashodi-2021'!U230</f>
        <v>200000</v>
      </c>
      <c r="W198" s="1261">
        <v>200000</v>
      </c>
      <c r="X198" s="1138">
        <v>200000</v>
      </c>
    </row>
    <row r="199" spans="2:24" ht="12.75" customHeight="1">
      <c r="B199" s="284"/>
      <c r="C199" s="649"/>
      <c r="D199" s="545"/>
      <c r="E199" s="542" t="s">
        <v>305</v>
      </c>
      <c r="F199" s="719"/>
      <c r="G199" s="543"/>
      <c r="H199" s="1489" t="s">
        <v>1341</v>
      </c>
      <c r="I199" s="1490"/>
      <c r="J199" s="1491"/>
      <c r="K199" s="916">
        <f>K200</f>
        <v>13050000</v>
      </c>
      <c r="L199" s="1054">
        <f>L200</f>
        <v>6863974.88</v>
      </c>
      <c r="M199" s="1128">
        <f>'Rashodi-2021'!M231</f>
        <v>11850000</v>
      </c>
      <c r="N199" s="1128" t="e">
        <f>'Rashodi-2021'!#REF!</f>
        <v>#REF!</v>
      </c>
      <c r="O199" s="1214">
        <f>'Rashodi-2021'!N231</f>
        <v>0</v>
      </c>
      <c r="P199" s="1194">
        <f>'Rashodi-2021'!O231</f>
        <v>0</v>
      </c>
      <c r="Q199" s="1194">
        <f>'Rashodi-2021'!P231</f>
        <v>602541</v>
      </c>
      <c r="R199" s="1194">
        <f>'Rashodi-2021'!Q231</f>
        <v>0</v>
      </c>
      <c r="S199" s="1194">
        <f>'Rashodi-2021'!R231</f>
        <v>0</v>
      </c>
      <c r="T199" s="1194">
        <f>'Rashodi-2021'!S231</f>
        <v>0</v>
      </c>
      <c r="U199" s="1199">
        <f t="shared" si="8"/>
        <v>602541</v>
      </c>
      <c r="V199" s="1196">
        <f>'Rashodi-2021'!U231</f>
        <v>12452541</v>
      </c>
      <c r="W199" s="652">
        <v>12452541</v>
      </c>
      <c r="X199" s="652">
        <v>12452541</v>
      </c>
    </row>
    <row r="200" spans="2:24" s="1276" customFormat="1" ht="12.75">
      <c r="B200" s="1287"/>
      <c r="C200" s="1338"/>
      <c r="D200" s="1306" t="s">
        <v>22</v>
      </c>
      <c r="E200" s="1306"/>
      <c r="F200" s="1302"/>
      <c r="G200" s="1339"/>
      <c r="H200" s="1694" t="s">
        <v>94</v>
      </c>
      <c r="I200" s="1695"/>
      <c r="J200" s="1273"/>
      <c r="K200" s="1274">
        <f>SUM(K201:K206)</f>
        <v>13050000</v>
      </c>
      <c r="L200" s="1275">
        <f>SUM(L201:L206)</f>
        <v>6863974.88</v>
      </c>
      <c r="M200" s="1130">
        <f>'Rashodi-2021'!M232</f>
        <v>11850000</v>
      </c>
      <c r="N200" s="1130" t="e">
        <f>'Rashodi-2021'!#REF!</f>
        <v>#REF!</v>
      </c>
      <c r="O200" s="1216">
        <f>'Rashodi-2021'!N232</f>
        <v>0</v>
      </c>
      <c r="P200" s="1202">
        <f>'Rashodi-2021'!O232</f>
        <v>0</v>
      </c>
      <c r="Q200" s="1202">
        <f>'Rashodi-2021'!P232</f>
        <v>602541</v>
      </c>
      <c r="R200" s="1202">
        <f>'Rashodi-2021'!Q232</f>
        <v>0</v>
      </c>
      <c r="S200" s="1202">
        <f>'Rashodi-2021'!R232</f>
        <v>0</v>
      </c>
      <c r="T200" s="1202">
        <f>'Rashodi-2021'!S232</f>
        <v>0</v>
      </c>
      <c r="U200" s="1324">
        <f t="shared" si="8"/>
        <v>602541</v>
      </c>
      <c r="V200" s="1203">
        <f>'Rashodi-2021'!U232</f>
        <v>12452541</v>
      </c>
      <c r="W200" s="1203">
        <v>12452541</v>
      </c>
      <c r="X200" s="1138">
        <v>12452541</v>
      </c>
    </row>
    <row r="201" spans="2:24" s="1139" customFormat="1" ht="12.75">
      <c r="B201" s="1286"/>
      <c r="C201" s="1245"/>
      <c r="D201" s="1133"/>
      <c r="E201" s="1132"/>
      <c r="F201" s="1254">
        <v>165</v>
      </c>
      <c r="G201" s="1255">
        <v>472</v>
      </c>
      <c r="H201" s="1256" t="s">
        <v>1424</v>
      </c>
      <c r="I201" s="1257"/>
      <c r="J201" s="1263"/>
      <c r="K201" s="1264">
        <v>4100000</v>
      </c>
      <c r="L201" s="1265">
        <v>2488198.88</v>
      </c>
      <c r="M201" s="1112">
        <f>'Rashodi-2021'!M233</f>
        <v>4500000</v>
      </c>
      <c r="N201" s="1112" t="e">
        <f>'Rashodi-2021'!#REF!</f>
        <v>#REF!</v>
      </c>
      <c r="O201" s="1215">
        <f>'Rashodi-2021'!N233</f>
        <v>0</v>
      </c>
      <c r="P201" s="1208">
        <f>'Rashodi-2021'!O233</f>
        <v>0</v>
      </c>
      <c r="Q201" s="1208">
        <f>'Rashodi-2021'!P233</f>
        <v>602541</v>
      </c>
      <c r="R201" s="1208">
        <f>'Rashodi-2021'!Q233</f>
        <v>0</v>
      </c>
      <c r="S201" s="1208">
        <f>'Rashodi-2021'!R233</f>
        <v>0</v>
      </c>
      <c r="T201" s="1208">
        <f>'Rashodi-2021'!S233</f>
        <v>0</v>
      </c>
      <c r="U201" s="1328">
        <f t="shared" si="8"/>
        <v>602541</v>
      </c>
      <c r="V201" s="1138">
        <f>'Rashodi-2021'!U233</f>
        <v>5102541</v>
      </c>
      <c r="W201" s="1261">
        <v>5102541</v>
      </c>
      <c r="X201" s="1138">
        <v>5102541</v>
      </c>
    </row>
    <row r="202" spans="2:24" s="1139" customFormat="1" ht="12.75">
      <c r="B202" s="1286"/>
      <c r="C202" s="1245"/>
      <c r="D202" s="1133"/>
      <c r="E202" s="1132"/>
      <c r="F202" s="1254">
        <v>166</v>
      </c>
      <c r="G202" s="1255">
        <v>472</v>
      </c>
      <c r="H202" s="1685" t="s">
        <v>1409</v>
      </c>
      <c r="I202" s="1686"/>
      <c r="J202" s="1686"/>
      <c r="K202" s="1112">
        <v>800000</v>
      </c>
      <c r="L202" s="1269">
        <v>333856</v>
      </c>
      <c r="M202" s="1112">
        <f>'Rashodi-2021'!M234</f>
        <v>800000</v>
      </c>
      <c r="N202" s="1112" t="e">
        <f>'Rashodi-2021'!#REF!</f>
        <v>#REF!</v>
      </c>
      <c r="O202" s="1215">
        <f>'Rashodi-2021'!N234</f>
        <v>0</v>
      </c>
      <c r="P202" s="1208">
        <f>'Rashodi-2021'!O234</f>
        <v>0</v>
      </c>
      <c r="Q202" s="1208">
        <f>'Rashodi-2021'!P234</f>
        <v>0</v>
      </c>
      <c r="R202" s="1208">
        <f>'Rashodi-2021'!Q234</f>
        <v>0</v>
      </c>
      <c r="S202" s="1208">
        <f>'Rashodi-2021'!R234</f>
        <v>0</v>
      </c>
      <c r="T202" s="1208">
        <f>'Rashodi-2021'!S234</f>
        <v>0</v>
      </c>
      <c r="U202" s="1328">
        <f t="shared" si="8"/>
        <v>0</v>
      </c>
      <c r="V202" s="1138">
        <f>'Rashodi-2021'!U234</f>
        <v>800000</v>
      </c>
      <c r="W202" s="1261">
        <v>800000</v>
      </c>
      <c r="X202" s="1138">
        <v>800000</v>
      </c>
    </row>
    <row r="203" spans="2:24" s="1139" customFormat="1" ht="12.75">
      <c r="B203" s="1286"/>
      <c r="C203" s="1245"/>
      <c r="D203" s="1133"/>
      <c r="E203" s="1132"/>
      <c r="F203" s="1254">
        <v>167</v>
      </c>
      <c r="G203" s="1255">
        <v>472</v>
      </c>
      <c r="H203" s="1685" t="s">
        <v>1410</v>
      </c>
      <c r="I203" s="1686"/>
      <c r="J203" s="1686"/>
      <c r="K203" s="1112">
        <v>2000000</v>
      </c>
      <c r="L203" s="1269">
        <v>860000</v>
      </c>
      <c r="M203" s="1112">
        <f>'Rashodi-2021'!M235</f>
        <v>1000000</v>
      </c>
      <c r="N203" s="1112" t="e">
        <f>'Rashodi-2021'!#REF!</f>
        <v>#REF!</v>
      </c>
      <c r="O203" s="1215">
        <f>'Rashodi-2021'!N235</f>
        <v>0</v>
      </c>
      <c r="P203" s="1208">
        <f>'Rashodi-2021'!O235</f>
        <v>0</v>
      </c>
      <c r="Q203" s="1208">
        <f>'Rashodi-2021'!P235</f>
        <v>0</v>
      </c>
      <c r="R203" s="1208">
        <f>'Rashodi-2021'!Q235</f>
        <v>0</v>
      </c>
      <c r="S203" s="1208">
        <f>'Rashodi-2021'!R235</f>
        <v>0</v>
      </c>
      <c r="T203" s="1208">
        <f>'Rashodi-2021'!S235</f>
        <v>0</v>
      </c>
      <c r="U203" s="1328">
        <f t="shared" si="8"/>
        <v>0</v>
      </c>
      <c r="V203" s="1138">
        <f>'Rashodi-2021'!U235</f>
        <v>1000000</v>
      </c>
      <c r="W203" s="1261">
        <v>1000000</v>
      </c>
      <c r="X203" s="1138">
        <v>1000000</v>
      </c>
    </row>
    <row r="204" spans="2:24" s="1139" customFormat="1" ht="12.75">
      <c r="B204" s="1286"/>
      <c r="C204" s="1245"/>
      <c r="D204" s="1133"/>
      <c r="E204" s="1132"/>
      <c r="F204" s="1132" t="s">
        <v>1439</v>
      </c>
      <c r="G204" s="1255">
        <v>472</v>
      </c>
      <c r="H204" s="1685" t="s">
        <v>1483</v>
      </c>
      <c r="I204" s="1686"/>
      <c r="J204" s="1686"/>
      <c r="K204" s="1112">
        <v>200000</v>
      </c>
      <c r="L204" s="1269">
        <v>0</v>
      </c>
      <c r="M204" s="1112">
        <f>'Rashodi-2021'!M236</f>
        <v>200000</v>
      </c>
      <c r="N204" s="1112" t="e">
        <f>'Rashodi-2021'!#REF!</f>
        <v>#REF!</v>
      </c>
      <c r="O204" s="1215">
        <f>'Rashodi-2021'!N236</f>
        <v>0</v>
      </c>
      <c r="P204" s="1208">
        <f>'Rashodi-2021'!O236</f>
        <v>0</v>
      </c>
      <c r="Q204" s="1208">
        <f>'Rashodi-2021'!P236</f>
        <v>0</v>
      </c>
      <c r="R204" s="1208">
        <f>'Rashodi-2021'!Q236</f>
        <v>0</v>
      </c>
      <c r="S204" s="1208">
        <f>'Rashodi-2021'!R236</f>
        <v>0</v>
      </c>
      <c r="T204" s="1208">
        <f>'Rashodi-2021'!S236</f>
        <v>0</v>
      </c>
      <c r="U204" s="1308">
        <f t="shared" si="8"/>
        <v>0</v>
      </c>
      <c r="V204" s="1138">
        <f>'Rashodi-2021'!U236</f>
        <v>200000</v>
      </c>
      <c r="W204" s="1261">
        <v>200000</v>
      </c>
      <c r="X204" s="1138">
        <v>200000</v>
      </c>
    </row>
    <row r="205" spans="2:24" s="1139" customFormat="1" ht="12.75">
      <c r="B205" s="1286"/>
      <c r="C205" s="1245"/>
      <c r="D205" s="1133"/>
      <c r="E205" s="1132"/>
      <c r="F205" s="1132" t="s">
        <v>1440</v>
      </c>
      <c r="G205" s="1255">
        <v>472</v>
      </c>
      <c r="H205" s="1685" t="s">
        <v>1411</v>
      </c>
      <c r="I205" s="1686"/>
      <c r="J205" s="1686"/>
      <c r="K205" s="1112">
        <v>350000</v>
      </c>
      <c r="L205" s="1269">
        <v>0</v>
      </c>
      <c r="M205" s="1112">
        <f>'Rashodi-2021'!M237</f>
        <v>350000</v>
      </c>
      <c r="N205" s="1112" t="e">
        <f>'Rashodi-2021'!#REF!</f>
        <v>#REF!</v>
      </c>
      <c r="O205" s="1215">
        <f>'Rashodi-2021'!N237</f>
        <v>0</v>
      </c>
      <c r="P205" s="1208">
        <f>'Rashodi-2021'!O237</f>
        <v>0</v>
      </c>
      <c r="Q205" s="1208">
        <f>'Rashodi-2021'!P237</f>
        <v>0</v>
      </c>
      <c r="R205" s="1208">
        <f>'Rashodi-2021'!Q237</f>
        <v>0</v>
      </c>
      <c r="S205" s="1208">
        <f>'Rashodi-2021'!R237</f>
        <v>0</v>
      </c>
      <c r="T205" s="1208">
        <f>'Rashodi-2021'!S237</f>
        <v>0</v>
      </c>
      <c r="U205" s="1308">
        <f t="shared" si="8"/>
        <v>0</v>
      </c>
      <c r="V205" s="1138">
        <f>'Rashodi-2021'!U237</f>
        <v>350000</v>
      </c>
      <c r="W205" s="1261">
        <v>350000</v>
      </c>
      <c r="X205" s="1138">
        <v>350000</v>
      </c>
    </row>
    <row r="206" spans="2:24" s="1139" customFormat="1" ht="12.75">
      <c r="B206" s="1286"/>
      <c r="C206" s="1245"/>
      <c r="D206" s="1248"/>
      <c r="E206" s="1245"/>
      <c r="F206" s="1132" t="s">
        <v>1441</v>
      </c>
      <c r="G206" s="1255">
        <v>472</v>
      </c>
      <c r="H206" s="1720" t="s">
        <v>1412</v>
      </c>
      <c r="I206" s="1717"/>
      <c r="J206" s="1721"/>
      <c r="K206" s="1207">
        <v>5600000</v>
      </c>
      <c r="L206" s="1327">
        <v>3181920</v>
      </c>
      <c r="M206" s="1112">
        <f>'Rashodi-2021'!M238</f>
        <v>5000000</v>
      </c>
      <c r="N206" s="1112" t="e">
        <f>'Rashodi-2021'!#REF!</f>
        <v>#REF!</v>
      </c>
      <c r="O206" s="1215">
        <f>'Rashodi-2021'!N238</f>
        <v>0</v>
      </c>
      <c r="P206" s="1208">
        <f>'Rashodi-2021'!O238</f>
        <v>0</v>
      </c>
      <c r="Q206" s="1208">
        <f>'Rashodi-2021'!P238</f>
        <v>0</v>
      </c>
      <c r="R206" s="1208">
        <f>'Rashodi-2021'!Q238</f>
        <v>0</v>
      </c>
      <c r="S206" s="1208">
        <f>'Rashodi-2021'!R238</f>
        <v>0</v>
      </c>
      <c r="T206" s="1208">
        <f>'Rashodi-2021'!S238</f>
        <v>0</v>
      </c>
      <c r="U206" s="1308">
        <f t="shared" si="8"/>
        <v>0</v>
      </c>
      <c r="V206" s="1138">
        <f>'Rashodi-2021'!U238</f>
        <v>5000000</v>
      </c>
      <c r="W206" s="1261">
        <v>5000000</v>
      </c>
      <c r="X206" s="1138">
        <v>5000000</v>
      </c>
    </row>
    <row r="207" spans="2:24" ht="12.75" customHeight="1">
      <c r="B207" s="284"/>
      <c r="C207" s="285"/>
      <c r="D207" s="428"/>
      <c r="E207" s="346" t="s">
        <v>303</v>
      </c>
      <c r="F207" s="428"/>
      <c r="G207" s="429"/>
      <c r="H207" s="1489" t="s">
        <v>1227</v>
      </c>
      <c r="I207" s="1490"/>
      <c r="J207" s="1491"/>
      <c r="K207" s="916">
        <f>K208</f>
        <v>3320000</v>
      </c>
      <c r="L207" s="1054">
        <f>L208</f>
        <v>2463500</v>
      </c>
      <c r="M207" s="1128">
        <f>'Rashodi-2021'!M239</f>
        <v>4720000</v>
      </c>
      <c r="N207" s="1128" t="e">
        <f>'Rashodi-2021'!#REF!</f>
        <v>#REF!</v>
      </c>
      <c r="O207" s="1214">
        <f>'Rashodi-2021'!N239</f>
        <v>0</v>
      </c>
      <c r="P207" s="1194">
        <f>'Rashodi-2021'!O239</f>
        <v>0</v>
      </c>
      <c r="Q207" s="1194">
        <f>'Rashodi-2021'!P239</f>
        <v>0</v>
      </c>
      <c r="R207" s="1194">
        <f>'Rashodi-2021'!Q239</f>
        <v>0</v>
      </c>
      <c r="S207" s="1194">
        <f>'Rashodi-2021'!R239</f>
        <v>0</v>
      </c>
      <c r="T207" s="1194">
        <f>'Rashodi-2021'!S239</f>
        <v>0</v>
      </c>
      <c r="U207" s="1195">
        <f t="shared" si="8"/>
        <v>0</v>
      </c>
      <c r="V207" s="1196">
        <f>'Rashodi-2021'!U239</f>
        <v>4720000</v>
      </c>
      <c r="W207" s="652">
        <v>4720000</v>
      </c>
      <c r="X207" s="652">
        <v>4720000</v>
      </c>
    </row>
    <row r="208" spans="2:24" s="1139" customFormat="1" ht="12.75">
      <c r="B208" s="1286"/>
      <c r="C208" s="1245"/>
      <c r="D208" s="1247" t="s">
        <v>21</v>
      </c>
      <c r="E208" s="1247"/>
      <c r="F208" s="1248"/>
      <c r="G208" s="1249"/>
      <c r="H208" s="1694" t="s">
        <v>111</v>
      </c>
      <c r="I208" s="1695"/>
      <c r="J208" s="1696"/>
      <c r="K208" s="1250">
        <f>SUM(K209:K210)</f>
        <v>3320000</v>
      </c>
      <c r="L208" s="1221">
        <f>SUM(L209:L210)</f>
        <v>2463500</v>
      </c>
      <c r="M208" s="1130">
        <f>'Rashodi-2021'!M240</f>
        <v>4720000</v>
      </c>
      <c r="N208" s="1130" t="e">
        <f>'Rashodi-2021'!#REF!</f>
        <v>#REF!</v>
      </c>
      <c r="O208" s="1216">
        <f>'Rashodi-2021'!N240</f>
        <v>0</v>
      </c>
      <c r="P208" s="1202">
        <f>'Rashodi-2021'!O240</f>
        <v>0</v>
      </c>
      <c r="Q208" s="1202">
        <f>'Rashodi-2021'!P240</f>
        <v>0</v>
      </c>
      <c r="R208" s="1202">
        <f>'Rashodi-2021'!Q240</f>
        <v>0</v>
      </c>
      <c r="S208" s="1202">
        <f>'Rashodi-2021'!R240</f>
        <v>0</v>
      </c>
      <c r="T208" s="1202">
        <f>'Rashodi-2021'!S240</f>
        <v>0</v>
      </c>
      <c r="U208" s="1204">
        <f t="shared" si="8"/>
        <v>0</v>
      </c>
      <c r="V208" s="1203">
        <f>'Rashodi-2021'!U240</f>
        <v>4720000</v>
      </c>
      <c r="W208" s="1203">
        <v>4720000</v>
      </c>
      <c r="X208" s="1138">
        <v>4720000</v>
      </c>
    </row>
    <row r="209" spans="2:24" s="1139" customFormat="1" ht="12.75">
      <c r="B209" s="1286"/>
      <c r="C209" s="1245"/>
      <c r="D209" s="1248"/>
      <c r="E209" s="1245"/>
      <c r="F209" s="1133">
        <v>172</v>
      </c>
      <c r="G209" s="1255">
        <v>481</v>
      </c>
      <c r="H209" s="1682" t="s">
        <v>1407</v>
      </c>
      <c r="I209" s="1683"/>
      <c r="J209" s="1684"/>
      <c r="K209" s="1262">
        <v>920000</v>
      </c>
      <c r="L209" s="1242">
        <v>619000</v>
      </c>
      <c r="M209" s="1112">
        <f>'Rashodi-2021'!M241</f>
        <v>1570000</v>
      </c>
      <c r="N209" s="1112" t="e">
        <f>'Rashodi-2021'!#REF!</f>
        <v>#REF!</v>
      </c>
      <c r="O209" s="1215">
        <f>'Rashodi-2021'!N241</f>
        <v>0</v>
      </c>
      <c r="P209" s="1208">
        <f>'Rashodi-2021'!O241</f>
        <v>0</v>
      </c>
      <c r="Q209" s="1208">
        <f>'Rashodi-2021'!P241</f>
        <v>0</v>
      </c>
      <c r="R209" s="1208">
        <f>'Rashodi-2021'!Q241</f>
        <v>0</v>
      </c>
      <c r="S209" s="1208">
        <f>'Rashodi-2021'!R241</f>
        <v>0</v>
      </c>
      <c r="T209" s="1208">
        <f>'Rashodi-2021'!S241</f>
        <v>0</v>
      </c>
      <c r="U209" s="1205">
        <f t="shared" si="8"/>
        <v>0</v>
      </c>
      <c r="V209" s="1138">
        <f>'Rashodi-2021'!U241</f>
        <v>1570000</v>
      </c>
      <c r="W209" s="1261">
        <v>1570000</v>
      </c>
      <c r="X209" s="1138">
        <v>1570000</v>
      </c>
    </row>
    <row r="210" spans="2:24" s="1139" customFormat="1" ht="12.75">
      <c r="B210" s="1286"/>
      <c r="C210" s="1245"/>
      <c r="D210" s="1248"/>
      <c r="E210" s="1245"/>
      <c r="F210" s="1254">
        <v>173</v>
      </c>
      <c r="G210" s="1255">
        <v>472</v>
      </c>
      <c r="H210" s="1682" t="s">
        <v>1408</v>
      </c>
      <c r="I210" s="1683"/>
      <c r="J210" s="1684"/>
      <c r="K210" s="1262">
        <v>2400000</v>
      </c>
      <c r="L210" s="1242">
        <v>1844500</v>
      </c>
      <c r="M210" s="1112">
        <f>'Rashodi-2021'!M242</f>
        <v>3150000</v>
      </c>
      <c r="N210" s="1112" t="e">
        <f>'Rashodi-2021'!#REF!</f>
        <v>#REF!</v>
      </c>
      <c r="O210" s="1215">
        <f>'Rashodi-2021'!N242</f>
        <v>0</v>
      </c>
      <c r="P210" s="1208">
        <f>'Rashodi-2021'!O242</f>
        <v>0</v>
      </c>
      <c r="Q210" s="1208">
        <f>'Rashodi-2021'!P242</f>
        <v>0</v>
      </c>
      <c r="R210" s="1208">
        <f>'Rashodi-2021'!Q242</f>
        <v>0</v>
      </c>
      <c r="S210" s="1208">
        <f>'Rashodi-2021'!R242</f>
        <v>0</v>
      </c>
      <c r="T210" s="1208">
        <f>'Rashodi-2021'!S242</f>
        <v>0</v>
      </c>
      <c r="U210" s="1205">
        <f t="shared" si="8"/>
        <v>0</v>
      </c>
      <c r="V210" s="1138">
        <f>'Rashodi-2021'!U242</f>
        <v>3150000</v>
      </c>
      <c r="W210" s="1261">
        <v>3150000</v>
      </c>
      <c r="X210" s="1138">
        <v>3150000</v>
      </c>
    </row>
    <row r="211" spans="2:24" ht="12.75">
      <c r="B211" s="577"/>
      <c r="C211" s="578"/>
      <c r="D211" s="544"/>
      <c r="E211" s="613" t="s">
        <v>299</v>
      </c>
      <c r="F211" s="544"/>
      <c r="G211" s="429"/>
      <c r="H211" s="1520" t="s">
        <v>1228</v>
      </c>
      <c r="I211" s="1521"/>
      <c r="J211" s="1522"/>
      <c r="K211" s="933">
        <f>K212+K221</f>
        <v>8736000</v>
      </c>
      <c r="L211" s="1074">
        <f>L212+L221</f>
        <v>7543933.110000001</v>
      </c>
      <c r="M211" s="957">
        <f>'Rashodi-2021'!M243</f>
        <v>15120000</v>
      </c>
      <c r="N211" s="957" t="e">
        <f>'Rashodi-2021'!#REF!</f>
        <v>#REF!</v>
      </c>
      <c r="O211" s="1213">
        <f>'Rashodi-2021'!N243</f>
        <v>0</v>
      </c>
      <c r="P211" s="1189">
        <f>'Rashodi-2021'!O243</f>
        <v>0</v>
      </c>
      <c r="Q211" s="1189">
        <f>'Rashodi-2021'!P243</f>
        <v>0</v>
      </c>
      <c r="R211" s="1189">
        <f>'Rashodi-2021'!Q243</f>
        <v>0</v>
      </c>
      <c r="S211" s="1189">
        <f>'Rashodi-2021'!R243</f>
        <v>0</v>
      </c>
      <c r="T211" s="1189">
        <f>'Rashodi-2021'!S243</f>
        <v>0</v>
      </c>
      <c r="U211" s="1190">
        <f t="shared" si="8"/>
        <v>0</v>
      </c>
      <c r="V211" s="1107">
        <f>'Rashodi-2021'!U243</f>
        <v>15120000</v>
      </c>
      <c r="W211" s="848">
        <v>15120000</v>
      </c>
      <c r="X211" s="848">
        <v>15120000</v>
      </c>
    </row>
    <row r="212" spans="2:24" ht="26.25" customHeight="1">
      <c r="B212" s="580"/>
      <c r="C212" s="581"/>
      <c r="D212" s="545" t="s">
        <v>1186</v>
      </c>
      <c r="E212" s="542" t="s">
        <v>300</v>
      </c>
      <c r="F212" s="545"/>
      <c r="G212" s="543"/>
      <c r="H212" s="1489" t="s">
        <v>1214</v>
      </c>
      <c r="I212" s="1564"/>
      <c r="J212" s="1565"/>
      <c r="K212" s="937">
        <f>K213</f>
        <v>8536000</v>
      </c>
      <c r="L212" s="1080">
        <f>L213</f>
        <v>7438884.400000001</v>
      </c>
      <c r="M212" s="1128">
        <f>'Rashodi-2021'!M244</f>
        <v>14920000</v>
      </c>
      <c r="N212" s="1128" t="e">
        <f>'Rashodi-2021'!#REF!</f>
        <v>#REF!</v>
      </c>
      <c r="O212" s="1214">
        <f>'Rashodi-2021'!N244</f>
        <v>0</v>
      </c>
      <c r="P212" s="1194">
        <f>'Rashodi-2021'!O244</f>
        <v>0</v>
      </c>
      <c r="Q212" s="1194">
        <f>'Rashodi-2021'!P244</f>
        <v>0</v>
      </c>
      <c r="R212" s="1194">
        <f>'Rashodi-2021'!Q244</f>
        <v>0</v>
      </c>
      <c r="S212" s="1194">
        <f>'Rashodi-2021'!R244</f>
        <v>0</v>
      </c>
      <c r="T212" s="1194">
        <f>'Rashodi-2021'!S244</f>
        <v>0</v>
      </c>
      <c r="U212" s="1195">
        <f t="shared" si="8"/>
        <v>0</v>
      </c>
      <c r="V212" s="1196">
        <f>'Rashodi-2021'!U244</f>
        <v>14920000</v>
      </c>
      <c r="W212" s="652">
        <v>14920000</v>
      </c>
      <c r="X212" s="652">
        <v>14920000</v>
      </c>
    </row>
    <row r="213" spans="2:24" s="1276" customFormat="1" ht="12.75">
      <c r="B213" s="1301"/>
      <c r="C213" s="1281"/>
      <c r="D213" s="1322" t="s">
        <v>543</v>
      </c>
      <c r="E213" s="1322"/>
      <c r="F213" s="1282"/>
      <c r="G213" s="1288"/>
      <c r="H213" s="1694" t="s">
        <v>88</v>
      </c>
      <c r="I213" s="1695"/>
      <c r="J213" s="1696"/>
      <c r="K213" s="1250">
        <f>SUM(K214:K220)</f>
        <v>8536000</v>
      </c>
      <c r="L213" s="1221">
        <f>SUM(L214:L220)</f>
        <v>7438884.400000001</v>
      </c>
      <c r="M213" s="1130">
        <f>'Rashodi-2021'!M245</f>
        <v>14920000</v>
      </c>
      <c r="N213" s="1130" t="e">
        <f>'Rashodi-2021'!#REF!</f>
        <v>#REF!</v>
      </c>
      <c r="O213" s="1216">
        <f>'Rashodi-2021'!N245</f>
        <v>0</v>
      </c>
      <c r="P213" s="1202">
        <f>'Rashodi-2021'!O245</f>
        <v>0</v>
      </c>
      <c r="Q213" s="1202">
        <f>'Rashodi-2021'!P245</f>
        <v>0</v>
      </c>
      <c r="R213" s="1202">
        <f>'Rashodi-2021'!Q245</f>
        <v>0</v>
      </c>
      <c r="S213" s="1202">
        <f>'Rashodi-2021'!R245</f>
        <v>0</v>
      </c>
      <c r="T213" s="1202">
        <f>'Rashodi-2021'!S245</f>
        <v>0</v>
      </c>
      <c r="U213" s="1204">
        <f>SUM(U214:U220)</f>
        <v>0</v>
      </c>
      <c r="V213" s="1203">
        <f>'Rashodi-2021'!U245</f>
        <v>14920000</v>
      </c>
      <c r="W213" s="1340">
        <v>14920000</v>
      </c>
      <c r="X213" s="1138">
        <v>14920000</v>
      </c>
    </row>
    <row r="214" spans="2:24" s="1139" customFormat="1" ht="12.75">
      <c r="B214" s="1131"/>
      <c r="C214" s="1132"/>
      <c r="D214" s="1326"/>
      <c r="E214" s="1326"/>
      <c r="F214" s="1133">
        <v>174</v>
      </c>
      <c r="G214" s="1249">
        <v>464</v>
      </c>
      <c r="H214" s="1682" t="s">
        <v>112</v>
      </c>
      <c r="I214" s="1683"/>
      <c r="J214" s="1684"/>
      <c r="K214" s="1262">
        <v>1800000</v>
      </c>
      <c r="L214" s="1242">
        <v>1044129.03</v>
      </c>
      <c r="M214" s="1112">
        <f>'Rashodi-2021'!M246</f>
        <v>1500000</v>
      </c>
      <c r="N214" s="1112" t="e">
        <f>'Rashodi-2021'!#REF!</f>
        <v>#REF!</v>
      </c>
      <c r="O214" s="1215">
        <f>'Rashodi-2021'!N246</f>
        <v>0</v>
      </c>
      <c r="P214" s="1208">
        <f>'Rashodi-2021'!O246</f>
        <v>0</v>
      </c>
      <c r="Q214" s="1208">
        <f>'Rashodi-2021'!P246</f>
        <v>0</v>
      </c>
      <c r="R214" s="1208">
        <f>'Rashodi-2021'!Q246</f>
        <v>0</v>
      </c>
      <c r="S214" s="1208">
        <f>'Rashodi-2021'!R246</f>
        <v>0</v>
      </c>
      <c r="T214" s="1208">
        <f>'Rashodi-2021'!S246</f>
        <v>0</v>
      </c>
      <c r="U214" s="1241">
        <f t="shared" si="8"/>
        <v>0</v>
      </c>
      <c r="V214" s="1138">
        <f>'Rashodi-2021'!U246</f>
        <v>1500000</v>
      </c>
      <c r="W214" s="1138">
        <v>1500000</v>
      </c>
      <c r="X214" s="1138">
        <v>1500000</v>
      </c>
    </row>
    <row r="215" spans="2:24" s="1139" customFormat="1" ht="12.75">
      <c r="B215" s="1131"/>
      <c r="C215" s="1132"/>
      <c r="D215" s="1326"/>
      <c r="E215" s="1326"/>
      <c r="F215" s="1133">
        <v>175</v>
      </c>
      <c r="G215" s="1249">
        <v>464</v>
      </c>
      <c r="H215" s="1682" t="s">
        <v>113</v>
      </c>
      <c r="I215" s="1683"/>
      <c r="J215" s="1684"/>
      <c r="K215" s="1264">
        <v>288000</v>
      </c>
      <c r="L215" s="1265">
        <v>184777.78</v>
      </c>
      <c r="M215" s="1112">
        <f>'Rashodi-2021'!M247</f>
        <v>250000</v>
      </c>
      <c r="N215" s="1112" t="e">
        <f>'Rashodi-2021'!#REF!</f>
        <v>#REF!</v>
      </c>
      <c r="O215" s="1215">
        <f>'Rashodi-2021'!N247</f>
        <v>0</v>
      </c>
      <c r="P215" s="1208">
        <f>'Rashodi-2021'!O247</f>
        <v>0</v>
      </c>
      <c r="Q215" s="1208">
        <f>'Rashodi-2021'!P247</f>
        <v>0</v>
      </c>
      <c r="R215" s="1208">
        <f>'Rashodi-2021'!Q247</f>
        <v>0</v>
      </c>
      <c r="S215" s="1208">
        <f>'Rashodi-2021'!R247</f>
        <v>0</v>
      </c>
      <c r="T215" s="1208">
        <f>'Rashodi-2021'!S247</f>
        <v>0</v>
      </c>
      <c r="U215" s="1241">
        <f t="shared" si="8"/>
        <v>0</v>
      </c>
      <c r="V215" s="1138">
        <f>'Rashodi-2021'!U247</f>
        <v>250000</v>
      </c>
      <c r="W215" s="1138">
        <v>250000</v>
      </c>
      <c r="X215" s="1138">
        <v>250000</v>
      </c>
    </row>
    <row r="216" spans="2:24" s="1139" customFormat="1" ht="12.75">
      <c r="B216" s="1131"/>
      <c r="C216" s="1132"/>
      <c r="D216" s="1326"/>
      <c r="E216" s="1326"/>
      <c r="F216" s="1298">
        <v>176</v>
      </c>
      <c r="G216" s="1249">
        <v>464</v>
      </c>
      <c r="H216" s="1685" t="s">
        <v>99</v>
      </c>
      <c r="I216" s="1686"/>
      <c r="J216" s="1686"/>
      <c r="K216" s="1112">
        <v>420000</v>
      </c>
      <c r="L216" s="1269">
        <v>314128.45999999996</v>
      </c>
      <c r="M216" s="1112">
        <f>'Rashodi-2021'!M249</f>
        <v>750000</v>
      </c>
      <c r="N216" s="1112" t="e">
        <f>'Rashodi-2021'!#REF!</f>
        <v>#REF!</v>
      </c>
      <c r="O216" s="1215">
        <f>'Rashodi-2021'!N249</f>
        <v>0</v>
      </c>
      <c r="P216" s="1208">
        <f>'Rashodi-2021'!O249</f>
        <v>0</v>
      </c>
      <c r="Q216" s="1208">
        <f>'Rashodi-2021'!P249</f>
        <v>0</v>
      </c>
      <c r="R216" s="1208">
        <f>'Rashodi-2021'!Q249</f>
        <v>0</v>
      </c>
      <c r="S216" s="1208">
        <f>'Rashodi-2021'!R249</f>
        <v>0</v>
      </c>
      <c r="T216" s="1208">
        <f>'Rashodi-2021'!S249</f>
        <v>0</v>
      </c>
      <c r="U216" s="1209">
        <v>0</v>
      </c>
      <c r="V216" s="1138">
        <f>'Rashodi-2021'!U249</f>
        <v>750000</v>
      </c>
      <c r="W216" s="1138">
        <v>750000</v>
      </c>
      <c r="X216" s="1138">
        <v>750000</v>
      </c>
    </row>
    <row r="217" spans="2:24" s="1139" customFormat="1" ht="12.75">
      <c r="B217" s="1131"/>
      <c r="C217" s="1132"/>
      <c r="D217" s="1326"/>
      <c r="E217" s="1326"/>
      <c r="F217" s="1298">
        <v>177</v>
      </c>
      <c r="G217" s="1249">
        <v>464</v>
      </c>
      <c r="H217" s="1186" t="s">
        <v>100</v>
      </c>
      <c r="I217" s="1187"/>
      <c r="J217" s="1187"/>
      <c r="K217" s="1112">
        <v>200000</v>
      </c>
      <c r="L217" s="1269">
        <v>199274.09</v>
      </c>
      <c r="M217" s="1112">
        <f>'Rashodi-2021'!M250</f>
        <v>1100000</v>
      </c>
      <c r="N217" s="1112" t="e">
        <f>'Rashodi-2021'!#REF!</f>
        <v>#REF!</v>
      </c>
      <c r="O217" s="1215">
        <f>'Rashodi-2021'!N250</f>
        <v>0</v>
      </c>
      <c r="P217" s="1208">
        <f>'Rashodi-2021'!O250</f>
        <v>0</v>
      </c>
      <c r="Q217" s="1208">
        <f>'Rashodi-2021'!P250</f>
        <v>0</v>
      </c>
      <c r="R217" s="1208">
        <f>'Rashodi-2021'!Q250</f>
        <v>0</v>
      </c>
      <c r="S217" s="1208">
        <f>'Rashodi-2021'!R250</f>
        <v>0</v>
      </c>
      <c r="T217" s="1208">
        <f>'Rashodi-2021'!S250</f>
        <v>0</v>
      </c>
      <c r="U217" s="1209"/>
      <c r="V217" s="1138">
        <f>'Rashodi-2021'!U250</f>
        <v>1100000</v>
      </c>
      <c r="W217" s="1138">
        <v>1100000</v>
      </c>
      <c r="X217" s="1138">
        <v>1100000</v>
      </c>
    </row>
    <row r="218" spans="2:24" s="1139" customFormat="1" ht="12.75">
      <c r="B218" s="1286"/>
      <c r="C218" s="1245"/>
      <c r="D218" s="1134"/>
      <c r="E218" s="1134"/>
      <c r="F218" s="1298">
        <v>178</v>
      </c>
      <c r="G218" s="1249">
        <v>464</v>
      </c>
      <c r="H218" s="1256" t="s">
        <v>102</v>
      </c>
      <c r="I218" s="1257"/>
      <c r="J218" s="1257"/>
      <c r="K218" s="1112">
        <v>4953000</v>
      </c>
      <c r="L218" s="1269">
        <v>4855310.440000001</v>
      </c>
      <c r="M218" s="1112">
        <f>'Rashodi-2021'!M251</f>
        <v>7500000</v>
      </c>
      <c r="N218" s="1112" t="e">
        <f>'Rashodi-2021'!#REF!</f>
        <v>#REF!</v>
      </c>
      <c r="O218" s="1215">
        <f>'Rashodi-2021'!N251</f>
        <v>0</v>
      </c>
      <c r="P218" s="1208">
        <f>'Rashodi-2021'!O251</f>
        <v>0</v>
      </c>
      <c r="Q218" s="1208">
        <f>'Rashodi-2021'!P251</f>
        <v>0</v>
      </c>
      <c r="R218" s="1208">
        <f>'Rashodi-2021'!Q251</f>
        <v>0</v>
      </c>
      <c r="S218" s="1208">
        <f>'Rashodi-2021'!R251</f>
        <v>0</v>
      </c>
      <c r="T218" s="1208">
        <f>'Rashodi-2021'!S251</f>
        <v>0</v>
      </c>
      <c r="U218" s="1209">
        <f t="shared" si="8"/>
        <v>0</v>
      </c>
      <c r="V218" s="1138">
        <f>'Rashodi-2021'!U251</f>
        <v>7500000</v>
      </c>
      <c r="W218" s="1138">
        <v>7500000</v>
      </c>
      <c r="X218" s="1138">
        <v>7500000</v>
      </c>
    </row>
    <row r="219" spans="2:24" s="1139" customFormat="1" ht="12.75">
      <c r="B219" s="1286"/>
      <c r="C219" s="1245"/>
      <c r="D219" s="1134"/>
      <c r="E219" s="1134"/>
      <c r="F219" s="1133">
        <v>179</v>
      </c>
      <c r="G219" s="1249">
        <v>464</v>
      </c>
      <c r="H219" s="1256" t="s">
        <v>104</v>
      </c>
      <c r="I219" s="1257"/>
      <c r="J219" s="1257"/>
      <c r="K219" s="1112">
        <v>675000</v>
      </c>
      <c r="L219" s="1269">
        <v>645639</v>
      </c>
      <c r="M219" s="1112">
        <f>'Rashodi-2021'!M252</f>
        <v>1000000</v>
      </c>
      <c r="N219" s="1112" t="e">
        <f>'Rashodi-2021'!#REF!</f>
        <v>#REF!</v>
      </c>
      <c r="O219" s="1215">
        <f>'Rashodi-2021'!N252</f>
        <v>0</v>
      </c>
      <c r="P219" s="1208">
        <f>'Rashodi-2021'!O252</f>
        <v>0</v>
      </c>
      <c r="Q219" s="1208">
        <f>'Rashodi-2021'!P252</f>
        <v>0</v>
      </c>
      <c r="R219" s="1208">
        <f>'Rashodi-2021'!Q252</f>
        <v>0</v>
      </c>
      <c r="S219" s="1208">
        <f>'Rashodi-2021'!R252</f>
        <v>0</v>
      </c>
      <c r="T219" s="1208">
        <f>'Rashodi-2021'!S252</f>
        <v>0</v>
      </c>
      <c r="U219" s="1209">
        <f t="shared" si="8"/>
        <v>0</v>
      </c>
      <c r="V219" s="1138">
        <f>'Rashodi-2021'!U252</f>
        <v>1000000</v>
      </c>
      <c r="W219" s="1138">
        <v>1000000</v>
      </c>
      <c r="X219" s="1138">
        <v>1000000</v>
      </c>
    </row>
    <row r="220" spans="2:24" s="1139" customFormat="1" ht="12.75">
      <c r="B220" s="1286"/>
      <c r="C220" s="1245"/>
      <c r="D220" s="1134"/>
      <c r="E220" s="1134"/>
      <c r="F220" s="1298">
        <v>180</v>
      </c>
      <c r="G220" s="1249">
        <v>464</v>
      </c>
      <c r="H220" s="1256" t="s">
        <v>1390</v>
      </c>
      <c r="I220" s="1257"/>
      <c r="J220" s="1257"/>
      <c r="K220" s="1112">
        <v>200000</v>
      </c>
      <c r="L220" s="1269">
        <v>195625.6</v>
      </c>
      <c r="M220" s="1112">
        <f>'Rashodi-2021'!M253</f>
        <v>800000</v>
      </c>
      <c r="N220" s="1112" t="e">
        <f>'Rashodi-2021'!#REF!</f>
        <v>#REF!</v>
      </c>
      <c r="O220" s="1215">
        <f>'Rashodi-2021'!N253</f>
        <v>0</v>
      </c>
      <c r="P220" s="1208">
        <f>'Rashodi-2021'!O253</f>
        <v>0</v>
      </c>
      <c r="Q220" s="1208">
        <f>'Rashodi-2021'!P253</f>
        <v>0</v>
      </c>
      <c r="R220" s="1208">
        <f>'Rashodi-2021'!Q253</f>
        <v>0</v>
      </c>
      <c r="S220" s="1208">
        <f>'Rashodi-2021'!R253</f>
        <v>0</v>
      </c>
      <c r="T220" s="1208">
        <f>'Rashodi-2021'!S253</f>
        <v>0</v>
      </c>
      <c r="U220" s="1209">
        <f t="shared" si="8"/>
        <v>0</v>
      </c>
      <c r="V220" s="1138">
        <f>'Rashodi-2021'!U253</f>
        <v>800000</v>
      </c>
      <c r="W220" s="1138">
        <v>800000</v>
      </c>
      <c r="X220" s="1138">
        <v>800000</v>
      </c>
    </row>
    <row r="221" spans="2:24" ht="15" customHeight="1">
      <c r="B221" s="580"/>
      <c r="C221" s="808"/>
      <c r="D221" s="719" t="s">
        <v>1186</v>
      </c>
      <c r="E221" s="809" t="s">
        <v>1230</v>
      </c>
      <c r="F221" s="719"/>
      <c r="G221" s="543"/>
      <c r="H221" s="1561" t="s">
        <v>1231</v>
      </c>
      <c r="I221" s="1562"/>
      <c r="J221" s="1562"/>
      <c r="K221" s="1062">
        <f>K222</f>
        <v>200000</v>
      </c>
      <c r="L221" s="1114">
        <f>L222</f>
        <v>105048.71</v>
      </c>
      <c r="M221" s="1128">
        <f>'Rashodi-2021'!M255</f>
        <v>200000</v>
      </c>
      <c r="N221" s="1128" t="e">
        <f>'Rashodi-2021'!#REF!</f>
        <v>#REF!</v>
      </c>
      <c r="O221" s="1214">
        <f>'Rashodi-2021'!N255</f>
        <v>0</v>
      </c>
      <c r="P221" s="1194">
        <f>'Rashodi-2021'!O255</f>
        <v>0</v>
      </c>
      <c r="Q221" s="1194">
        <f>'Rashodi-2021'!P255</f>
        <v>0</v>
      </c>
      <c r="R221" s="1194">
        <f>'Rashodi-2021'!Q255</f>
        <v>0</v>
      </c>
      <c r="S221" s="1194">
        <f>'Rashodi-2021'!R255</f>
        <v>0</v>
      </c>
      <c r="T221" s="1194">
        <f>'Rashodi-2021'!S255</f>
        <v>0</v>
      </c>
      <c r="U221" s="1195">
        <f t="shared" si="8"/>
        <v>0</v>
      </c>
      <c r="V221" s="1196">
        <f>'Rashodi-2021'!U255</f>
        <v>200000</v>
      </c>
      <c r="W221" s="1052">
        <v>200000</v>
      </c>
      <c r="X221" s="652">
        <v>200000</v>
      </c>
    </row>
    <row r="222" spans="2:24" s="1139" customFormat="1" ht="12.75">
      <c r="B222" s="1286"/>
      <c r="C222" s="1245"/>
      <c r="D222" s="1246">
        <v>721</v>
      </c>
      <c r="E222" s="1247"/>
      <c r="F222" s="1248"/>
      <c r="G222" s="1249"/>
      <c r="H222" s="1251" t="s">
        <v>336</v>
      </c>
      <c r="I222" s="1252"/>
      <c r="J222" s="1266"/>
      <c r="K222" s="1206">
        <f>K223</f>
        <v>200000</v>
      </c>
      <c r="L222" s="1267">
        <f>L223</f>
        <v>105048.71</v>
      </c>
      <c r="M222" s="1130">
        <f>'Rashodi-2021'!M256</f>
        <v>200000</v>
      </c>
      <c r="N222" s="1130" t="e">
        <f>'Rashodi-2021'!#REF!</f>
        <v>#REF!</v>
      </c>
      <c r="O222" s="1216">
        <f>'Rashodi-2021'!N256</f>
        <v>0</v>
      </c>
      <c r="P222" s="1202">
        <f>'Rashodi-2021'!O256</f>
        <v>0</v>
      </c>
      <c r="Q222" s="1202">
        <f>'Rashodi-2021'!P256</f>
        <v>0</v>
      </c>
      <c r="R222" s="1202">
        <f>'Rashodi-2021'!Q256</f>
        <v>0</v>
      </c>
      <c r="S222" s="1202">
        <f>'Rashodi-2021'!R256</f>
        <v>0</v>
      </c>
      <c r="T222" s="1202">
        <f>'Rashodi-2021'!S256</f>
        <v>0</v>
      </c>
      <c r="U222" s="1204">
        <f t="shared" si="8"/>
        <v>0</v>
      </c>
      <c r="V222" s="1203">
        <f>'Rashodi-2021'!U256</f>
        <v>200000</v>
      </c>
      <c r="W222" s="1203">
        <v>200000</v>
      </c>
      <c r="X222" s="1138">
        <v>200000</v>
      </c>
    </row>
    <row r="223" spans="2:24" s="1139" customFormat="1" ht="12.75">
      <c r="B223" s="1286"/>
      <c r="C223" s="1245"/>
      <c r="D223" s="1248"/>
      <c r="E223" s="1245"/>
      <c r="F223" s="1254">
        <v>182</v>
      </c>
      <c r="G223" s="1255">
        <v>424</v>
      </c>
      <c r="H223" s="1682" t="s">
        <v>1391</v>
      </c>
      <c r="I223" s="1683"/>
      <c r="J223" s="1683"/>
      <c r="K223" s="1112">
        <v>200000</v>
      </c>
      <c r="L223" s="1269">
        <v>105048.71</v>
      </c>
      <c r="M223" s="1112">
        <f>'Rashodi-2021'!M257</f>
        <v>200000</v>
      </c>
      <c r="N223" s="1112" t="e">
        <f>'Rashodi-2021'!#REF!</f>
        <v>#REF!</v>
      </c>
      <c r="O223" s="1215">
        <f>'Rashodi-2021'!N257</f>
        <v>0</v>
      </c>
      <c r="P223" s="1208">
        <f>'Rashodi-2021'!O257</f>
        <v>0</v>
      </c>
      <c r="Q223" s="1208">
        <f>'Rashodi-2021'!P257</f>
        <v>0</v>
      </c>
      <c r="R223" s="1208">
        <f>'Rashodi-2021'!Q257</f>
        <v>0</v>
      </c>
      <c r="S223" s="1208">
        <f>'Rashodi-2021'!R257</f>
        <v>0</v>
      </c>
      <c r="T223" s="1208">
        <f>'Rashodi-2021'!S257</f>
        <v>0</v>
      </c>
      <c r="U223" s="1220">
        <f t="shared" si="8"/>
        <v>0</v>
      </c>
      <c r="V223" s="1138">
        <f>'Rashodi-2021'!U257</f>
        <v>200000</v>
      </c>
      <c r="W223" s="1261">
        <v>200000</v>
      </c>
      <c r="X223" s="1138">
        <v>200000</v>
      </c>
    </row>
    <row r="224" spans="2:24" ht="12.75">
      <c r="B224" s="284"/>
      <c r="C224" s="285"/>
      <c r="D224" s="428"/>
      <c r="E224" s="610" t="s">
        <v>310</v>
      </c>
      <c r="F224" s="428"/>
      <c r="G224" s="429"/>
      <c r="H224" s="1520" t="s">
        <v>1232</v>
      </c>
      <c r="I224" s="1521"/>
      <c r="J224" s="1522"/>
      <c r="K224" s="933">
        <f>K225+K238</f>
        <v>19000000</v>
      </c>
      <c r="L224" s="1074">
        <f>L225+L238</f>
        <v>5612836.61</v>
      </c>
      <c r="M224" s="957">
        <f>'Rashodi-2021'!M258</f>
        <v>6800000</v>
      </c>
      <c r="N224" s="957" t="e">
        <f>'Rashodi-2021'!#REF!</f>
        <v>#REF!</v>
      </c>
      <c r="O224" s="1213">
        <f>'Rashodi-2021'!N258</f>
        <v>0</v>
      </c>
      <c r="P224" s="1189">
        <f>'Rashodi-2021'!O258</f>
        <v>0</v>
      </c>
      <c r="Q224" s="1189">
        <f>'Rashodi-2021'!P258</f>
        <v>32606489.5</v>
      </c>
      <c r="R224" s="1189">
        <f>'Rashodi-2021'!Q258</f>
        <v>49600000</v>
      </c>
      <c r="S224" s="1189">
        <f>'Rashodi-2021'!R258</f>
        <v>0</v>
      </c>
      <c r="T224" s="1189">
        <f>'Rashodi-2021'!S258</f>
        <v>0</v>
      </c>
      <c r="U224" s="1190">
        <f t="shared" si="8"/>
        <v>82206489.5</v>
      </c>
      <c r="V224" s="1107">
        <f>'Rashodi-2021'!U258</f>
        <v>89006489.5</v>
      </c>
      <c r="W224" s="848">
        <v>89006489.5</v>
      </c>
      <c r="X224" s="848">
        <v>89006489.5</v>
      </c>
    </row>
    <row r="225" spans="2:24" ht="26.25" customHeight="1">
      <c r="B225" s="284"/>
      <c r="C225" s="285"/>
      <c r="D225" s="428"/>
      <c r="E225" s="346" t="s">
        <v>311</v>
      </c>
      <c r="F225" s="428"/>
      <c r="G225" s="429"/>
      <c r="H225" s="1489" t="s">
        <v>1233</v>
      </c>
      <c r="I225" s="1490"/>
      <c r="J225" s="1491"/>
      <c r="K225" s="916">
        <f>K226</f>
        <v>14500000</v>
      </c>
      <c r="L225" s="1054">
        <f>L226</f>
        <v>5612836.61</v>
      </c>
      <c r="M225" s="1128">
        <f>'Rashodi-2021'!M259</f>
        <v>5300000</v>
      </c>
      <c r="N225" s="1128" t="e">
        <f>'Rashodi-2021'!#REF!</f>
        <v>#REF!</v>
      </c>
      <c r="O225" s="1214">
        <f>'Rashodi-2021'!N259</f>
        <v>0</v>
      </c>
      <c r="P225" s="1194">
        <f>'Rashodi-2021'!O259</f>
        <v>0</v>
      </c>
      <c r="Q225" s="1194">
        <f>'Rashodi-2021'!P259</f>
        <v>32606489.5</v>
      </c>
      <c r="R225" s="1194">
        <f>'Rashodi-2021'!Q259</f>
        <v>49600000</v>
      </c>
      <c r="S225" s="1194">
        <f>'Rashodi-2021'!R259</f>
        <v>0</v>
      </c>
      <c r="T225" s="1194">
        <f>'Rashodi-2021'!S259</f>
        <v>0</v>
      </c>
      <c r="U225" s="1195">
        <f t="shared" si="8"/>
        <v>82206489.5</v>
      </c>
      <c r="V225" s="1196">
        <f>'Rashodi-2021'!U259</f>
        <v>87506489.5</v>
      </c>
      <c r="W225" s="652">
        <v>87506489.5</v>
      </c>
      <c r="X225" s="652">
        <v>87506489.5</v>
      </c>
    </row>
    <row r="226" spans="2:24" s="1139" customFormat="1" ht="12.75">
      <c r="B226" s="1286"/>
      <c r="C226" s="1245"/>
      <c r="D226" s="1246">
        <v>420</v>
      </c>
      <c r="E226" s="1247"/>
      <c r="F226" s="1248"/>
      <c r="G226" s="1249"/>
      <c r="H226" s="1251" t="s">
        <v>211</v>
      </c>
      <c r="I226" s="1252"/>
      <c r="J226" s="1258"/>
      <c r="K226" s="1259">
        <f>SUM(K227:K237)</f>
        <v>14500000</v>
      </c>
      <c r="L226" s="1260">
        <f>SUM(L227:L237)</f>
        <v>5612836.61</v>
      </c>
      <c r="M226" s="1130">
        <f>'Rashodi-2021'!M260</f>
        <v>5300000</v>
      </c>
      <c r="N226" s="1130" t="e">
        <f>'Rashodi-2021'!#REF!</f>
        <v>#REF!</v>
      </c>
      <c r="O226" s="1216">
        <f>'Rashodi-2021'!N260</f>
        <v>0</v>
      </c>
      <c r="P226" s="1202">
        <f>'Rashodi-2021'!O260</f>
        <v>0</v>
      </c>
      <c r="Q226" s="1202">
        <f>'Rashodi-2021'!P260</f>
        <v>32606489.5</v>
      </c>
      <c r="R226" s="1202">
        <f>'Rashodi-2021'!Q260</f>
        <v>49600000</v>
      </c>
      <c r="S226" s="1202">
        <f>'Rashodi-2021'!R260</f>
        <v>0</v>
      </c>
      <c r="T226" s="1202">
        <f>'Rashodi-2021'!S260</f>
        <v>0</v>
      </c>
      <c r="U226" s="1275">
        <f t="shared" si="8"/>
        <v>82206489.5</v>
      </c>
      <c r="V226" s="1203">
        <f>'Rashodi-2021'!U260</f>
        <v>87506489.5</v>
      </c>
      <c r="W226" s="1203">
        <v>87506489.5</v>
      </c>
      <c r="X226" s="1138">
        <v>87506489.5</v>
      </c>
    </row>
    <row r="227" spans="2:24" s="1139" customFormat="1" ht="12.75">
      <c r="B227" s="1286"/>
      <c r="C227" s="1245"/>
      <c r="D227" s="1248"/>
      <c r="E227" s="1245"/>
      <c r="F227" s="1248">
        <v>183</v>
      </c>
      <c r="G227" s="1255">
        <v>421</v>
      </c>
      <c r="H227" s="1682" t="s">
        <v>219</v>
      </c>
      <c r="I227" s="1683"/>
      <c r="J227" s="1684"/>
      <c r="K227" s="1262">
        <v>300000</v>
      </c>
      <c r="L227" s="1242">
        <v>3347</v>
      </c>
      <c r="M227" s="1112">
        <f>'Rashodi-2021'!M261</f>
        <v>100000</v>
      </c>
      <c r="N227" s="1112" t="e">
        <f>'Rashodi-2021'!#REF!</f>
        <v>#REF!</v>
      </c>
      <c r="O227" s="1215">
        <f>'Rashodi-2021'!N261</f>
        <v>0</v>
      </c>
      <c r="P227" s="1208">
        <f>'Rashodi-2021'!O261</f>
        <v>0</v>
      </c>
      <c r="Q227" s="1208">
        <f>'Rashodi-2021'!P261</f>
        <v>0</v>
      </c>
      <c r="R227" s="1208">
        <f>'Rashodi-2021'!Q261</f>
        <v>0</v>
      </c>
      <c r="S227" s="1208">
        <f>'Rashodi-2021'!R261</f>
        <v>0</v>
      </c>
      <c r="T227" s="1208">
        <f>'Rashodi-2021'!S261</f>
        <v>0</v>
      </c>
      <c r="U227" s="1220">
        <f t="shared" si="8"/>
        <v>0</v>
      </c>
      <c r="V227" s="1138">
        <f>'Rashodi-2021'!U261</f>
        <v>100000</v>
      </c>
      <c r="W227" s="1261">
        <v>100000</v>
      </c>
      <c r="X227" s="1138">
        <v>100000</v>
      </c>
    </row>
    <row r="228" spans="2:24" s="1139" customFormat="1" ht="12.75">
      <c r="B228" s="1286"/>
      <c r="C228" s="1245"/>
      <c r="D228" s="1289"/>
      <c r="E228" s="1134"/>
      <c r="F228" s="1248">
        <v>184</v>
      </c>
      <c r="G228" s="1249">
        <v>423</v>
      </c>
      <c r="H228" s="1685" t="s">
        <v>1392</v>
      </c>
      <c r="I228" s="1686"/>
      <c r="J228" s="1687"/>
      <c r="K228" s="1262">
        <v>3000000</v>
      </c>
      <c r="L228" s="1242">
        <v>507168</v>
      </c>
      <c r="M228" s="1112">
        <f>'Rashodi-2021'!M262</f>
        <v>3000000</v>
      </c>
      <c r="N228" s="1112" t="e">
        <f>'Rashodi-2021'!#REF!</f>
        <v>#REF!</v>
      </c>
      <c r="O228" s="1215">
        <f>'Rashodi-2021'!N262</f>
        <v>0</v>
      </c>
      <c r="P228" s="1208">
        <f>'Rashodi-2021'!O262</f>
        <v>0</v>
      </c>
      <c r="Q228" s="1208">
        <f>'Rashodi-2021'!P262</f>
        <v>0</v>
      </c>
      <c r="R228" s="1208">
        <f>'Rashodi-2021'!Q262</f>
        <v>1000000</v>
      </c>
      <c r="S228" s="1208">
        <f>'Rashodi-2021'!R262</f>
        <v>0</v>
      </c>
      <c r="T228" s="1208">
        <f>'Rashodi-2021'!S262</f>
        <v>0</v>
      </c>
      <c r="U228" s="1209">
        <f t="shared" si="8"/>
        <v>1000000</v>
      </c>
      <c r="V228" s="1138">
        <f>'Rashodi-2021'!U262</f>
        <v>4000000</v>
      </c>
      <c r="W228" s="1138">
        <v>4000000</v>
      </c>
      <c r="X228" s="1138">
        <v>4000000</v>
      </c>
    </row>
    <row r="229" spans="2:24" s="1139" customFormat="1" ht="12.75">
      <c r="B229" s="1286"/>
      <c r="C229" s="1245"/>
      <c r="D229" s="1248"/>
      <c r="E229" s="1245"/>
      <c r="F229" s="1248">
        <v>185</v>
      </c>
      <c r="G229" s="1255">
        <v>424</v>
      </c>
      <c r="H229" s="1682" t="s">
        <v>1397</v>
      </c>
      <c r="I229" s="1683"/>
      <c r="J229" s="1684"/>
      <c r="K229" s="1262">
        <v>0</v>
      </c>
      <c r="L229" s="1242">
        <v>0</v>
      </c>
      <c r="M229" s="1112">
        <f>'Rashodi-2021'!M263</f>
        <v>0</v>
      </c>
      <c r="N229" s="1112" t="e">
        <f>'Rashodi-2021'!#REF!</f>
        <v>#REF!</v>
      </c>
      <c r="O229" s="1215">
        <f>'Rashodi-2021'!N263</f>
        <v>0</v>
      </c>
      <c r="P229" s="1208">
        <f>'Rashodi-2021'!O263</f>
        <v>0</v>
      </c>
      <c r="Q229" s="1208">
        <f>'Rashodi-2021'!P263</f>
        <v>0</v>
      </c>
      <c r="R229" s="1208">
        <f>'Rashodi-2021'!Q263</f>
        <v>1000000</v>
      </c>
      <c r="S229" s="1208">
        <f>'Rashodi-2021'!R263</f>
        <v>0</v>
      </c>
      <c r="T229" s="1208">
        <f>'Rashodi-2021'!S263</f>
        <v>0</v>
      </c>
      <c r="U229" s="1241">
        <f t="shared" si="8"/>
        <v>1000000</v>
      </c>
      <c r="V229" s="1138">
        <f>'Rashodi-2021'!U263</f>
        <v>1000000</v>
      </c>
      <c r="W229" s="1261">
        <v>1000000</v>
      </c>
      <c r="X229" s="1138">
        <v>1000000</v>
      </c>
    </row>
    <row r="230" spans="2:24" s="1139" customFormat="1" ht="12.75">
      <c r="B230" s="1286"/>
      <c r="C230" s="1245"/>
      <c r="D230" s="1248"/>
      <c r="E230" s="1245"/>
      <c r="F230" s="1248">
        <v>186</v>
      </c>
      <c r="G230" s="1255">
        <v>424</v>
      </c>
      <c r="H230" s="1682" t="s">
        <v>1398</v>
      </c>
      <c r="I230" s="1683"/>
      <c r="J230" s="1684"/>
      <c r="K230" s="1262">
        <v>3200000</v>
      </c>
      <c r="L230" s="1242">
        <v>0</v>
      </c>
      <c r="M230" s="1112">
        <f>'Rashodi-2021'!M264</f>
        <v>1000000</v>
      </c>
      <c r="N230" s="1112" t="e">
        <f>'Rashodi-2021'!#REF!</f>
        <v>#REF!</v>
      </c>
      <c r="O230" s="1215">
        <f>'Rashodi-2021'!N264</f>
        <v>0</v>
      </c>
      <c r="P230" s="1208">
        <f>'Rashodi-2021'!O264</f>
        <v>0</v>
      </c>
      <c r="Q230" s="1208">
        <f>'Rashodi-2021'!P264</f>
        <v>0</v>
      </c>
      <c r="R230" s="1208">
        <f>'Rashodi-2021'!Q264</f>
        <v>2600000</v>
      </c>
      <c r="S230" s="1208">
        <f>'Rashodi-2021'!R264</f>
        <v>0</v>
      </c>
      <c r="T230" s="1208">
        <f>'Rashodi-2021'!S264</f>
        <v>0</v>
      </c>
      <c r="U230" s="1241">
        <f t="shared" si="8"/>
        <v>2600000</v>
      </c>
      <c r="V230" s="1138">
        <f>'Rashodi-2021'!U264</f>
        <v>3600000</v>
      </c>
      <c r="W230" s="1261">
        <v>3600000</v>
      </c>
      <c r="X230" s="1138">
        <v>3600000</v>
      </c>
    </row>
    <row r="231" spans="2:24" s="1139" customFormat="1" ht="12.75">
      <c r="B231" s="1286"/>
      <c r="C231" s="1245"/>
      <c r="D231" s="1248"/>
      <c r="E231" s="1245"/>
      <c r="F231" s="1248">
        <v>187</v>
      </c>
      <c r="G231" s="1255">
        <v>424</v>
      </c>
      <c r="H231" s="1682" t="s">
        <v>1399</v>
      </c>
      <c r="I231" s="1683"/>
      <c r="J231" s="1684"/>
      <c r="K231" s="1262">
        <v>5000000</v>
      </c>
      <c r="L231" s="1242">
        <v>5000000</v>
      </c>
      <c r="M231" s="1112">
        <f>'Rashodi-2021'!M265</f>
        <v>0</v>
      </c>
      <c r="N231" s="1112" t="e">
        <f>'Rashodi-2021'!#REF!</f>
        <v>#REF!</v>
      </c>
      <c r="O231" s="1215">
        <f>'Rashodi-2021'!N265</f>
        <v>0</v>
      </c>
      <c r="P231" s="1208">
        <f>'Rashodi-2021'!O265</f>
        <v>0</v>
      </c>
      <c r="Q231" s="1208">
        <f>'Rashodi-2021'!P265</f>
        <v>18610000</v>
      </c>
      <c r="R231" s="1208">
        <f>'Rashodi-2021'!Q265</f>
        <v>20000000</v>
      </c>
      <c r="S231" s="1208">
        <f>'Rashodi-2021'!R265</f>
        <v>0</v>
      </c>
      <c r="T231" s="1208">
        <f>'Rashodi-2021'!S265</f>
        <v>0</v>
      </c>
      <c r="U231" s="1241">
        <f t="shared" si="8"/>
        <v>38610000</v>
      </c>
      <c r="V231" s="1138">
        <f>'Rashodi-2021'!U265</f>
        <v>38610000</v>
      </c>
      <c r="W231" s="1261">
        <v>38610000</v>
      </c>
      <c r="X231" s="1138">
        <v>38610000</v>
      </c>
    </row>
    <row r="232" spans="2:24" s="1139" customFormat="1" ht="12.75">
      <c r="B232" s="1286"/>
      <c r="C232" s="1245"/>
      <c r="D232" s="1248"/>
      <c r="E232" s="1245"/>
      <c r="F232" s="1133">
        <v>188</v>
      </c>
      <c r="G232" s="1255">
        <v>425</v>
      </c>
      <c r="H232" s="1685" t="s">
        <v>1482</v>
      </c>
      <c r="I232" s="1686"/>
      <c r="J232" s="1687"/>
      <c r="K232" s="1262">
        <v>0</v>
      </c>
      <c r="L232" s="1242">
        <v>0</v>
      </c>
      <c r="M232" s="1112">
        <f>'Rashodi-2021'!M266</f>
        <v>0</v>
      </c>
      <c r="N232" s="1112" t="e">
        <f>'Rashodi-2021'!#REF!</f>
        <v>#REF!</v>
      </c>
      <c r="O232" s="1215">
        <f>'Rashodi-2021'!N266</f>
        <v>0</v>
      </c>
      <c r="P232" s="1208">
        <f>'Rashodi-2021'!O266</f>
        <v>0</v>
      </c>
      <c r="Q232" s="1208">
        <f>'Rashodi-2021'!P266</f>
        <v>13996489.5</v>
      </c>
      <c r="R232" s="1208">
        <f>'Rashodi-2021'!Q266</f>
        <v>10000000</v>
      </c>
      <c r="S232" s="1208">
        <f>'Rashodi-2021'!R266</f>
        <v>0</v>
      </c>
      <c r="T232" s="1208">
        <f>'Rashodi-2021'!S266</f>
        <v>0</v>
      </c>
      <c r="U232" s="1220">
        <f t="shared" si="8"/>
        <v>23996489.5</v>
      </c>
      <c r="V232" s="1138">
        <f>'Rashodi-2021'!U266</f>
        <v>23996489.5</v>
      </c>
      <c r="W232" s="1261">
        <v>23996489.5</v>
      </c>
      <c r="X232" s="1138">
        <v>23996489.5</v>
      </c>
    </row>
    <row r="233" spans="2:24" s="1139" customFormat="1" ht="12.75">
      <c r="B233" s="1286"/>
      <c r="C233" s="1245"/>
      <c r="D233" s="1248"/>
      <c r="E233" s="1245"/>
      <c r="F233" s="1133">
        <v>189</v>
      </c>
      <c r="G233" s="1255">
        <v>426</v>
      </c>
      <c r="H233" s="1682" t="s">
        <v>1393</v>
      </c>
      <c r="I233" s="1683"/>
      <c r="J233" s="1684"/>
      <c r="K233" s="1262">
        <v>500000</v>
      </c>
      <c r="L233" s="1242">
        <v>25160</v>
      </c>
      <c r="M233" s="1112">
        <f>'Rashodi-2021'!M267</f>
        <v>500000</v>
      </c>
      <c r="N233" s="1112" t="e">
        <f>'Rashodi-2021'!#REF!</f>
        <v>#REF!</v>
      </c>
      <c r="O233" s="1215">
        <f>'Rashodi-2021'!N267</f>
        <v>0</v>
      </c>
      <c r="P233" s="1208">
        <f>'Rashodi-2021'!O267</f>
        <v>0</v>
      </c>
      <c r="Q233" s="1208">
        <f>'Rashodi-2021'!P267</f>
        <v>0</v>
      </c>
      <c r="R233" s="1208">
        <f>'Rashodi-2021'!Q267</f>
        <v>0</v>
      </c>
      <c r="S233" s="1208">
        <f>'Rashodi-2021'!R267</f>
        <v>0</v>
      </c>
      <c r="T233" s="1208">
        <f>'Rashodi-2021'!S267</f>
        <v>0</v>
      </c>
      <c r="U233" s="1220">
        <f t="shared" si="8"/>
        <v>0</v>
      </c>
      <c r="V233" s="1138">
        <f>'Rashodi-2021'!U267</f>
        <v>500000</v>
      </c>
      <c r="W233" s="1261">
        <v>500000</v>
      </c>
      <c r="X233" s="1138">
        <v>500000</v>
      </c>
    </row>
    <row r="234" spans="2:24" s="1139" customFormat="1" ht="12.75">
      <c r="B234" s="1286"/>
      <c r="C234" s="1245"/>
      <c r="D234" s="1248"/>
      <c r="E234" s="1245"/>
      <c r="F234" s="1133">
        <v>190</v>
      </c>
      <c r="G234" s="1255">
        <v>426</v>
      </c>
      <c r="H234" s="1682" t="s">
        <v>1394</v>
      </c>
      <c r="I234" s="1683"/>
      <c r="J234" s="1684"/>
      <c r="K234" s="1262">
        <v>400000</v>
      </c>
      <c r="L234" s="1242">
        <v>77161.61</v>
      </c>
      <c r="M234" s="1112">
        <f>'Rashodi-2021'!M268</f>
        <v>100000</v>
      </c>
      <c r="N234" s="1112" t="e">
        <f>'Rashodi-2021'!#REF!</f>
        <v>#REF!</v>
      </c>
      <c r="O234" s="1215">
        <f>'Rashodi-2021'!N268</f>
        <v>0</v>
      </c>
      <c r="P234" s="1208">
        <f>'Rashodi-2021'!O268</f>
        <v>0</v>
      </c>
      <c r="Q234" s="1208">
        <f>'Rashodi-2021'!P268</f>
        <v>0</v>
      </c>
      <c r="R234" s="1208">
        <f>'Rashodi-2021'!Q268</f>
        <v>0</v>
      </c>
      <c r="S234" s="1208">
        <f>'Rashodi-2021'!R268</f>
        <v>0</v>
      </c>
      <c r="T234" s="1208">
        <f>'Rashodi-2021'!S268</f>
        <v>0</v>
      </c>
      <c r="U234" s="1220">
        <f t="shared" si="8"/>
        <v>0</v>
      </c>
      <c r="V234" s="1138">
        <f>'Rashodi-2021'!U268</f>
        <v>100000</v>
      </c>
      <c r="W234" s="1261">
        <v>100000</v>
      </c>
      <c r="X234" s="1138">
        <v>100000</v>
      </c>
    </row>
    <row r="235" spans="2:24" s="1139" customFormat="1" ht="12.75">
      <c r="B235" s="1286"/>
      <c r="C235" s="1245"/>
      <c r="D235" s="1248"/>
      <c r="E235" s="1245"/>
      <c r="F235" s="1133">
        <v>191</v>
      </c>
      <c r="G235" s="1255">
        <v>451</v>
      </c>
      <c r="H235" s="1682" t="s">
        <v>1395</v>
      </c>
      <c r="I235" s="1683"/>
      <c r="J235" s="1684"/>
      <c r="K235" s="1262">
        <v>0</v>
      </c>
      <c r="L235" s="1242">
        <v>0</v>
      </c>
      <c r="M235" s="1112">
        <f>'Rashodi-2021'!M269</f>
        <v>0</v>
      </c>
      <c r="N235" s="1112" t="e">
        <f>'Rashodi-2021'!#REF!</f>
        <v>#REF!</v>
      </c>
      <c r="O235" s="1215">
        <f>'Rashodi-2021'!N269</f>
        <v>0</v>
      </c>
      <c r="P235" s="1208">
        <f>'Rashodi-2021'!O269</f>
        <v>0</v>
      </c>
      <c r="Q235" s="1208">
        <f>'Rashodi-2021'!P269</f>
        <v>0</v>
      </c>
      <c r="R235" s="1208">
        <f>'Rashodi-2021'!Q269</f>
        <v>15000000</v>
      </c>
      <c r="S235" s="1208">
        <f>'Rashodi-2021'!R269</f>
        <v>0</v>
      </c>
      <c r="T235" s="1208">
        <f>'Rashodi-2021'!S269</f>
        <v>0</v>
      </c>
      <c r="U235" s="1205">
        <f t="shared" si="8"/>
        <v>15000000</v>
      </c>
      <c r="V235" s="1138">
        <f>'Rashodi-2021'!U269</f>
        <v>15000000</v>
      </c>
      <c r="W235" s="1261">
        <v>15000000</v>
      </c>
      <c r="X235" s="1138">
        <v>15000000</v>
      </c>
    </row>
    <row r="236" spans="2:24" s="1139" customFormat="1" ht="12.75">
      <c r="B236" s="1286"/>
      <c r="C236" s="1245"/>
      <c r="D236" s="1248"/>
      <c r="E236" s="1245"/>
      <c r="F236" s="1248">
        <v>192</v>
      </c>
      <c r="G236" s="1255">
        <v>482</v>
      </c>
      <c r="H236" s="1682" t="s">
        <v>218</v>
      </c>
      <c r="I236" s="1683"/>
      <c r="J236" s="1684"/>
      <c r="K236" s="1262">
        <v>100000</v>
      </c>
      <c r="L236" s="1242">
        <v>0</v>
      </c>
      <c r="M236" s="1112">
        <f>'Rashodi-2021'!M270</f>
        <v>100000</v>
      </c>
      <c r="N236" s="1112" t="e">
        <f>'Rashodi-2021'!#REF!</f>
        <v>#REF!</v>
      </c>
      <c r="O236" s="1215">
        <f>'Rashodi-2021'!N270</f>
        <v>0</v>
      </c>
      <c r="P236" s="1208">
        <f>'Rashodi-2021'!O270</f>
        <v>0</v>
      </c>
      <c r="Q236" s="1208">
        <f>'Rashodi-2021'!P270</f>
        <v>0</v>
      </c>
      <c r="R236" s="1208">
        <f>'Rashodi-2021'!Q270</f>
        <v>0</v>
      </c>
      <c r="S236" s="1208">
        <f>'Rashodi-2021'!R270</f>
        <v>0</v>
      </c>
      <c r="T236" s="1208">
        <f>'Rashodi-2021'!S270</f>
        <v>0</v>
      </c>
      <c r="U236" s="1205">
        <f t="shared" si="8"/>
        <v>0</v>
      </c>
      <c r="V236" s="1138">
        <f>'Rashodi-2021'!U270</f>
        <v>100000</v>
      </c>
      <c r="W236" s="1261">
        <v>100000</v>
      </c>
      <c r="X236" s="1138">
        <v>100000</v>
      </c>
    </row>
    <row r="237" spans="2:24" s="1139" customFormat="1" ht="12.75">
      <c r="B237" s="1286"/>
      <c r="C237" s="1245"/>
      <c r="D237" s="1248"/>
      <c r="E237" s="1245"/>
      <c r="F237" s="1248">
        <v>193</v>
      </c>
      <c r="G237" s="1255">
        <v>512</v>
      </c>
      <c r="H237" s="1720" t="s">
        <v>1509</v>
      </c>
      <c r="I237" s="1717"/>
      <c r="J237" s="1721"/>
      <c r="K237" s="1264">
        <v>2000000</v>
      </c>
      <c r="L237" s="1265">
        <v>0</v>
      </c>
      <c r="M237" s="1112">
        <f>'Rashodi-2021'!M271</f>
        <v>500000</v>
      </c>
      <c r="N237" s="1112" t="e">
        <f>'Rashodi-2021'!#REF!</f>
        <v>#REF!</v>
      </c>
      <c r="O237" s="1215">
        <f>'Rashodi-2021'!N271</f>
        <v>0</v>
      </c>
      <c r="P237" s="1208">
        <f>'Rashodi-2021'!O271</f>
        <v>0</v>
      </c>
      <c r="Q237" s="1208">
        <f>'Rashodi-2021'!P271</f>
        <v>0</v>
      </c>
      <c r="R237" s="1208">
        <f>'Rashodi-2021'!Q271</f>
        <v>0</v>
      </c>
      <c r="S237" s="1208">
        <f>'Rashodi-2021'!R271</f>
        <v>0</v>
      </c>
      <c r="T237" s="1208">
        <f>'Rashodi-2021'!S271</f>
        <v>0</v>
      </c>
      <c r="U237" s="1205">
        <f t="shared" si="8"/>
        <v>0</v>
      </c>
      <c r="V237" s="1138">
        <f>'Rashodi-2021'!U271</f>
        <v>500000</v>
      </c>
      <c r="W237" s="1261">
        <v>500000</v>
      </c>
      <c r="X237" s="1138">
        <v>500000</v>
      </c>
    </row>
    <row r="238" spans="2:24" ht="14.25" customHeight="1">
      <c r="B238" s="284"/>
      <c r="C238" s="285"/>
      <c r="D238" s="428"/>
      <c r="E238" s="346" t="s">
        <v>312</v>
      </c>
      <c r="F238" s="428"/>
      <c r="G238" s="429"/>
      <c r="H238" s="1489" t="s">
        <v>1234</v>
      </c>
      <c r="I238" s="1490"/>
      <c r="J238" s="1491"/>
      <c r="K238" s="916">
        <f>K239</f>
        <v>4500000</v>
      </c>
      <c r="L238" s="1054">
        <f>L239</f>
        <v>0</v>
      </c>
      <c r="M238" s="1128">
        <f>'Rashodi-2021'!M272</f>
        <v>1500000</v>
      </c>
      <c r="N238" s="1128" t="e">
        <f>'Rashodi-2021'!#REF!</f>
        <v>#REF!</v>
      </c>
      <c r="O238" s="1214">
        <f>'Rashodi-2021'!N272</f>
        <v>0</v>
      </c>
      <c r="P238" s="1194">
        <f>'Rashodi-2021'!O272</f>
        <v>0</v>
      </c>
      <c r="Q238" s="1194">
        <f>'Rashodi-2021'!P272</f>
        <v>0</v>
      </c>
      <c r="R238" s="1194">
        <f>'Rashodi-2021'!Q272</f>
        <v>0</v>
      </c>
      <c r="S238" s="1194">
        <f>'Rashodi-2021'!R272</f>
        <v>0</v>
      </c>
      <c r="T238" s="1194">
        <f>'Rashodi-2021'!S272</f>
        <v>0</v>
      </c>
      <c r="U238" s="1195">
        <f t="shared" si="8"/>
        <v>0</v>
      </c>
      <c r="V238" s="1196">
        <f>'Rashodi-2021'!U272</f>
        <v>1500000</v>
      </c>
      <c r="W238" s="652">
        <v>1500000</v>
      </c>
      <c r="X238" s="652">
        <v>1500000</v>
      </c>
    </row>
    <row r="239" spans="2:24" s="1139" customFormat="1" ht="12.75">
      <c r="B239" s="1286"/>
      <c r="C239" s="1341"/>
      <c r="D239" s="1246">
        <v>620</v>
      </c>
      <c r="E239" s="1247"/>
      <c r="F239" s="1248"/>
      <c r="G239" s="1249"/>
      <c r="H239" s="1694" t="s">
        <v>116</v>
      </c>
      <c r="I239" s="1695"/>
      <c r="J239" s="1258"/>
      <c r="K239" s="1310">
        <f>K240</f>
        <v>4500000</v>
      </c>
      <c r="L239" s="1311">
        <f>L240</f>
        <v>0</v>
      </c>
      <c r="M239" s="1130">
        <f>'Rashodi-2021'!M273</f>
        <v>1500000</v>
      </c>
      <c r="N239" s="1130" t="e">
        <f>'Rashodi-2021'!#REF!</f>
        <v>#REF!</v>
      </c>
      <c r="O239" s="1216">
        <f>'Rashodi-2021'!N273</f>
        <v>0</v>
      </c>
      <c r="P239" s="1202">
        <f>'Rashodi-2021'!O273</f>
        <v>0</v>
      </c>
      <c r="Q239" s="1202">
        <f>'Rashodi-2021'!P273</f>
        <v>0</v>
      </c>
      <c r="R239" s="1202">
        <f>'Rashodi-2021'!Q273</f>
        <v>0</v>
      </c>
      <c r="S239" s="1202">
        <f>'Rashodi-2021'!R273</f>
        <v>0</v>
      </c>
      <c r="T239" s="1202">
        <f>'Rashodi-2021'!S273</f>
        <v>0</v>
      </c>
      <c r="U239" s="1314">
        <f aca="true" t="shared" si="9" ref="U239:U291">SUM(O239:T239)</f>
        <v>0</v>
      </c>
      <c r="V239" s="1203">
        <f>'Rashodi-2021'!U273</f>
        <v>1500000</v>
      </c>
      <c r="W239" s="1203">
        <v>1500000</v>
      </c>
      <c r="X239" s="1138">
        <v>1500000</v>
      </c>
    </row>
    <row r="240" spans="2:24" s="1139" customFormat="1" ht="13.5" customHeight="1">
      <c r="B240" s="1286"/>
      <c r="C240" s="1341"/>
      <c r="D240" s="1289"/>
      <c r="E240" s="1134"/>
      <c r="F240" s="1248">
        <v>194</v>
      </c>
      <c r="G240" s="1249">
        <v>454</v>
      </c>
      <c r="H240" s="1685" t="s">
        <v>1396</v>
      </c>
      <c r="I240" s="1686"/>
      <c r="J240" s="1686"/>
      <c r="K240" s="1137">
        <v>4500000</v>
      </c>
      <c r="L240" s="1137">
        <v>0</v>
      </c>
      <c r="M240" s="1112">
        <f>'Rashodi-2021'!M274</f>
        <v>1500000</v>
      </c>
      <c r="N240" s="1112" t="e">
        <f>'Rashodi-2021'!#REF!</f>
        <v>#REF!</v>
      </c>
      <c r="O240" s="1215">
        <f>'Rashodi-2021'!N274</f>
        <v>0</v>
      </c>
      <c r="P240" s="1208">
        <f>'Rashodi-2021'!O274</f>
        <v>0</v>
      </c>
      <c r="Q240" s="1208">
        <f>'Rashodi-2021'!P274</f>
        <v>0</v>
      </c>
      <c r="R240" s="1208">
        <f>'Rashodi-2021'!Q274</f>
        <v>0</v>
      </c>
      <c r="S240" s="1208">
        <f>'Rashodi-2021'!R274</f>
        <v>0</v>
      </c>
      <c r="T240" s="1208">
        <f>'Rashodi-2021'!S274</f>
        <v>0</v>
      </c>
      <c r="U240" s="1209">
        <f t="shared" si="9"/>
        <v>0</v>
      </c>
      <c r="V240" s="1138">
        <f>'Rashodi-2021'!U274</f>
        <v>1500000</v>
      </c>
      <c r="W240" s="1138">
        <v>1500000</v>
      </c>
      <c r="X240" s="1138">
        <v>1500000</v>
      </c>
    </row>
    <row r="241" spans="2:24" ht="12.75">
      <c r="B241" s="284"/>
      <c r="C241" s="285"/>
      <c r="D241" s="428"/>
      <c r="E241" s="610" t="s">
        <v>314</v>
      </c>
      <c r="F241" s="428"/>
      <c r="G241" s="429"/>
      <c r="H241" s="1520" t="s">
        <v>313</v>
      </c>
      <c r="I241" s="1521"/>
      <c r="J241" s="1522"/>
      <c r="K241" s="933">
        <f>K242+K246+K252</f>
        <v>15300000</v>
      </c>
      <c r="L241" s="1074">
        <f>L242+L246+L252</f>
        <v>4370969.34</v>
      </c>
      <c r="M241" s="957">
        <f>'Rashodi-2021'!M275</f>
        <v>14050000</v>
      </c>
      <c r="N241" s="957" t="e">
        <f>'Rashodi-2021'!#REF!</f>
        <v>#REF!</v>
      </c>
      <c r="O241" s="1213">
        <f>'Rashodi-2021'!N275</f>
        <v>0</v>
      </c>
      <c r="P241" s="1189">
        <f>'Rashodi-2021'!O275</f>
        <v>0</v>
      </c>
      <c r="Q241" s="1189">
        <f>'Rashodi-2021'!P275</f>
        <v>0</v>
      </c>
      <c r="R241" s="1189">
        <f>'Rashodi-2021'!Q275</f>
        <v>1800000</v>
      </c>
      <c r="S241" s="1189">
        <f>'Rashodi-2021'!R275</f>
        <v>0</v>
      </c>
      <c r="T241" s="1189">
        <f>'Rashodi-2021'!S275</f>
        <v>0</v>
      </c>
      <c r="U241" s="1190">
        <f t="shared" si="9"/>
        <v>1800000</v>
      </c>
      <c r="V241" s="1107">
        <f>'Rashodi-2021'!U275</f>
        <v>15850000</v>
      </c>
      <c r="W241" s="848">
        <v>15850000</v>
      </c>
      <c r="X241" s="848">
        <v>15850000</v>
      </c>
    </row>
    <row r="242" spans="2:24" ht="14.25" customHeight="1">
      <c r="B242" s="284"/>
      <c r="C242" s="285"/>
      <c r="D242" s="428"/>
      <c r="E242" s="346" t="s">
        <v>1235</v>
      </c>
      <c r="F242" s="428"/>
      <c r="G242" s="429"/>
      <c r="H242" s="1489" t="s">
        <v>326</v>
      </c>
      <c r="I242" s="1490"/>
      <c r="J242" s="1491"/>
      <c r="K242" s="916">
        <f>K243</f>
        <v>11000000</v>
      </c>
      <c r="L242" s="1054">
        <f>L243</f>
        <v>1926089.34</v>
      </c>
      <c r="M242" s="1128">
        <f>'Rashodi-2021'!M276</f>
        <v>8650000</v>
      </c>
      <c r="N242" s="1128" t="e">
        <f>'Rashodi-2021'!#REF!</f>
        <v>#REF!</v>
      </c>
      <c r="O242" s="1214">
        <f>'Rashodi-2021'!N276</f>
        <v>0</v>
      </c>
      <c r="P242" s="1194">
        <f>'Rashodi-2021'!O276</f>
        <v>0</v>
      </c>
      <c r="Q242" s="1194">
        <f>'Rashodi-2021'!P276</f>
        <v>0</v>
      </c>
      <c r="R242" s="1194">
        <f>'Rashodi-2021'!Q276</f>
        <v>0</v>
      </c>
      <c r="S242" s="1194">
        <f>'Rashodi-2021'!R276</f>
        <v>0</v>
      </c>
      <c r="T242" s="1194">
        <f>'Rashodi-2021'!S276</f>
        <v>0</v>
      </c>
      <c r="U242" s="1195">
        <f t="shared" si="9"/>
        <v>0</v>
      </c>
      <c r="V242" s="1196">
        <f>'Rashodi-2021'!U276</f>
        <v>8650000</v>
      </c>
      <c r="W242" s="652">
        <v>8650000</v>
      </c>
      <c r="X242" s="652">
        <v>8650000</v>
      </c>
    </row>
    <row r="243" spans="2:24" s="1276" customFormat="1" ht="12.75">
      <c r="B243" s="1287"/>
      <c r="C243" s="1342"/>
      <c r="D243" s="1246">
        <v>510</v>
      </c>
      <c r="E243" s="1247"/>
      <c r="F243" s="1272"/>
      <c r="G243" s="1288"/>
      <c r="H243" s="1694" t="s">
        <v>1237</v>
      </c>
      <c r="I243" s="1695"/>
      <c r="J243" s="1696"/>
      <c r="K243" s="1284">
        <f>SUM(K244:K245)</f>
        <v>11000000</v>
      </c>
      <c r="L243" s="1285">
        <f>SUM(L244:L245)</f>
        <v>1926089.34</v>
      </c>
      <c r="M243" s="1130">
        <f>'Rashodi-2021'!M277</f>
        <v>8650000</v>
      </c>
      <c r="N243" s="1130" t="e">
        <f>'Rashodi-2021'!#REF!</f>
        <v>#REF!</v>
      </c>
      <c r="O243" s="1216">
        <f>'Rashodi-2021'!N277</f>
        <v>0</v>
      </c>
      <c r="P243" s="1202">
        <f>'Rashodi-2021'!O277</f>
        <v>0</v>
      </c>
      <c r="Q243" s="1202">
        <f>'Rashodi-2021'!P277</f>
        <v>0</v>
      </c>
      <c r="R243" s="1202">
        <f>'Rashodi-2021'!Q277</f>
        <v>0</v>
      </c>
      <c r="S243" s="1202">
        <f>'Rashodi-2021'!R277</f>
        <v>0</v>
      </c>
      <c r="T243" s="1202">
        <f>'Rashodi-2021'!S277</f>
        <v>0</v>
      </c>
      <c r="U243" s="1325">
        <f t="shared" si="9"/>
        <v>0</v>
      </c>
      <c r="V243" s="1203">
        <f>'Rashodi-2021'!U277</f>
        <v>8650000</v>
      </c>
      <c r="W243" s="1203">
        <v>8650000</v>
      </c>
      <c r="X243" s="1138">
        <v>8650000</v>
      </c>
    </row>
    <row r="244" spans="2:24" s="1139" customFormat="1" ht="12.75" customHeight="1">
      <c r="B244" s="1131"/>
      <c r="C244" s="1343"/>
      <c r="D244" s="1309"/>
      <c r="E244" s="1326"/>
      <c r="F244" s="1133">
        <v>195</v>
      </c>
      <c r="G244" s="1344">
        <v>424</v>
      </c>
      <c r="H244" s="1685" t="s">
        <v>1511</v>
      </c>
      <c r="I244" s="1686"/>
      <c r="J244" s="1687"/>
      <c r="K244" s="1136">
        <v>1000000</v>
      </c>
      <c r="L244" s="1137">
        <v>39585.34</v>
      </c>
      <c r="M244" s="1112">
        <f>'Rashodi-2021'!M278</f>
        <v>1250000</v>
      </c>
      <c r="N244" s="1112" t="e">
        <f>'Rashodi-2021'!#REF!</f>
        <v>#REF!</v>
      </c>
      <c r="O244" s="1215">
        <f>'Rashodi-2021'!N278</f>
        <v>0</v>
      </c>
      <c r="P244" s="1208">
        <f>'Rashodi-2021'!O278</f>
        <v>0</v>
      </c>
      <c r="Q244" s="1208">
        <f>'Rashodi-2021'!P278</f>
        <v>0</v>
      </c>
      <c r="R244" s="1208">
        <f>'Rashodi-2021'!Q278</f>
        <v>0</v>
      </c>
      <c r="S244" s="1208">
        <f>'Rashodi-2021'!R278</f>
        <v>0</v>
      </c>
      <c r="T244" s="1208">
        <f>'Rashodi-2021'!S278</f>
        <v>0</v>
      </c>
      <c r="U244" s="1328">
        <f t="shared" si="9"/>
        <v>0</v>
      </c>
      <c r="V244" s="1138">
        <f>'Rashodi-2021'!U278</f>
        <v>1250000</v>
      </c>
      <c r="W244" s="1138">
        <v>1250000</v>
      </c>
      <c r="X244" s="1138">
        <v>1250000</v>
      </c>
    </row>
    <row r="245" spans="1:24" s="1139" customFormat="1" ht="12.75">
      <c r="A245" s="1139">
        <v>12600</v>
      </c>
      <c r="B245" s="1131"/>
      <c r="C245" s="1343"/>
      <c r="D245" s="1309"/>
      <c r="E245" s="1326"/>
      <c r="F245" s="1133">
        <v>197</v>
      </c>
      <c r="G245" s="1344">
        <v>451</v>
      </c>
      <c r="H245" s="1685" t="s">
        <v>1504</v>
      </c>
      <c r="I245" s="1686"/>
      <c r="J245" s="1687"/>
      <c r="K245" s="1136">
        <v>10000000</v>
      </c>
      <c r="L245" s="1137">
        <v>1886504</v>
      </c>
      <c r="M245" s="1112">
        <f>'Rashodi-2021'!M279</f>
        <v>7400000</v>
      </c>
      <c r="N245" s="1112" t="e">
        <f>'Rashodi-2021'!#REF!</f>
        <v>#REF!</v>
      </c>
      <c r="O245" s="1215">
        <f>'Rashodi-2021'!N279</f>
        <v>0</v>
      </c>
      <c r="P245" s="1208">
        <f>'Rashodi-2021'!O279</f>
        <v>0</v>
      </c>
      <c r="Q245" s="1208">
        <f>'Rashodi-2021'!P279</f>
        <v>0</v>
      </c>
      <c r="R245" s="1208">
        <f>'Rashodi-2021'!Q279</f>
        <v>0</v>
      </c>
      <c r="S245" s="1208">
        <f>'Rashodi-2021'!R279</f>
        <v>0</v>
      </c>
      <c r="T245" s="1208">
        <f>'Rashodi-2021'!S279</f>
        <v>0</v>
      </c>
      <c r="U245" s="1328">
        <f t="shared" si="9"/>
        <v>0</v>
      </c>
      <c r="V245" s="1138">
        <f>'Rashodi-2021'!U279</f>
        <v>7400000</v>
      </c>
      <c r="W245" s="1138">
        <v>7400000</v>
      </c>
      <c r="X245" s="1138">
        <v>7400000</v>
      </c>
    </row>
    <row r="246" spans="2:24" ht="14.25" customHeight="1">
      <c r="B246" s="284"/>
      <c r="C246" s="285"/>
      <c r="D246" s="428"/>
      <c r="E246" s="346" t="s">
        <v>315</v>
      </c>
      <c r="F246" s="428"/>
      <c r="G246" s="429"/>
      <c r="H246" s="1489" t="s">
        <v>1236</v>
      </c>
      <c r="I246" s="1490"/>
      <c r="J246" s="1491"/>
      <c r="K246" s="916">
        <f>K247</f>
        <v>3800000</v>
      </c>
      <c r="L246" s="1054">
        <f>L247</f>
        <v>2444880</v>
      </c>
      <c r="M246" s="1128">
        <f>'Rashodi-2021'!M280</f>
        <v>4900000</v>
      </c>
      <c r="N246" s="1128" t="e">
        <f>'Rashodi-2021'!#REF!</f>
        <v>#REF!</v>
      </c>
      <c r="O246" s="1214">
        <f>'Rashodi-2021'!N280</f>
        <v>0</v>
      </c>
      <c r="P246" s="1194">
        <f>'Rashodi-2021'!O280</f>
        <v>0</v>
      </c>
      <c r="Q246" s="1194">
        <f>'Rashodi-2021'!P280</f>
        <v>0</v>
      </c>
      <c r="R246" s="1194">
        <f>'Rashodi-2021'!Q280</f>
        <v>1800000</v>
      </c>
      <c r="S246" s="1194">
        <f>'Rashodi-2021'!R280</f>
        <v>0</v>
      </c>
      <c r="T246" s="1194">
        <f>'Rashodi-2021'!S280</f>
        <v>0</v>
      </c>
      <c r="U246" s="1200">
        <f t="shared" si="9"/>
        <v>1800000</v>
      </c>
      <c r="V246" s="1196">
        <f>'Rashodi-2021'!U280</f>
        <v>6700000</v>
      </c>
      <c r="W246" s="652">
        <v>6700000</v>
      </c>
      <c r="X246" s="652">
        <v>6700000</v>
      </c>
    </row>
    <row r="247" spans="2:24" s="1276" customFormat="1" ht="12.75">
      <c r="B247" s="1287"/>
      <c r="C247" s="1342"/>
      <c r="D247" s="1246">
        <v>560</v>
      </c>
      <c r="E247" s="1247"/>
      <c r="F247" s="1272"/>
      <c r="G247" s="1288"/>
      <c r="H247" s="1694" t="s">
        <v>1238</v>
      </c>
      <c r="I247" s="1695"/>
      <c r="J247" s="1696"/>
      <c r="K247" s="1284">
        <f>SUM(K248:K251)</f>
        <v>3800000</v>
      </c>
      <c r="L247" s="1285">
        <f>SUM(L248:L251)</f>
        <v>2444880</v>
      </c>
      <c r="M247" s="1130">
        <f>'Rashodi-2021'!M281</f>
        <v>4900000</v>
      </c>
      <c r="N247" s="1130" t="e">
        <f>'Rashodi-2021'!#REF!</f>
        <v>#REF!</v>
      </c>
      <c r="O247" s="1216">
        <f>'Rashodi-2021'!N281</f>
        <v>0</v>
      </c>
      <c r="P247" s="1202">
        <f>'Rashodi-2021'!O281</f>
        <v>0</v>
      </c>
      <c r="Q247" s="1202">
        <f>'Rashodi-2021'!P281</f>
        <v>0</v>
      </c>
      <c r="R247" s="1202">
        <f>'Rashodi-2021'!Q281</f>
        <v>1800000</v>
      </c>
      <c r="S247" s="1202">
        <f>'Rashodi-2021'!R281</f>
        <v>0</v>
      </c>
      <c r="T247" s="1202">
        <f>'Rashodi-2021'!S281</f>
        <v>0</v>
      </c>
      <c r="U247" s="1279">
        <f t="shared" si="9"/>
        <v>1800000</v>
      </c>
      <c r="V247" s="1203">
        <f>'Rashodi-2021'!U281</f>
        <v>6700000</v>
      </c>
      <c r="W247" s="1203">
        <v>6700000</v>
      </c>
      <c r="X247" s="1138">
        <v>6700000</v>
      </c>
    </row>
    <row r="248" spans="2:24" s="1139" customFormat="1" ht="12.75">
      <c r="B248" s="1286"/>
      <c r="C248" s="1134"/>
      <c r="D248" s="1289"/>
      <c r="E248" s="1134"/>
      <c r="F248" s="1133">
        <v>198</v>
      </c>
      <c r="G248" s="1249">
        <v>424</v>
      </c>
      <c r="H248" s="1682" t="s">
        <v>1433</v>
      </c>
      <c r="I248" s="1683"/>
      <c r="J248" s="1684"/>
      <c r="K248" s="1264">
        <v>200000</v>
      </c>
      <c r="L248" s="1265">
        <v>0</v>
      </c>
      <c r="M248" s="1112">
        <f>'Rashodi-2021'!M282</f>
        <v>1300000</v>
      </c>
      <c r="N248" s="1112" t="e">
        <f>'Rashodi-2021'!#REF!</f>
        <v>#REF!</v>
      </c>
      <c r="O248" s="1215">
        <f>'Rashodi-2021'!N282</f>
        <v>0</v>
      </c>
      <c r="P248" s="1208">
        <f>'Rashodi-2021'!O282</f>
        <v>0</v>
      </c>
      <c r="Q248" s="1208">
        <f>'Rashodi-2021'!P282</f>
        <v>0</v>
      </c>
      <c r="R248" s="1208">
        <f>'Rashodi-2021'!Q282</f>
        <v>1800000</v>
      </c>
      <c r="S248" s="1208">
        <f>'Rashodi-2021'!R282</f>
        <v>0</v>
      </c>
      <c r="T248" s="1208">
        <f>'Rashodi-2021'!S282</f>
        <v>0</v>
      </c>
      <c r="U248" s="1346">
        <f t="shared" si="9"/>
        <v>1800000</v>
      </c>
      <c r="V248" s="1138">
        <f>'Rashodi-2021'!U282</f>
        <v>3100000</v>
      </c>
      <c r="W248" s="1138">
        <v>3100000</v>
      </c>
      <c r="X248" s="1138">
        <v>3100000</v>
      </c>
    </row>
    <row r="249" spans="2:24" s="1139" customFormat="1" ht="12.75">
      <c r="B249" s="1131"/>
      <c r="C249" s="1326"/>
      <c r="D249" s="1309"/>
      <c r="E249" s="1326"/>
      <c r="F249" s="1133">
        <v>199</v>
      </c>
      <c r="G249" s="1344">
        <v>424</v>
      </c>
      <c r="H249" s="1186" t="s">
        <v>1400</v>
      </c>
      <c r="I249" s="1291"/>
      <c r="J249" s="1291"/>
      <c r="K249" s="1112">
        <v>3000000</v>
      </c>
      <c r="L249" s="1269">
        <v>2444880</v>
      </c>
      <c r="M249" s="1112">
        <f>'Rashodi-2021'!M283</f>
        <v>3000000</v>
      </c>
      <c r="N249" s="1112" t="e">
        <f>'Rashodi-2021'!#REF!</f>
        <v>#REF!</v>
      </c>
      <c r="O249" s="1215">
        <f>'Rashodi-2021'!N283</f>
        <v>0</v>
      </c>
      <c r="P249" s="1208">
        <f>'Rashodi-2021'!O283</f>
        <v>0</v>
      </c>
      <c r="Q249" s="1208">
        <f>'Rashodi-2021'!P283</f>
        <v>0</v>
      </c>
      <c r="R249" s="1208">
        <f>'Rashodi-2021'!Q283</f>
        <v>0</v>
      </c>
      <c r="S249" s="1208">
        <f>'Rashodi-2021'!R283</f>
        <v>0</v>
      </c>
      <c r="T249" s="1208">
        <f>'Rashodi-2021'!S283</f>
        <v>0</v>
      </c>
      <c r="U249" s="1346">
        <f t="shared" si="9"/>
        <v>0</v>
      </c>
      <c r="V249" s="1138">
        <f>'Rashodi-2021'!U283</f>
        <v>3000000</v>
      </c>
      <c r="W249" s="1138">
        <v>3000000</v>
      </c>
      <c r="X249" s="1138">
        <v>3000000</v>
      </c>
    </row>
    <row r="250" spans="2:24" s="1139" customFormat="1" ht="12.75">
      <c r="B250" s="1131"/>
      <c r="C250" s="1326"/>
      <c r="D250" s="1309"/>
      <c r="E250" s="1326"/>
      <c r="F250" s="1133">
        <v>200</v>
      </c>
      <c r="G250" s="1344">
        <v>481</v>
      </c>
      <c r="H250" s="1720" t="s">
        <v>165</v>
      </c>
      <c r="I250" s="1717"/>
      <c r="J250" s="1717"/>
      <c r="K250" s="1112">
        <v>100000</v>
      </c>
      <c r="L250" s="1269">
        <v>0</v>
      </c>
      <c r="M250" s="1112">
        <f>'Rashodi-2021'!M284</f>
        <v>100000</v>
      </c>
      <c r="N250" s="1112" t="e">
        <f>'Rashodi-2021'!#REF!</f>
        <v>#REF!</v>
      </c>
      <c r="O250" s="1215">
        <f>'Rashodi-2021'!N284</f>
        <v>0</v>
      </c>
      <c r="P250" s="1208">
        <f>'Rashodi-2021'!O284</f>
        <v>0</v>
      </c>
      <c r="Q250" s="1208">
        <f>'Rashodi-2021'!P284</f>
        <v>0</v>
      </c>
      <c r="R250" s="1208">
        <f>'Rashodi-2021'!Q284</f>
        <v>0</v>
      </c>
      <c r="S250" s="1208">
        <f>'Rashodi-2021'!R284</f>
        <v>0</v>
      </c>
      <c r="T250" s="1208">
        <f>'Rashodi-2021'!S284</f>
        <v>0</v>
      </c>
      <c r="U250" s="1346">
        <f t="shared" si="9"/>
        <v>0</v>
      </c>
      <c r="V250" s="1138">
        <f>'Rashodi-2021'!U284</f>
        <v>100000</v>
      </c>
      <c r="W250" s="1138">
        <v>100000</v>
      </c>
      <c r="X250" s="1138">
        <v>100000</v>
      </c>
    </row>
    <row r="251" spans="2:24" s="1139" customFormat="1" ht="12.75">
      <c r="B251" s="1131"/>
      <c r="C251" s="1326"/>
      <c r="D251" s="1309"/>
      <c r="E251" s="1326"/>
      <c r="F251" s="1133">
        <v>201</v>
      </c>
      <c r="G251" s="1344">
        <v>424</v>
      </c>
      <c r="H251" s="1729" t="s">
        <v>1425</v>
      </c>
      <c r="I251" s="1692"/>
      <c r="J251" s="1692"/>
      <c r="K251" s="1112">
        <v>500000</v>
      </c>
      <c r="L251" s="1269">
        <v>0</v>
      </c>
      <c r="M251" s="1112">
        <f>'Rashodi-2021'!M285</f>
        <v>500000</v>
      </c>
      <c r="N251" s="1112" t="e">
        <f>'Rashodi-2021'!#REF!</f>
        <v>#REF!</v>
      </c>
      <c r="O251" s="1215">
        <f>'Rashodi-2021'!N285</f>
        <v>0</v>
      </c>
      <c r="P251" s="1208">
        <f>'Rashodi-2021'!O285</f>
        <v>0</v>
      </c>
      <c r="Q251" s="1208">
        <f>'Rashodi-2021'!P285</f>
        <v>0</v>
      </c>
      <c r="R251" s="1208">
        <f>'Rashodi-2021'!Q285</f>
        <v>0</v>
      </c>
      <c r="S251" s="1208">
        <f>'Rashodi-2021'!R285</f>
        <v>0</v>
      </c>
      <c r="T251" s="1208">
        <f>'Rashodi-2021'!S285</f>
        <v>0</v>
      </c>
      <c r="U251" s="1346">
        <f t="shared" si="9"/>
        <v>0</v>
      </c>
      <c r="V251" s="1138">
        <f>'Rashodi-2021'!U285</f>
        <v>500000</v>
      </c>
      <c r="W251" s="1138">
        <v>500000</v>
      </c>
      <c r="X251" s="1138">
        <v>500000</v>
      </c>
    </row>
    <row r="252" spans="2:24" ht="14.25" customHeight="1">
      <c r="B252" s="284"/>
      <c r="C252" s="285"/>
      <c r="D252" s="428"/>
      <c r="E252" s="346" t="s">
        <v>848</v>
      </c>
      <c r="F252" s="428"/>
      <c r="G252" s="429"/>
      <c r="H252" s="1489" t="s">
        <v>1347</v>
      </c>
      <c r="I252" s="1564"/>
      <c r="J252" s="1565"/>
      <c r="K252" s="937">
        <f>K253</f>
        <v>500000</v>
      </c>
      <c r="L252" s="1080">
        <f>L253</f>
        <v>0</v>
      </c>
      <c r="M252" s="1128">
        <f>'Rashodi-2021'!M286</f>
        <v>500000</v>
      </c>
      <c r="N252" s="1128" t="e">
        <f>'Rashodi-2021'!#REF!</f>
        <v>#REF!</v>
      </c>
      <c r="O252" s="1214">
        <f>'Rashodi-2021'!N286</f>
        <v>0</v>
      </c>
      <c r="P252" s="1194">
        <f>'Rashodi-2021'!O286</f>
        <v>0</v>
      </c>
      <c r="Q252" s="1194">
        <f>'Rashodi-2021'!P286</f>
        <v>0</v>
      </c>
      <c r="R252" s="1194">
        <f>'Rashodi-2021'!Q286</f>
        <v>0</v>
      </c>
      <c r="S252" s="1194">
        <f>'Rashodi-2021'!R286</f>
        <v>0</v>
      </c>
      <c r="T252" s="1194">
        <f>'Rashodi-2021'!S286</f>
        <v>0</v>
      </c>
      <c r="U252" s="1195">
        <f t="shared" si="9"/>
        <v>0</v>
      </c>
      <c r="V252" s="1196">
        <f>'Rashodi-2021'!U286</f>
        <v>500000</v>
      </c>
      <c r="W252" s="652">
        <v>500000</v>
      </c>
      <c r="X252" s="652">
        <v>500000</v>
      </c>
    </row>
    <row r="253" spans="2:24" s="1276" customFormat="1" ht="12.75">
      <c r="B253" s="1287"/>
      <c r="C253" s="1342"/>
      <c r="D253" s="1246">
        <v>520</v>
      </c>
      <c r="E253" s="1247"/>
      <c r="F253" s="1272"/>
      <c r="G253" s="1288"/>
      <c r="H253" s="1694" t="s">
        <v>1347</v>
      </c>
      <c r="I253" s="1695"/>
      <c r="J253" s="1696"/>
      <c r="K253" s="1284">
        <f>SUM(K254:K254)</f>
        <v>500000</v>
      </c>
      <c r="L253" s="1285">
        <f>SUM(L254:L254)</f>
        <v>0</v>
      </c>
      <c r="M253" s="1130">
        <f>'Rashodi-2021'!M287</f>
        <v>500000</v>
      </c>
      <c r="N253" s="1130" t="e">
        <f>'Rashodi-2021'!#REF!</f>
        <v>#REF!</v>
      </c>
      <c r="O253" s="1216">
        <f>'Rashodi-2021'!N287</f>
        <v>0</v>
      </c>
      <c r="P253" s="1202">
        <f>'Rashodi-2021'!O287</f>
        <v>0</v>
      </c>
      <c r="Q253" s="1202">
        <f>'Rashodi-2021'!P287</f>
        <v>0</v>
      </c>
      <c r="R253" s="1202">
        <f>'Rashodi-2021'!Q287</f>
        <v>0</v>
      </c>
      <c r="S253" s="1202">
        <f>'Rashodi-2021'!R287</f>
        <v>0</v>
      </c>
      <c r="T253" s="1202">
        <f>'Rashodi-2021'!S287</f>
        <v>0</v>
      </c>
      <c r="U253" s="1325">
        <f t="shared" si="9"/>
        <v>0</v>
      </c>
      <c r="V253" s="1203">
        <f>'Rashodi-2021'!U287</f>
        <v>500000</v>
      </c>
      <c r="W253" s="1203">
        <v>500000</v>
      </c>
      <c r="X253" s="1203">
        <v>500000</v>
      </c>
    </row>
    <row r="254" spans="2:24" s="1139" customFormat="1" ht="12.75" customHeight="1">
      <c r="B254" s="1131"/>
      <c r="C254" s="1343"/>
      <c r="D254" s="1309"/>
      <c r="E254" s="1326"/>
      <c r="F254" s="1133">
        <v>202</v>
      </c>
      <c r="G254" s="1344">
        <v>425</v>
      </c>
      <c r="H254" s="1685" t="s">
        <v>1401</v>
      </c>
      <c r="I254" s="1686"/>
      <c r="J254" s="1687"/>
      <c r="K254" s="1136">
        <v>500000</v>
      </c>
      <c r="L254" s="1137">
        <v>0</v>
      </c>
      <c r="M254" s="1112">
        <f>'Rashodi-2021'!M288</f>
        <v>500000</v>
      </c>
      <c r="N254" s="1112" t="e">
        <f>'Rashodi-2021'!#REF!</f>
        <v>#REF!</v>
      </c>
      <c r="O254" s="1215">
        <f>'Rashodi-2021'!N288</f>
        <v>0</v>
      </c>
      <c r="P254" s="1208">
        <f>'Rashodi-2021'!O288</f>
        <v>0</v>
      </c>
      <c r="Q254" s="1208">
        <f>'Rashodi-2021'!P288</f>
        <v>0</v>
      </c>
      <c r="R254" s="1208">
        <f>'Rashodi-2021'!Q288</f>
        <v>0</v>
      </c>
      <c r="S254" s="1208">
        <f>'Rashodi-2021'!R288</f>
        <v>0</v>
      </c>
      <c r="T254" s="1208">
        <f>'Rashodi-2021'!S288</f>
        <v>0</v>
      </c>
      <c r="U254" s="1328">
        <f t="shared" si="9"/>
        <v>0</v>
      </c>
      <c r="V254" s="1138">
        <f>'Rashodi-2021'!U288</f>
        <v>500000</v>
      </c>
      <c r="W254" s="1138">
        <v>500000</v>
      </c>
      <c r="X254" s="1138">
        <v>500000</v>
      </c>
    </row>
    <row r="255" spans="2:24" ht="12.75">
      <c r="B255" s="284"/>
      <c r="C255" s="285"/>
      <c r="D255" s="428"/>
      <c r="E255" s="610" t="s">
        <v>1246</v>
      </c>
      <c r="F255" s="428"/>
      <c r="G255" s="429"/>
      <c r="H255" s="1573" t="s">
        <v>319</v>
      </c>
      <c r="I255" s="1574"/>
      <c r="J255" s="1575"/>
      <c r="K255" s="933">
        <f>K256+K260+K265+K270+K275</f>
        <v>48000000</v>
      </c>
      <c r="L255" s="1074">
        <f>L256+L260+L265+L270+L275</f>
        <v>19953122.669999998</v>
      </c>
      <c r="M255" s="957">
        <f>'Rashodi-2021'!M289</f>
        <v>39950000</v>
      </c>
      <c r="N255" s="957" t="e">
        <f>'Rashodi-2021'!#REF!</f>
        <v>#REF!</v>
      </c>
      <c r="O255" s="1213">
        <f>'Rashodi-2021'!N289</f>
        <v>0</v>
      </c>
      <c r="P255" s="1189">
        <f>'Rashodi-2021'!O289</f>
        <v>0</v>
      </c>
      <c r="Q255" s="1189">
        <f>'Rashodi-2021'!P289</f>
        <v>0</v>
      </c>
      <c r="R255" s="1189">
        <f>'Rashodi-2021'!Q289</f>
        <v>700000</v>
      </c>
      <c r="S255" s="1189">
        <f>'Rashodi-2021'!R289</f>
        <v>0</v>
      </c>
      <c r="T255" s="1189">
        <f>'Rashodi-2021'!S289</f>
        <v>0</v>
      </c>
      <c r="U255" s="1190">
        <f t="shared" si="9"/>
        <v>700000</v>
      </c>
      <c r="V255" s="1107">
        <f>'Rashodi-2021'!U289</f>
        <v>40650000</v>
      </c>
      <c r="W255" s="848">
        <v>40650000</v>
      </c>
      <c r="X255" s="848">
        <v>40650000</v>
      </c>
    </row>
    <row r="256" spans="2:24" ht="12.75" customHeight="1">
      <c r="B256" s="284"/>
      <c r="C256" s="285"/>
      <c r="D256" s="428"/>
      <c r="E256" s="346" t="s">
        <v>1241</v>
      </c>
      <c r="F256" s="428"/>
      <c r="G256" s="429"/>
      <c r="H256" s="1489" t="s">
        <v>1326</v>
      </c>
      <c r="I256" s="1490"/>
      <c r="J256" s="1491"/>
      <c r="K256" s="916">
        <f>K257</f>
        <v>8850000</v>
      </c>
      <c r="L256" s="1054">
        <f>L257</f>
        <v>5853646.6</v>
      </c>
      <c r="M256" s="1128">
        <f>'Rashodi-2021'!M290</f>
        <v>9150000</v>
      </c>
      <c r="N256" s="1128" t="e">
        <f>'Rashodi-2021'!#REF!</f>
        <v>#REF!</v>
      </c>
      <c r="O256" s="1214">
        <f>'Rashodi-2021'!N290</f>
        <v>0</v>
      </c>
      <c r="P256" s="1194">
        <f>'Rashodi-2021'!O290</f>
        <v>0</v>
      </c>
      <c r="Q256" s="1194">
        <f>'Rashodi-2021'!P290</f>
        <v>0</v>
      </c>
      <c r="R256" s="1194">
        <f>'Rashodi-2021'!Q290</f>
        <v>700000</v>
      </c>
      <c r="S256" s="1194">
        <f>'Rashodi-2021'!R290</f>
        <v>0</v>
      </c>
      <c r="T256" s="1194">
        <f>'Rashodi-2021'!S290</f>
        <v>0</v>
      </c>
      <c r="U256" s="1195">
        <f t="shared" si="9"/>
        <v>700000</v>
      </c>
      <c r="V256" s="1196">
        <f>'Rashodi-2021'!U290</f>
        <v>9850000</v>
      </c>
      <c r="W256" s="652">
        <v>9850000</v>
      </c>
      <c r="X256" s="652">
        <v>9850000</v>
      </c>
    </row>
    <row r="257" spans="2:24" s="1139" customFormat="1" ht="13.5" customHeight="1">
      <c r="B257" s="1347"/>
      <c r="C257" s="1281"/>
      <c r="D257" s="1282">
        <v>640</v>
      </c>
      <c r="E257" s="1132"/>
      <c r="F257" s="1133"/>
      <c r="G257" s="1344"/>
      <c r="H257" s="1709" t="s">
        <v>172</v>
      </c>
      <c r="I257" s="1710"/>
      <c r="J257" s="1725"/>
      <c r="K257" s="1348">
        <f>SUM(K258:K259)</f>
        <v>8850000</v>
      </c>
      <c r="L257" s="1349">
        <f>SUM(L258:L259)</f>
        <v>5853646.6</v>
      </c>
      <c r="M257" s="1130">
        <f>'Rashodi-2021'!M291</f>
        <v>9150000</v>
      </c>
      <c r="N257" s="1130" t="e">
        <f>'Rashodi-2021'!#REF!</f>
        <v>#REF!</v>
      </c>
      <c r="O257" s="1216">
        <f>'Rashodi-2021'!N291</f>
        <v>0</v>
      </c>
      <c r="P257" s="1202">
        <f>'Rashodi-2021'!O291</f>
        <v>0</v>
      </c>
      <c r="Q257" s="1202">
        <f>'Rashodi-2021'!P291</f>
        <v>0</v>
      </c>
      <c r="R257" s="1202">
        <f>'Rashodi-2021'!Q291</f>
        <v>700000</v>
      </c>
      <c r="S257" s="1202">
        <f>'Rashodi-2021'!R291</f>
        <v>0</v>
      </c>
      <c r="T257" s="1202">
        <f>'Rashodi-2021'!S291</f>
        <v>0</v>
      </c>
      <c r="U257" s="1350">
        <f t="shared" si="9"/>
        <v>700000</v>
      </c>
      <c r="V257" s="1203">
        <f>'Rashodi-2021'!U291</f>
        <v>9850000</v>
      </c>
      <c r="W257" s="1203">
        <v>9850000</v>
      </c>
      <c r="X257" s="1138">
        <v>9850000</v>
      </c>
    </row>
    <row r="258" spans="2:24" s="1139" customFormat="1" ht="13.5" customHeight="1">
      <c r="B258" s="1286"/>
      <c r="C258" s="1245"/>
      <c r="D258" s="1248"/>
      <c r="E258" s="1245"/>
      <c r="F258" s="1254">
        <v>203</v>
      </c>
      <c r="G258" s="1255">
        <v>421</v>
      </c>
      <c r="H258" s="1726" t="s">
        <v>33</v>
      </c>
      <c r="I258" s="1727"/>
      <c r="J258" s="1728"/>
      <c r="K258" s="1264">
        <v>8000000</v>
      </c>
      <c r="L258" s="1265">
        <v>5377822.6</v>
      </c>
      <c r="M258" s="1112">
        <f>'Rashodi-2021'!M292</f>
        <v>8000000</v>
      </c>
      <c r="N258" s="1112" t="e">
        <f>'Rashodi-2021'!#REF!</f>
        <v>#REF!</v>
      </c>
      <c r="O258" s="1215">
        <f>'Rashodi-2021'!N292</f>
        <v>0</v>
      </c>
      <c r="P258" s="1208">
        <f>'Rashodi-2021'!O292</f>
        <v>0</v>
      </c>
      <c r="Q258" s="1208">
        <f>'Rashodi-2021'!P292</f>
        <v>0</v>
      </c>
      <c r="R258" s="1208">
        <f>'Rashodi-2021'!Q292</f>
        <v>700000</v>
      </c>
      <c r="S258" s="1208">
        <f>'Rashodi-2021'!R292</f>
        <v>0</v>
      </c>
      <c r="T258" s="1208">
        <f>'Rashodi-2021'!S292</f>
        <v>0</v>
      </c>
      <c r="U258" s="1205">
        <f t="shared" si="9"/>
        <v>700000</v>
      </c>
      <c r="V258" s="1138">
        <f>'Rashodi-2021'!U292</f>
        <v>8700000</v>
      </c>
      <c r="W258" s="1261">
        <v>8700000</v>
      </c>
      <c r="X258" s="1138">
        <v>8700000</v>
      </c>
    </row>
    <row r="259" spans="2:24" s="1139" customFormat="1" ht="12.75">
      <c r="B259" s="1131"/>
      <c r="C259" s="1132"/>
      <c r="D259" s="1133"/>
      <c r="E259" s="1132"/>
      <c r="F259" s="1351">
        <v>204</v>
      </c>
      <c r="G259" s="1283">
        <v>425</v>
      </c>
      <c r="H259" s="1307" t="s">
        <v>91</v>
      </c>
      <c r="I259" s="1307"/>
      <c r="J259" s="1307"/>
      <c r="K259" s="1327">
        <v>850000</v>
      </c>
      <c r="L259" s="1327">
        <v>475824</v>
      </c>
      <c r="M259" s="1112">
        <f>'Rashodi-2021'!M293</f>
        <v>1150000</v>
      </c>
      <c r="N259" s="1112" t="e">
        <f>'Rashodi-2021'!#REF!</f>
        <v>#REF!</v>
      </c>
      <c r="O259" s="1215">
        <f>'Rashodi-2021'!N293</f>
        <v>0</v>
      </c>
      <c r="P259" s="1208">
        <f>'Rashodi-2021'!O293</f>
        <v>0</v>
      </c>
      <c r="Q259" s="1208">
        <f>'Rashodi-2021'!P293</f>
        <v>0</v>
      </c>
      <c r="R259" s="1208">
        <f>'Rashodi-2021'!Q293</f>
        <v>0</v>
      </c>
      <c r="S259" s="1208">
        <f>'Rashodi-2021'!R293</f>
        <v>0</v>
      </c>
      <c r="T259" s="1208">
        <f>'Rashodi-2021'!S293</f>
        <v>0</v>
      </c>
      <c r="U259" s="1229">
        <f t="shared" si="9"/>
        <v>0</v>
      </c>
      <c r="V259" s="1138">
        <f>'Rashodi-2021'!U293</f>
        <v>1150000</v>
      </c>
      <c r="W259" s="1261">
        <v>1150000</v>
      </c>
      <c r="X259" s="1138">
        <v>1150000</v>
      </c>
    </row>
    <row r="260" spans="2:24" ht="12.75" customHeight="1">
      <c r="B260" s="284"/>
      <c r="C260" s="285"/>
      <c r="D260" s="428"/>
      <c r="E260" s="346" t="s">
        <v>1242</v>
      </c>
      <c r="F260" s="428"/>
      <c r="G260" s="429"/>
      <c r="H260" s="1489" t="s">
        <v>1239</v>
      </c>
      <c r="I260" s="1490"/>
      <c r="J260" s="1491"/>
      <c r="K260" s="916">
        <f>K261</f>
        <v>16700000</v>
      </c>
      <c r="L260" s="1054">
        <f>L261</f>
        <v>11682340.069999998</v>
      </c>
      <c r="M260" s="1128">
        <f>'Rashodi-2021'!M294</f>
        <v>17000000</v>
      </c>
      <c r="N260" s="1128" t="e">
        <f>'Rashodi-2021'!#REF!</f>
        <v>#REF!</v>
      </c>
      <c r="O260" s="1214">
        <f>'Rashodi-2021'!N294</f>
        <v>0</v>
      </c>
      <c r="P260" s="1194">
        <f>'Rashodi-2021'!O294</f>
        <v>0</v>
      </c>
      <c r="Q260" s="1194">
        <f>'Rashodi-2021'!P294</f>
        <v>0</v>
      </c>
      <c r="R260" s="1194">
        <f>'Rashodi-2021'!Q294</f>
        <v>0</v>
      </c>
      <c r="S260" s="1194">
        <f>'Rashodi-2021'!R294</f>
        <v>0</v>
      </c>
      <c r="T260" s="1194">
        <f>'Rashodi-2021'!S294</f>
        <v>0</v>
      </c>
      <c r="U260" s="1195">
        <f t="shared" si="9"/>
        <v>0</v>
      </c>
      <c r="V260" s="1196">
        <f>'Rashodi-2021'!U294</f>
        <v>17000000</v>
      </c>
      <c r="W260" s="652">
        <v>17000000</v>
      </c>
      <c r="X260" s="652">
        <v>17000000</v>
      </c>
    </row>
    <row r="261" spans="2:24" s="1139" customFormat="1" ht="12.75">
      <c r="B261" s="1286"/>
      <c r="C261" s="1245"/>
      <c r="D261" s="1246">
        <v>540</v>
      </c>
      <c r="E261" s="1247"/>
      <c r="F261" s="1248"/>
      <c r="G261" s="1249"/>
      <c r="H261" s="1251" t="s">
        <v>1256</v>
      </c>
      <c r="I261" s="1252"/>
      <c r="J261" s="1258"/>
      <c r="K261" s="1259">
        <f>SUM(K262:K264)</f>
        <v>16700000</v>
      </c>
      <c r="L261" s="1260">
        <f>SUM(L262:L264)</f>
        <v>11682340.069999998</v>
      </c>
      <c r="M261" s="1130">
        <f>'Rashodi-2021'!M295</f>
        <v>17000000</v>
      </c>
      <c r="N261" s="1130" t="e">
        <f>'Rashodi-2021'!#REF!</f>
        <v>#REF!</v>
      </c>
      <c r="O261" s="1216">
        <f>'Rashodi-2021'!N295</f>
        <v>0</v>
      </c>
      <c r="P261" s="1202">
        <f>'Rashodi-2021'!O295</f>
        <v>0</v>
      </c>
      <c r="Q261" s="1202">
        <f>'Rashodi-2021'!P295</f>
        <v>0</v>
      </c>
      <c r="R261" s="1202">
        <f>'Rashodi-2021'!Q295</f>
        <v>0</v>
      </c>
      <c r="S261" s="1202">
        <f>'Rashodi-2021'!R295</f>
        <v>0</v>
      </c>
      <c r="T261" s="1202">
        <f>'Rashodi-2021'!S295</f>
        <v>0</v>
      </c>
      <c r="U261" s="1204">
        <f t="shared" si="9"/>
        <v>0</v>
      </c>
      <c r="V261" s="1203">
        <f>'Rashodi-2021'!U295</f>
        <v>17000000</v>
      </c>
      <c r="W261" s="1203">
        <v>17000000</v>
      </c>
      <c r="X261" s="1138">
        <v>17000000</v>
      </c>
    </row>
    <row r="262" spans="2:24" s="1139" customFormat="1" ht="12.75">
      <c r="B262" s="1286"/>
      <c r="C262" s="1245"/>
      <c r="D262" s="1248"/>
      <c r="E262" s="1245"/>
      <c r="F262" s="1254">
        <v>205</v>
      </c>
      <c r="G262" s="1255">
        <v>424</v>
      </c>
      <c r="H262" s="1685" t="s">
        <v>1426</v>
      </c>
      <c r="I262" s="1686"/>
      <c r="J262" s="1687"/>
      <c r="K262" s="1262">
        <v>10000000</v>
      </c>
      <c r="L262" s="1242">
        <v>9007795.629999999</v>
      </c>
      <c r="M262" s="1112">
        <f>'Rashodi-2021'!M296</f>
        <v>10000000</v>
      </c>
      <c r="N262" s="1112" t="e">
        <f>'Rashodi-2021'!#REF!</f>
        <v>#REF!</v>
      </c>
      <c r="O262" s="1215">
        <f>'Rashodi-2021'!N296</f>
        <v>0</v>
      </c>
      <c r="P262" s="1208">
        <f>'Rashodi-2021'!O296</f>
        <v>0</v>
      </c>
      <c r="Q262" s="1208">
        <f>'Rashodi-2021'!P296</f>
        <v>0</v>
      </c>
      <c r="R262" s="1208">
        <f>'Rashodi-2021'!Q296</f>
        <v>0</v>
      </c>
      <c r="S262" s="1208">
        <f>'Rashodi-2021'!R296</f>
        <v>0</v>
      </c>
      <c r="T262" s="1208">
        <f>'Rashodi-2021'!S296</f>
        <v>0</v>
      </c>
      <c r="U262" s="1205">
        <f t="shared" si="9"/>
        <v>0</v>
      </c>
      <c r="V262" s="1138">
        <f>'Rashodi-2021'!U296</f>
        <v>10000000</v>
      </c>
      <c r="W262" s="1261">
        <v>10000000</v>
      </c>
      <c r="X262" s="1138">
        <v>10000000</v>
      </c>
    </row>
    <row r="263" spans="2:24" s="1139" customFormat="1" ht="12.75">
      <c r="B263" s="1286"/>
      <c r="C263" s="1245"/>
      <c r="D263" s="1248"/>
      <c r="E263" s="1245"/>
      <c r="F263" s="1254">
        <v>206</v>
      </c>
      <c r="G263" s="1255">
        <v>424</v>
      </c>
      <c r="H263" s="1685" t="s">
        <v>1427</v>
      </c>
      <c r="I263" s="1686"/>
      <c r="J263" s="1687"/>
      <c r="K263" s="1262">
        <v>200000</v>
      </c>
      <c r="L263" s="1242">
        <v>191920</v>
      </c>
      <c r="M263" s="1112">
        <f>'Rashodi-2021'!M297</f>
        <v>500000</v>
      </c>
      <c r="N263" s="1112" t="e">
        <f>'Rashodi-2021'!#REF!</f>
        <v>#REF!</v>
      </c>
      <c r="O263" s="1215">
        <f>'Rashodi-2021'!N297</f>
        <v>0</v>
      </c>
      <c r="P263" s="1208">
        <f>'Rashodi-2021'!O297</f>
        <v>0</v>
      </c>
      <c r="Q263" s="1208">
        <f>'Rashodi-2021'!P297</f>
        <v>0</v>
      </c>
      <c r="R263" s="1208">
        <f>'Rashodi-2021'!Q297</f>
        <v>0</v>
      </c>
      <c r="S263" s="1208">
        <f>'Rashodi-2021'!R297</f>
        <v>0</v>
      </c>
      <c r="T263" s="1208">
        <f>'Rashodi-2021'!S297</f>
        <v>0</v>
      </c>
      <c r="U263" s="1205"/>
      <c r="V263" s="1138">
        <f>'Rashodi-2021'!U297</f>
        <v>500000</v>
      </c>
      <c r="W263" s="1261">
        <v>500000</v>
      </c>
      <c r="X263" s="1138">
        <v>500000</v>
      </c>
    </row>
    <row r="264" spans="2:24" s="1139" customFormat="1" ht="12.75">
      <c r="B264" s="1286"/>
      <c r="C264" s="1341"/>
      <c r="D264" s="1289"/>
      <c r="E264" s="1134"/>
      <c r="F264" s="1254">
        <v>207</v>
      </c>
      <c r="G264" s="1249">
        <v>425</v>
      </c>
      <c r="H264" s="1685" t="s">
        <v>1512</v>
      </c>
      <c r="I264" s="1686"/>
      <c r="J264" s="1687"/>
      <c r="K264" s="1262">
        <v>6500000</v>
      </c>
      <c r="L264" s="1242">
        <v>2482624.44</v>
      </c>
      <c r="M264" s="1112">
        <f>'Rashodi-2021'!M298</f>
        <v>6500000</v>
      </c>
      <c r="N264" s="1112" t="e">
        <f>'Rashodi-2021'!#REF!</f>
        <v>#REF!</v>
      </c>
      <c r="O264" s="1215">
        <f>'Rashodi-2021'!N298</f>
        <v>0</v>
      </c>
      <c r="P264" s="1208">
        <f>'Rashodi-2021'!O298</f>
        <v>0</v>
      </c>
      <c r="Q264" s="1208">
        <f>'Rashodi-2021'!P298</f>
        <v>0</v>
      </c>
      <c r="R264" s="1208">
        <f>'Rashodi-2021'!Q298</f>
        <v>0</v>
      </c>
      <c r="S264" s="1208">
        <f>'Rashodi-2021'!R298</f>
        <v>0</v>
      </c>
      <c r="T264" s="1208">
        <f>'Rashodi-2021'!S298</f>
        <v>0</v>
      </c>
      <c r="U264" s="1352">
        <f t="shared" si="9"/>
        <v>0</v>
      </c>
      <c r="V264" s="1138">
        <f>'Rashodi-2021'!U298</f>
        <v>6500000</v>
      </c>
      <c r="W264" s="1138">
        <v>6500000</v>
      </c>
      <c r="X264" s="1138">
        <v>6500000</v>
      </c>
    </row>
    <row r="265" spans="2:24" ht="14.25" customHeight="1">
      <c r="B265" s="284"/>
      <c r="C265" s="285"/>
      <c r="D265" s="428"/>
      <c r="E265" s="346" t="s">
        <v>1244</v>
      </c>
      <c r="F265" s="428"/>
      <c r="G265" s="429"/>
      <c r="H265" s="1489" t="s">
        <v>1328</v>
      </c>
      <c r="I265" s="1490"/>
      <c r="J265" s="1491"/>
      <c r="K265" s="916">
        <f>K266</f>
        <v>7500000</v>
      </c>
      <c r="L265" s="1054">
        <f>L266</f>
        <v>1041750</v>
      </c>
      <c r="M265" s="1128">
        <f>'Rashodi-2021'!M299</f>
        <v>5500000</v>
      </c>
      <c r="N265" s="1128" t="e">
        <f>'Rashodi-2021'!#REF!</f>
        <v>#REF!</v>
      </c>
      <c r="O265" s="1214">
        <f>'Rashodi-2021'!N299</f>
        <v>0</v>
      </c>
      <c r="P265" s="1194">
        <f>'Rashodi-2021'!O299</f>
        <v>0</v>
      </c>
      <c r="Q265" s="1194">
        <f>'Rashodi-2021'!P299</f>
        <v>0</v>
      </c>
      <c r="R265" s="1194">
        <f>'Rashodi-2021'!Q299</f>
        <v>0</v>
      </c>
      <c r="S265" s="1194">
        <f>'Rashodi-2021'!R299</f>
        <v>0</v>
      </c>
      <c r="T265" s="1194">
        <f>'Rashodi-2021'!S299</f>
        <v>0</v>
      </c>
      <c r="U265" s="1195">
        <f t="shared" si="9"/>
        <v>0</v>
      </c>
      <c r="V265" s="1196">
        <f>'Rashodi-2021'!U299</f>
        <v>5500000</v>
      </c>
      <c r="W265" s="652">
        <v>5500000</v>
      </c>
      <c r="X265" s="652">
        <v>5500000</v>
      </c>
    </row>
    <row r="266" spans="2:24" s="1139" customFormat="1" ht="12.75">
      <c r="B266" s="1286"/>
      <c r="C266" s="1341"/>
      <c r="D266" s="1246">
        <v>630</v>
      </c>
      <c r="E266" s="1247"/>
      <c r="F266" s="1248"/>
      <c r="G266" s="1249"/>
      <c r="H266" s="1694" t="s">
        <v>327</v>
      </c>
      <c r="I266" s="1695"/>
      <c r="J266" s="1258"/>
      <c r="K266" s="1313">
        <f>SUM(K267:K269)</f>
        <v>7500000</v>
      </c>
      <c r="L266" s="1314">
        <f>SUM(L267:L269)</f>
        <v>1041750</v>
      </c>
      <c r="M266" s="1130">
        <f>'Rashodi-2021'!M300</f>
        <v>5500000</v>
      </c>
      <c r="N266" s="1130" t="e">
        <f>'Rashodi-2021'!#REF!</f>
        <v>#REF!</v>
      </c>
      <c r="O266" s="1216">
        <f>'Rashodi-2021'!N300</f>
        <v>0</v>
      </c>
      <c r="P266" s="1202">
        <f>'Rashodi-2021'!O300</f>
        <v>0</v>
      </c>
      <c r="Q266" s="1202">
        <f>'Rashodi-2021'!P300</f>
        <v>0</v>
      </c>
      <c r="R266" s="1202">
        <f>'Rashodi-2021'!Q300</f>
        <v>0</v>
      </c>
      <c r="S266" s="1202">
        <f>'Rashodi-2021'!R300</f>
        <v>0</v>
      </c>
      <c r="T266" s="1202">
        <f>'Rashodi-2021'!S300</f>
        <v>0</v>
      </c>
      <c r="U266" s="1313">
        <f>SUM(U268:U269)</f>
        <v>0</v>
      </c>
      <c r="V266" s="1203">
        <f>'Rashodi-2021'!U300</f>
        <v>5500000</v>
      </c>
      <c r="W266" s="1203">
        <v>5500000</v>
      </c>
      <c r="X266" s="1138">
        <v>5500000</v>
      </c>
    </row>
    <row r="267" spans="2:24" s="1139" customFormat="1" ht="12.75">
      <c r="B267" s="1131"/>
      <c r="C267" s="1343"/>
      <c r="D267" s="1309"/>
      <c r="E267" s="1326"/>
      <c r="F267" s="1344">
        <v>208</v>
      </c>
      <c r="G267" s="1344">
        <v>424</v>
      </c>
      <c r="H267" s="1256" t="s">
        <v>1502</v>
      </c>
      <c r="I267" s="1257"/>
      <c r="J267" s="1258"/>
      <c r="K267" s="1310">
        <v>2600000</v>
      </c>
      <c r="L267" s="1311">
        <v>1041750</v>
      </c>
      <c r="M267" s="1112">
        <f>'Rashodi-2021'!M301</f>
        <v>2600000</v>
      </c>
      <c r="N267" s="1112" t="e">
        <f>'Rashodi-2021'!#REF!</f>
        <v>#REF!</v>
      </c>
      <c r="O267" s="1215">
        <f>'Rashodi-2021'!N301</f>
        <v>0</v>
      </c>
      <c r="P267" s="1208">
        <f>'Rashodi-2021'!O301</f>
        <v>0</v>
      </c>
      <c r="Q267" s="1208">
        <f>'Rashodi-2021'!P301</f>
        <v>0</v>
      </c>
      <c r="R267" s="1208">
        <f>'Rashodi-2021'!Q301</f>
        <v>0</v>
      </c>
      <c r="S267" s="1208">
        <f>'Rashodi-2021'!R301</f>
        <v>0</v>
      </c>
      <c r="T267" s="1208">
        <f>'Rashodi-2021'!S301</f>
        <v>0</v>
      </c>
      <c r="U267" s="1311"/>
      <c r="V267" s="1138">
        <f>'Rashodi-2021'!U301</f>
        <v>2600000</v>
      </c>
      <c r="W267" s="1138">
        <v>2600000</v>
      </c>
      <c r="X267" s="1138">
        <v>2600000</v>
      </c>
    </row>
    <row r="268" spans="2:24" s="1139" customFormat="1" ht="12.75">
      <c r="B268" s="1131"/>
      <c r="C268" s="1343"/>
      <c r="D268" s="1309"/>
      <c r="E268" s="1326"/>
      <c r="F268" s="1353">
        <v>209</v>
      </c>
      <c r="G268" s="1344">
        <v>425</v>
      </c>
      <c r="H268" s="1256" t="s">
        <v>1500</v>
      </c>
      <c r="I268" s="1257"/>
      <c r="J268" s="1258"/>
      <c r="K268" s="1310">
        <v>1500000</v>
      </c>
      <c r="L268" s="1311">
        <v>0</v>
      </c>
      <c r="M268" s="1112">
        <f>'Rashodi-2021'!M302</f>
        <v>1500000</v>
      </c>
      <c r="N268" s="1112" t="e">
        <f>'Rashodi-2021'!#REF!</f>
        <v>#REF!</v>
      </c>
      <c r="O268" s="1215">
        <f>'Rashodi-2021'!N302</f>
        <v>0</v>
      </c>
      <c r="P268" s="1208">
        <f>'Rashodi-2021'!O302</f>
        <v>0</v>
      </c>
      <c r="Q268" s="1208">
        <f>'Rashodi-2021'!P302</f>
        <v>0</v>
      </c>
      <c r="R268" s="1208">
        <f>'Rashodi-2021'!Q302</f>
        <v>0</v>
      </c>
      <c r="S268" s="1208">
        <f>'Rashodi-2021'!R302</f>
        <v>0</v>
      </c>
      <c r="T268" s="1208">
        <f>'Rashodi-2021'!S302</f>
        <v>0</v>
      </c>
      <c r="U268" s="1311"/>
      <c r="V268" s="1138">
        <f>'Rashodi-2021'!U302</f>
        <v>1500000</v>
      </c>
      <c r="W268" s="1138">
        <v>1500000</v>
      </c>
      <c r="X268" s="1138">
        <v>1500000</v>
      </c>
    </row>
    <row r="269" spans="2:24" s="1360" customFormat="1" ht="25.5" customHeight="1">
      <c r="B269" s="1354"/>
      <c r="C269" s="1355"/>
      <c r="D269" s="1356"/>
      <c r="E269" s="1357"/>
      <c r="F269" s="1353">
        <v>210</v>
      </c>
      <c r="G269" s="1353">
        <v>511</v>
      </c>
      <c r="H269" s="1722" t="s">
        <v>1501</v>
      </c>
      <c r="I269" s="1723"/>
      <c r="J269" s="1724"/>
      <c r="K269" s="1358">
        <v>3400000</v>
      </c>
      <c r="L269" s="1359">
        <v>0</v>
      </c>
      <c r="M269" s="1112">
        <f>'Rashodi-2021'!M303</f>
        <v>1400000</v>
      </c>
      <c r="N269" s="1112" t="e">
        <f>'Rashodi-2021'!#REF!</f>
        <v>#REF!</v>
      </c>
      <c r="O269" s="1215">
        <f>'Rashodi-2021'!N303</f>
        <v>0</v>
      </c>
      <c r="P269" s="1208">
        <f>'Rashodi-2021'!O303</f>
        <v>0</v>
      </c>
      <c r="Q269" s="1208">
        <f>'Rashodi-2021'!P303</f>
        <v>0</v>
      </c>
      <c r="R269" s="1208">
        <f>'Rashodi-2021'!Q303</f>
        <v>0</v>
      </c>
      <c r="S269" s="1208">
        <f>'Rashodi-2021'!R303</f>
        <v>0</v>
      </c>
      <c r="T269" s="1208">
        <f>'Rashodi-2021'!S303</f>
        <v>0</v>
      </c>
      <c r="U269" s="1361">
        <f t="shared" si="9"/>
        <v>0</v>
      </c>
      <c r="V269" s="1138">
        <f>'Rashodi-2021'!U303</f>
        <v>1400000</v>
      </c>
      <c r="W269" s="1138">
        <v>1400000</v>
      </c>
      <c r="X269" s="1138">
        <v>1400000</v>
      </c>
    </row>
    <row r="270" spans="2:24" ht="14.25" customHeight="1">
      <c r="B270" s="284"/>
      <c r="C270" s="285"/>
      <c r="D270" s="428"/>
      <c r="E270" s="346" t="s">
        <v>1245</v>
      </c>
      <c r="F270" s="428"/>
      <c r="G270" s="429"/>
      <c r="H270" s="1489" t="s">
        <v>1240</v>
      </c>
      <c r="I270" s="1490"/>
      <c r="J270" s="1491"/>
      <c r="K270" s="916">
        <f>K271</f>
        <v>2950000</v>
      </c>
      <c r="L270" s="1054">
        <f>L271</f>
        <v>1375386</v>
      </c>
      <c r="M270" s="1128">
        <f>'Rashodi-2021'!M304</f>
        <v>3300000</v>
      </c>
      <c r="N270" s="1128" t="e">
        <f>'Rashodi-2021'!#REF!</f>
        <v>#REF!</v>
      </c>
      <c r="O270" s="1214">
        <f>'Rashodi-2021'!N304</f>
        <v>0</v>
      </c>
      <c r="P270" s="1194">
        <f>'Rashodi-2021'!O304</f>
        <v>0</v>
      </c>
      <c r="Q270" s="1194">
        <f>'Rashodi-2021'!P304</f>
        <v>0</v>
      </c>
      <c r="R270" s="1194">
        <f>'Rashodi-2021'!Q304</f>
        <v>0</v>
      </c>
      <c r="S270" s="1194">
        <f>'Rashodi-2021'!R304</f>
        <v>0</v>
      </c>
      <c r="T270" s="1194">
        <f>'Rashodi-2021'!S304</f>
        <v>0</v>
      </c>
      <c r="U270" s="1195">
        <f t="shared" si="9"/>
        <v>0</v>
      </c>
      <c r="V270" s="1196">
        <f>'Rashodi-2021'!U304</f>
        <v>3300000</v>
      </c>
      <c r="W270" s="652">
        <v>3300000</v>
      </c>
      <c r="X270" s="652">
        <v>3300000</v>
      </c>
    </row>
    <row r="271" spans="2:24" s="1276" customFormat="1" ht="12.75">
      <c r="B271" s="1287"/>
      <c r="C271" s="1271"/>
      <c r="D271" s="1247" t="s">
        <v>414</v>
      </c>
      <c r="E271" s="1247"/>
      <c r="F271" s="1272"/>
      <c r="G271" s="1288"/>
      <c r="H271" s="1251" t="s">
        <v>1256</v>
      </c>
      <c r="I271" s="1252"/>
      <c r="J271" s="1273"/>
      <c r="K271" s="1274">
        <f>SUM(K272:K274)</f>
        <v>2950000</v>
      </c>
      <c r="L271" s="1275">
        <f>SUM(L272:L274)</f>
        <v>1375386</v>
      </c>
      <c r="M271" s="1130">
        <f>'Rashodi-2021'!M305</f>
        <v>3300000</v>
      </c>
      <c r="N271" s="1130" t="e">
        <f>'Rashodi-2021'!#REF!</f>
        <v>#REF!</v>
      </c>
      <c r="O271" s="1216">
        <f>'Rashodi-2021'!N305</f>
        <v>0</v>
      </c>
      <c r="P271" s="1202">
        <f>'Rashodi-2021'!O305</f>
        <v>0</v>
      </c>
      <c r="Q271" s="1202">
        <f>'Rashodi-2021'!P305</f>
        <v>0</v>
      </c>
      <c r="R271" s="1202">
        <f>'Rashodi-2021'!Q305</f>
        <v>0</v>
      </c>
      <c r="S271" s="1202">
        <f>'Rashodi-2021'!R305</f>
        <v>0</v>
      </c>
      <c r="T271" s="1202">
        <f>'Rashodi-2021'!S305</f>
        <v>0</v>
      </c>
      <c r="U271" s="1204">
        <f t="shared" si="9"/>
        <v>0</v>
      </c>
      <c r="V271" s="1203">
        <f>'Rashodi-2021'!U305</f>
        <v>3300000</v>
      </c>
      <c r="W271" s="1203">
        <v>3300000</v>
      </c>
      <c r="X271" s="1138">
        <v>3300000</v>
      </c>
    </row>
    <row r="272" spans="2:24" s="1139" customFormat="1" ht="12.75">
      <c r="B272" s="1286"/>
      <c r="C272" s="1245"/>
      <c r="D272" s="1134"/>
      <c r="E272" s="1134"/>
      <c r="F272" s="1248">
        <v>215</v>
      </c>
      <c r="G272" s="1249">
        <v>423</v>
      </c>
      <c r="H272" s="1685" t="s">
        <v>1402</v>
      </c>
      <c r="I272" s="1686"/>
      <c r="J272" s="1687"/>
      <c r="K272" s="1262">
        <v>2400000</v>
      </c>
      <c r="L272" s="1242">
        <v>1018410</v>
      </c>
      <c r="M272" s="1112">
        <f>'Rashodi-2021'!M306</f>
        <v>2400000</v>
      </c>
      <c r="N272" s="1112" t="e">
        <f>'Rashodi-2021'!#REF!</f>
        <v>#REF!</v>
      </c>
      <c r="O272" s="1215">
        <f>'Rashodi-2021'!N306</f>
        <v>0</v>
      </c>
      <c r="P272" s="1208">
        <f>'Rashodi-2021'!O306</f>
        <v>0</v>
      </c>
      <c r="Q272" s="1208">
        <f>'Rashodi-2021'!P306</f>
        <v>0</v>
      </c>
      <c r="R272" s="1208">
        <f>'Rashodi-2021'!Q306</f>
        <v>0</v>
      </c>
      <c r="S272" s="1208">
        <f>'Rashodi-2021'!R306</f>
        <v>0</v>
      </c>
      <c r="T272" s="1208">
        <f>'Rashodi-2021'!S306</f>
        <v>0</v>
      </c>
      <c r="U272" s="1209">
        <f t="shared" si="9"/>
        <v>0</v>
      </c>
      <c r="V272" s="1138">
        <f>'Rashodi-2021'!U306</f>
        <v>2400000</v>
      </c>
      <c r="W272" s="1138">
        <v>2400000</v>
      </c>
      <c r="X272" s="1138">
        <v>2400000</v>
      </c>
    </row>
    <row r="273" spans="2:24" s="1139" customFormat="1" ht="12.75">
      <c r="B273" s="1286"/>
      <c r="C273" s="1341"/>
      <c r="D273" s="1289"/>
      <c r="E273" s="1134"/>
      <c r="F273" s="1248">
        <v>216</v>
      </c>
      <c r="G273" s="1249">
        <v>424</v>
      </c>
      <c r="H273" s="1682" t="s">
        <v>1540</v>
      </c>
      <c r="I273" s="1683"/>
      <c r="J273" s="1684"/>
      <c r="K273" s="1262">
        <v>450000</v>
      </c>
      <c r="L273" s="1242">
        <v>257976</v>
      </c>
      <c r="M273" s="1112">
        <f>'Rashodi-2021'!M307</f>
        <v>800000</v>
      </c>
      <c r="N273" s="1112" t="e">
        <f>'Rashodi-2021'!#REF!</f>
        <v>#REF!</v>
      </c>
      <c r="O273" s="1215">
        <f>'Rashodi-2021'!N307</f>
        <v>0</v>
      </c>
      <c r="P273" s="1208">
        <f>'Rashodi-2021'!O307</f>
        <v>0</v>
      </c>
      <c r="Q273" s="1208">
        <f>'Rashodi-2021'!P307</f>
        <v>0</v>
      </c>
      <c r="R273" s="1208">
        <f>'Rashodi-2021'!Q307</f>
        <v>0</v>
      </c>
      <c r="S273" s="1208">
        <f>'Rashodi-2021'!R307</f>
        <v>0</v>
      </c>
      <c r="T273" s="1208">
        <f>'Rashodi-2021'!S307</f>
        <v>0</v>
      </c>
      <c r="U273" s="1352">
        <f t="shared" si="9"/>
        <v>0</v>
      </c>
      <c r="V273" s="1138">
        <f>'Rashodi-2021'!U307</f>
        <v>800000</v>
      </c>
      <c r="W273" s="1138">
        <v>800000</v>
      </c>
      <c r="X273" s="1138">
        <v>800000</v>
      </c>
    </row>
    <row r="274" spans="2:24" s="1139" customFormat="1" ht="12.75">
      <c r="B274" s="1131"/>
      <c r="C274" s="1343"/>
      <c r="D274" s="1309"/>
      <c r="E274" s="1326"/>
      <c r="F274" s="1133">
        <v>217</v>
      </c>
      <c r="G274" s="1344">
        <v>424</v>
      </c>
      <c r="H274" s="1720" t="s">
        <v>1510</v>
      </c>
      <c r="I274" s="1717"/>
      <c r="J274" s="1721"/>
      <c r="K274" s="1207">
        <v>100000</v>
      </c>
      <c r="L274" s="1327">
        <v>99000</v>
      </c>
      <c r="M274" s="1112">
        <f>'Rashodi-2021'!M308</f>
        <v>100000</v>
      </c>
      <c r="N274" s="1112" t="e">
        <f>'Rashodi-2021'!#REF!</f>
        <v>#REF!</v>
      </c>
      <c r="O274" s="1215">
        <f>'Rashodi-2021'!N308</f>
        <v>0</v>
      </c>
      <c r="P274" s="1208">
        <f>'Rashodi-2021'!O308</f>
        <v>0</v>
      </c>
      <c r="Q274" s="1208">
        <f>'Rashodi-2021'!P308</f>
        <v>0</v>
      </c>
      <c r="R274" s="1208">
        <f>'Rashodi-2021'!Q308</f>
        <v>0</v>
      </c>
      <c r="S274" s="1208">
        <f>'Rashodi-2021'!R308</f>
        <v>0</v>
      </c>
      <c r="T274" s="1208">
        <f>'Rashodi-2021'!S308</f>
        <v>0</v>
      </c>
      <c r="U274" s="1362">
        <f t="shared" si="9"/>
        <v>0</v>
      </c>
      <c r="V274" s="1138">
        <f>'Rashodi-2021'!U308</f>
        <v>100000</v>
      </c>
      <c r="W274" s="1138">
        <v>100000</v>
      </c>
      <c r="X274" s="1138">
        <v>100000</v>
      </c>
    </row>
    <row r="275" spans="2:24" ht="12.75" customHeight="1">
      <c r="B275" s="284"/>
      <c r="C275" s="285"/>
      <c r="D275" s="428"/>
      <c r="E275" s="346" t="s">
        <v>1243</v>
      </c>
      <c r="F275" s="428"/>
      <c r="G275" s="429"/>
      <c r="H275" s="1489" t="s">
        <v>1515</v>
      </c>
      <c r="I275" s="1490"/>
      <c r="J275" s="1491"/>
      <c r="K275" s="916">
        <f>SUM(K277)</f>
        <v>12000000</v>
      </c>
      <c r="L275" s="1054">
        <f>SUM(L277)</f>
        <v>0</v>
      </c>
      <c r="M275" s="1128">
        <f>'Rashodi-2021'!M309</f>
        <v>5000000</v>
      </c>
      <c r="N275" s="1128" t="e">
        <f>'Rashodi-2021'!#REF!</f>
        <v>#REF!</v>
      </c>
      <c r="O275" s="1214">
        <f>'Rashodi-2021'!N309</f>
        <v>0</v>
      </c>
      <c r="P275" s="1194">
        <f>'Rashodi-2021'!O309</f>
        <v>0</v>
      </c>
      <c r="Q275" s="1194">
        <f>'Rashodi-2021'!P309</f>
        <v>0</v>
      </c>
      <c r="R275" s="1194">
        <f>'Rashodi-2021'!Q309</f>
        <v>0</v>
      </c>
      <c r="S275" s="1194">
        <f>'Rashodi-2021'!R309</f>
        <v>0</v>
      </c>
      <c r="T275" s="1194">
        <f>'Rashodi-2021'!S309</f>
        <v>0</v>
      </c>
      <c r="U275" s="1201">
        <f>SUM(U277)</f>
        <v>0</v>
      </c>
      <c r="V275" s="1196">
        <f>'Rashodi-2021'!U309</f>
        <v>5000000</v>
      </c>
      <c r="W275" s="916">
        <v>5000000</v>
      </c>
      <c r="X275" s="652">
        <v>5000000</v>
      </c>
    </row>
    <row r="276" spans="2:24" s="1276" customFormat="1" ht="12.75">
      <c r="B276" s="1287"/>
      <c r="C276" s="1342"/>
      <c r="D276" s="1246">
        <v>620</v>
      </c>
      <c r="E276" s="1247"/>
      <c r="F276" s="1272"/>
      <c r="G276" s="1288"/>
      <c r="H276" s="1251" t="s">
        <v>116</v>
      </c>
      <c r="I276" s="1252"/>
      <c r="J276" s="1273"/>
      <c r="K276" s="1274">
        <f>K277</f>
        <v>12000000</v>
      </c>
      <c r="L276" s="1275">
        <f>L277</f>
        <v>0</v>
      </c>
      <c r="M276" s="1130">
        <f>'Rashodi-2021'!M310</f>
        <v>5000000</v>
      </c>
      <c r="N276" s="1130" t="e">
        <f>'Rashodi-2021'!#REF!</f>
        <v>#REF!</v>
      </c>
      <c r="O276" s="1216">
        <f>'Rashodi-2021'!N310</f>
        <v>0</v>
      </c>
      <c r="P276" s="1202">
        <f>'Rashodi-2021'!O310</f>
        <v>0</v>
      </c>
      <c r="Q276" s="1202">
        <f>'Rashodi-2021'!P310</f>
        <v>0</v>
      </c>
      <c r="R276" s="1202">
        <f>'Rashodi-2021'!Q310</f>
        <v>0</v>
      </c>
      <c r="S276" s="1202">
        <f>'Rashodi-2021'!R310</f>
        <v>0</v>
      </c>
      <c r="T276" s="1202">
        <f>'Rashodi-2021'!S310</f>
        <v>0</v>
      </c>
      <c r="U276" s="1274">
        <f>U277</f>
        <v>0</v>
      </c>
      <c r="V276" s="1203">
        <f>'Rashodi-2021'!U310</f>
        <v>5000000</v>
      </c>
      <c r="W276" s="1274">
        <v>5000000</v>
      </c>
      <c r="X276" s="1138">
        <v>5000000</v>
      </c>
    </row>
    <row r="277" spans="2:24" s="1139" customFormat="1" ht="12.75">
      <c r="B277" s="1131"/>
      <c r="C277" s="1343"/>
      <c r="D277" s="1309"/>
      <c r="E277" s="1134"/>
      <c r="F277" s="1248">
        <v>218</v>
      </c>
      <c r="G277" s="1249">
        <v>451</v>
      </c>
      <c r="H277" s="1256" t="s">
        <v>1536</v>
      </c>
      <c r="I277" s="1257"/>
      <c r="J277" s="1258"/>
      <c r="K277" s="1310">
        <v>12000000</v>
      </c>
      <c r="L277" s="1311">
        <v>0</v>
      </c>
      <c r="M277" s="1112">
        <f>'Rashodi-2021'!M311</f>
        <v>5000000</v>
      </c>
      <c r="N277" s="1112" t="e">
        <f>'Rashodi-2021'!#REF!</f>
        <v>#REF!</v>
      </c>
      <c r="O277" s="1215">
        <f>'Rashodi-2021'!N311</f>
        <v>0</v>
      </c>
      <c r="P277" s="1208">
        <f>'Rashodi-2021'!O311</f>
        <v>0</v>
      </c>
      <c r="Q277" s="1208">
        <f>'Rashodi-2021'!P311</f>
        <v>0</v>
      </c>
      <c r="R277" s="1208">
        <f>'Rashodi-2021'!Q311</f>
        <v>0</v>
      </c>
      <c r="S277" s="1208">
        <f>'Rashodi-2021'!R311</f>
        <v>0</v>
      </c>
      <c r="T277" s="1208">
        <f>'Rashodi-2021'!S311</f>
        <v>0</v>
      </c>
      <c r="U277" s="1259">
        <f t="shared" si="9"/>
        <v>0</v>
      </c>
      <c r="V277" s="1138">
        <f>'Rashodi-2021'!U311</f>
        <v>5000000</v>
      </c>
      <c r="W277" s="1259">
        <v>5000000</v>
      </c>
      <c r="X277" s="1138">
        <v>5000000</v>
      </c>
    </row>
    <row r="278" spans="2:24" ht="27" customHeight="1">
      <c r="B278" s="284"/>
      <c r="C278" s="285"/>
      <c r="D278" s="428"/>
      <c r="E278" s="632" t="s">
        <v>301</v>
      </c>
      <c r="F278" s="633"/>
      <c r="G278" s="633"/>
      <c r="H278" s="1566" t="s">
        <v>1346</v>
      </c>
      <c r="I278" s="1567"/>
      <c r="J278" s="1567"/>
      <c r="K278" s="943">
        <f>K279+K282</f>
        <v>18400000</v>
      </c>
      <c r="L278" s="1126">
        <f>L279+L282</f>
        <v>14537080</v>
      </c>
      <c r="M278" s="957">
        <f>'Rashodi-2021'!M312</f>
        <v>11400000</v>
      </c>
      <c r="N278" s="957" t="e">
        <f>'Rashodi-2021'!#REF!</f>
        <v>#REF!</v>
      </c>
      <c r="O278" s="1213">
        <f>'Rashodi-2021'!N312</f>
        <v>0</v>
      </c>
      <c r="P278" s="1189">
        <f>'Rashodi-2021'!O312</f>
        <v>0</v>
      </c>
      <c r="Q278" s="1189">
        <f>'Rashodi-2021'!P312</f>
        <v>1000000</v>
      </c>
      <c r="R278" s="1189">
        <f>'Rashodi-2021'!Q312</f>
        <v>11600000</v>
      </c>
      <c r="S278" s="1189">
        <f>'Rashodi-2021'!R312</f>
        <v>0</v>
      </c>
      <c r="T278" s="1189">
        <f>'Rashodi-2021'!S312</f>
        <v>0</v>
      </c>
      <c r="U278" s="1193">
        <f t="shared" si="9"/>
        <v>12600000</v>
      </c>
      <c r="V278" s="1107">
        <f>'Rashodi-2021'!U312</f>
        <v>24000000</v>
      </c>
      <c r="W278" s="848">
        <v>24000000</v>
      </c>
      <c r="X278" s="848">
        <v>24000000</v>
      </c>
    </row>
    <row r="279" spans="2:24" ht="15" customHeight="1">
      <c r="B279" s="284"/>
      <c r="C279" s="285"/>
      <c r="D279" s="428"/>
      <c r="E279" s="346" t="s">
        <v>316</v>
      </c>
      <c r="F279" s="428"/>
      <c r="G279" s="429"/>
      <c r="H279" s="1561" t="s">
        <v>1248</v>
      </c>
      <c r="I279" s="1562"/>
      <c r="J279" s="1563"/>
      <c r="K279" s="916">
        <f>K280</f>
        <v>9900000</v>
      </c>
      <c r="L279" s="1054">
        <f>L280</f>
        <v>6537080</v>
      </c>
      <c r="M279" s="1128">
        <f>'Rashodi-2021'!M313</f>
        <v>6000000</v>
      </c>
      <c r="N279" s="1128" t="e">
        <f>'Rashodi-2021'!#REF!</f>
        <v>#REF!</v>
      </c>
      <c r="O279" s="1214">
        <f>'Rashodi-2021'!N313</f>
        <v>0</v>
      </c>
      <c r="P279" s="1194">
        <f>'Rashodi-2021'!O313</f>
        <v>0</v>
      </c>
      <c r="Q279" s="1194">
        <f>'Rashodi-2021'!P313</f>
        <v>1000000</v>
      </c>
      <c r="R279" s="1194">
        <f>'Rashodi-2021'!Q313</f>
        <v>3000000</v>
      </c>
      <c r="S279" s="1194">
        <f>'Rashodi-2021'!R313</f>
        <v>0</v>
      </c>
      <c r="T279" s="1194">
        <f>'Rashodi-2021'!S313</f>
        <v>0</v>
      </c>
      <c r="U279" s="1195">
        <f t="shared" si="9"/>
        <v>4000000</v>
      </c>
      <c r="V279" s="1196">
        <f>'Rashodi-2021'!U313</f>
        <v>10000000</v>
      </c>
      <c r="W279" s="652">
        <v>10000000</v>
      </c>
      <c r="X279" s="652">
        <v>10000000</v>
      </c>
    </row>
    <row r="280" spans="2:24" s="1276" customFormat="1" ht="12.75">
      <c r="B280" s="1287"/>
      <c r="C280" s="1342"/>
      <c r="D280" s="1246">
        <v>620</v>
      </c>
      <c r="E280" s="1247"/>
      <c r="F280" s="1272"/>
      <c r="G280" s="1288"/>
      <c r="H280" s="1694" t="s">
        <v>116</v>
      </c>
      <c r="I280" s="1695"/>
      <c r="J280" s="1273"/>
      <c r="K280" s="1274">
        <f>SUM(K281:K281)</f>
        <v>9900000</v>
      </c>
      <c r="L280" s="1275">
        <f>SUM(L281:L281)</f>
        <v>6537080</v>
      </c>
      <c r="M280" s="1130">
        <f>'Rashodi-2021'!M314</f>
        <v>6000000</v>
      </c>
      <c r="N280" s="1130" t="e">
        <f>'Rashodi-2021'!#REF!</f>
        <v>#REF!</v>
      </c>
      <c r="O280" s="1216">
        <f>'Rashodi-2021'!N314</f>
        <v>0</v>
      </c>
      <c r="P280" s="1202">
        <f>'Rashodi-2021'!O314</f>
        <v>0</v>
      </c>
      <c r="Q280" s="1202">
        <f>'Rashodi-2021'!P314</f>
        <v>1000000</v>
      </c>
      <c r="R280" s="1202">
        <f>'Rashodi-2021'!Q314</f>
        <v>3000000</v>
      </c>
      <c r="S280" s="1202">
        <f>'Rashodi-2021'!R314</f>
        <v>0</v>
      </c>
      <c r="T280" s="1202">
        <f>'Rashodi-2021'!S314</f>
        <v>0</v>
      </c>
      <c r="U280" s="1363">
        <f t="shared" si="9"/>
        <v>4000000</v>
      </c>
      <c r="V280" s="1203">
        <f>'Rashodi-2021'!U314</f>
        <v>10000000</v>
      </c>
      <c r="W280" s="1203">
        <v>10000000</v>
      </c>
      <c r="X280" s="1138">
        <v>10000000</v>
      </c>
    </row>
    <row r="281" spans="2:24" s="1360" customFormat="1" ht="26.25" customHeight="1">
      <c r="B281" s="1364"/>
      <c r="C281" s="1365"/>
      <c r="D281" s="1366"/>
      <c r="E281" s="1367"/>
      <c r="F281" s="1366">
        <v>219</v>
      </c>
      <c r="G281" s="1368">
        <v>511</v>
      </c>
      <c r="H281" s="1711" t="s">
        <v>1484</v>
      </c>
      <c r="I281" s="1712"/>
      <c r="J281" s="1718"/>
      <c r="K281" s="1369">
        <v>9900000</v>
      </c>
      <c r="L281" s="1370">
        <v>6537080</v>
      </c>
      <c r="M281" s="1112">
        <f>'Rashodi-2021'!M315</f>
        <v>6000000</v>
      </c>
      <c r="N281" s="1112" t="e">
        <f>'Rashodi-2021'!#REF!</f>
        <v>#REF!</v>
      </c>
      <c r="O281" s="1215">
        <f>'Rashodi-2021'!N315</f>
        <v>0</v>
      </c>
      <c r="P281" s="1208">
        <f>'Rashodi-2021'!O315</f>
        <v>0</v>
      </c>
      <c r="Q281" s="1208">
        <f>'Rashodi-2021'!P315</f>
        <v>1000000</v>
      </c>
      <c r="R281" s="1208">
        <f>'Rashodi-2021'!Q315</f>
        <v>3000000</v>
      </c>
      <c r="S281" s="1208">
        <f>'Rashodi-2021'!R315</f>
        <v>0</v>
      </c>
      <c r="T281" s="1208">
        <f>'Rashodi-2021'!S315</f>
        <v>0</v>
      </c>
      <c r="U281" s="1371">
        <f t="shared" si="9"/>
        <v>4000000</v>
      </c>
      <c r="V281" s="1138">
        <f>'Rashodi-2021'!U315</f>
        <v>10000000</v>
      </c>
      <c r="W281" s="1261">
        <v>10000000</v>
      </c>
      <c r="X281" s="1138">
        <v>10000000</v>
      </c>
    </row>
    <row r="282" spans="2:24" ht="15" customHeight="1">
      <c r="B282" s="284"/>
      <c r="C282" s="285"/>
      <c r="D282" s="428"/>
      <c r="E282" s="346" t="s">
        <v>1250</v>
      </c>
      <c r="F282" s="428"/>
      <c r="G282" s="429"/>
      <c r="H282" s="1489" t="s">
        <v>1251</v>
      </c>
      <c r="I282" s="1490"/>
      <c r="J282" s="1491"/>
      <c r="K282" s="916">
        <f>K283</f>
        <v>8500000</v>
      </c>
      <c r="L282" s="1054">
        <f>L283</f>
        <v>8000000</v>
      </c>
      <c r="M282" s="1128">
        <f>'Rashodi-2021'!M316</f>
        <v>5400000</v>
      </c>
      <c r="N282" s="1128" t="e">
        <f>'Rashodi-2021'!#REF!</f>
        <v>#REF!</v>
      </c>
      <c r="O282" s="1214">
        <f>'Rashodi-2021'!N316</f>
        <v>0</v>
      </c>
      <c r="P282" s="1194">
        <f>'Rashodi-2021'!O316</f>
        <v>0</v>
      </c>
      <c r="Q282" s="1194">
        <f>'Rashodi-2021'!P316</f>
        <v>0</v>
      </c>
      <c r="R282" s="1194">
        <f>'Rashodi-2021'!Q316</f>
        <v>8600000</v>
      </c>
      <c r="S282" s="1194">
        <f>'Rashodi-2021'!R316</f>
        <v>0</v>
      </c>
      <c r="T282" s="1194">
        <f>'Rashodi-2021'!S316</f>
        <v>0</v>
      </c>
      <c r="U282" s="1195">
        <f t="shared" si="9"/>
        <v>8600000</v>
      </c>
      <c r="V282" s="1196">
        <f>'Rashodi-2021'!U316</f>
        <v>14000000</v>
      </c>
      <c r="W282" s="652">
        <v>14000000</v>
      </c>
      <c r="X282" s="652">
        <v>14000000</v>
      </c>
    </row>
    <row r="283" spans="2:24" s="1276" customFormat="1" ht="12.75">
      <c r="B283" s="1287"/>
      <c r="C283" s="1342"/>
      <c r="D283" s="1246">
        <v>620</v>
      </c>
      <c r="E283" s="1247"/>
      <c r="F283" s="1272"/>
      <c r="G283" s="1288"/>
      <c r="H283" s="1293" t="s">
        <v>116</v>
      </c>
      <c r="I283" s="1294"/>
      <c r="J283" s="1372"/>
      <c r="K283" s="1315">
        <f>SUM(K284:K285)</f>
        <v>8500000</v>
      </c>
      <c r="L283" s="1316">
        <f>SUM(L284:L285)</f>
        <v>8000000</v>
      </c>
      <c r="M283" s="1130">
        <f>'Rashodi-2021'!M317</f>
        <v>5400000</v>
      </c>
      <c r="N283" s="1130" t="e">
        <f>'Rashodi-2021'!#REF!</f>
        <v>#REF!</v>
      </c>
      <c r="O283" s="1216">
        <f>'Rashodi-2021'!N317</f>
        <v>0</v>
      </c>
      <c r="P283" s="1202">
        <f>'Rashodi-2021'!O317</f>
        <v>0</v>
      </c>
      <c r="Q283" s="1202">
        <f>'Rashodi-2021'!P317</f>
        <v>0</v>
      </c>
      <c r="R283" s="1202">
        <f>'Rashodi-2021'!Q317</f>
        <v>8600000</v>
      </c>
      <c r="S283" s="1202">
        <f>'Rashodi-2021'!R317</f>
        <v>0</v>
      </c>
      <c r="T283" s="1202">
        <f>'Rashodi-2021'!S317</f>
        <v>0</v>
      </c>
      <c r="U283" s="1373">
        <f>SUM(U284:U285)</f>
        <v>8600000</v>
      </c>
      <c r="V283" s="1203">
        <f>'Rashodi-2021'!U317</f>
        <v>14000000</v>
      </c>
      <c r="W283" s="1203">
        <v>14000000</v>
      </c>
      <c r="X283" s="1203">
        <v>14000000</v>
      </c>
    </row>
    <row r="284" spans="2:24" s="1139" customFormat="1" ht="12.75">
      <c r="B284" s="1286"/>
      <c r="C284" s="1341"/>
      <c r="D284" s="1289"/>
      <c r="E284" s="1134"/>
      <c r="F284" s="1344">
        <v>220</v>
      </c>
      <c r="G284" s="1374">
        <v>424</v>
      </c>
      <c r="H284" s="1719" t="s">
        <v>1537</v>
      </c>
      <c r="I284" s="1719"/>
      <c r="J284" s="1719"/>
      <c r="K284" s="1112">
        <v>500000</v>
      </c>
      <c r="L284" s="1269">
        <v>0</v>
      </c>
      <c r="M284" s="1112">
        <f>'Rashodi-2021'!M318</f>
        <v>2400000</v>
      </c>
      <c r="N284" s="1112" t="e">
        <f>'Rashodi-2021'!#REF!</f>
        <v>#REF!</v>
      </c>
      <c r="O284" s="1215">
        <f>'Rashodi-2021'!N318</f>
        <v>0</v>
      </c>
      <c r="P284" s="1208">
        <f>'Rashodi-2021'!O318</f>
        <v>0</v>
      </c>
      <c r="Q284" s="1208">
        <f>'Rashodi-2021'!P318</f>
        <v>0</v>
      </c>
      <c r="R284" s="1208">
        <f>'Rashodi-2021'!Q318</f>
        <v>0</v>
      </c>
      <c r="S284" s="1208">
        <f>'Rashodi-2021'!R318</f>
        <v>0</v>
      </c>
      <c r="T284" s="1208">
        <f>'Rashodi-2021'!S318</f>
        <v>0</v>
      </c>
      <c r="U284" s="1352">
        <f t="shared" si="9"/>
        <v>0</v>
      </c>
      <c r="V284" s="1138">
        <f>'Rashodi-2021'!U318</f>
        <v>2400000</v>
      </c>
      <c r="W284" s="1138">
        <v>2400000</v>
      </c>
      <c r="X284" s="1138">
        <v>2400000</v>
      </c>
    </row>
    <row r="285" spans="2:24" s="1139" customFormat="1" ht="12.75">
      <c r="B285" s="1131"/>
      <c r="C285" s="1343"/>
      <c r="D285" s="1309"/>
      <c r="E285" s="1326"/>
      <c r="F285" s="1344">
        <v>221</v>
      </c>
      <c r="G285" s="1298">
        <v>424</v>
      </c>
      <c r="H285" s="1375" t="s">
        <v>1434</v>
      </c>
      <c r="I285" s="1376"/>
      <c r="J285" s="1377"/>
      <c r="K285" s="1378">
        <v>8000000</v>
      </c>
      <c r="L285" s="1379">
        <v>8000000</v>
      </c>
      <c r="M285" s="1112">
        <f>'Rashodi-2021'!M319</f>
        <v>0</v>
      </c>
      <c r="N285" s="1112" t="e">
        <f>'Rashodi-2021'!#REF!</f>
        <v>#REF!</v>
      </c>
      <c r="O285" s="1215">
        <f>'Rashodi-2021'!N319</f>
        <v>0</v>
      </c>
      <c r="P285" s="1208">
        <f>'Rashodi-2021'!O319</f>
        <v>0</v>
      </c>
      <c r="Q285" s="1208">
        <f>'Rashodi-2021'!P319</f>
        <v>0</v>
      </c>
      <c r="R285" s="1208">
        <f>'Rashodi-2021'!Q319</f>
        <v>8600000</v>
      </c>
      <c r="S285" s="1208">
        <f>'Rashodi-2021'!R319</f>
        <v>0</v>
      </c>
      <c r="T285" s="1208">
        <f>'Rashodi-2021'!S319</f>
        <v>0</v>
      </c>
      <c r="U285" s="1362">
        <f>SUM(R285:T285)</f>
        <v>8600000</v>
      </c>
      <c r="V285" s="1138">
        <f>'Rashodi-2021'!U319</f>
        <v>8600000</v>
      </c>
      <c r="W285" s="1138">
        <v>8600000</v>
      </c>
      <c r="X285" s="1138">
        <v>8600000</v>
      </c>
    </row>
    <row r="286" spans="2:24" ht="27" customHeight="1">
      <c r="B286" s="284"/>
      <c r="C286" s="285"/>
      <c r="D286" s="428"/>
      <c r="E286" s="610" t="s">
        <v>1252</v>
      </c>
      <c r="F286" s="428"/>
      <c r="G286" s="429"/>
      <c r="H286" s="1589" t="s">
        <v>1431</v>
      </c>
      <c r="I286" s="1521"/>
      <c r="J286" s="1522"/>
      <c r="K286" s="1072">
        <f>K287</f>
        <v>13500000</v>
      </c>
      <c r="L286" s="1122">
        <f>L287</f>
        <v>3391933.7799999993</v>
      </c>
      <c r="M286" s="957">
        <f>'Rashodi-2021'!M321</f>
        <v>1000000</v>
      </c>
      <c r="N286" s="957" t="e">
        <f>'Rashodi-2021'!#REF!</f>
        <v>#REF!</v>
      </c>
      <c r="O286" s="1213">
        <f>'Rashodi-2021'!N321</f>
        <v>0</v>
      </c>
      <c r="P286" s="1189">
        <f>'Rashodi-2021'!O321</f>
        <v>0</v>
      </c>
      <c r="Q286" s="1189">
        <f>'Rashodi-2021'!P321</f>
        <v>16000000</v>
      </c>
      <c r="R286" s="1189">
        <f>'Rashodi-2021'!Q321</f>
        <v>0</v>
      </c>
      <c r="S286" s="1189">
        <f>'Rashodi-2021'!R321</f>
        <v>0</v>
      </c>
      <c r="T286" s="1189">
        <f>'Rashodi-2021'!S321</f>
        <v>0</v>
      </c>
      <c r="U286" s="1193">
        <f t="shared" si="9"/>
        <v>16000000</v>
      </c>
      <c r="V286" s="1107">
        <f>'Rashodi-2021'!U321</f>
        <v>17000000</v>
      </c>
      <c r="W286" s="848">
        <v>17000000</v>
      </c>
      <c r="X286" s="848">
        <v>17000000</v>
      </c>
    </row>
    <row r="287" spans="2:24" ht="14.25" customHeight="1">
      <c r="B287" s="284"/>
      <c r="C287" s="285"/>
      <c r="D287" s="428"/>
      <c r="E287" s="346" t="s">
        <v>1253</v>
      </c>
      <c r="F287" s="428"/>
      <c r="G287" s="429"/>
      <c r="H287" s="1489" t="s">
        <v>1329</v>
      </c>
      <c r="I287" s="1490"/>
      <c r="J287" s="1491"/>
      <c r="K287" s="916">
        <f>K288</f>
        <v>13500000</v>
      </c>
      <c r="L287" s="1054">
        <f>L288</f>
        <v>3391933.7799999993</v>
      </c>
      <c r="M287" s="1128">
        <f>'Rashodi-2021'!M322</f>
        <v>1000000</v>
      </c>
      <c r="N287" s="1128" t="e">
        <f>'Rashodi-2021'!#REF!</f>
        <v>#REF!</v>
      </c>
      <c r="O287" s="1214">
        <f>'Rashodi-2021'!N322</f>
        <v>0</v>
      </c>
      <c r="P287" s="1194">
        <f>'Rashodi-2021'!O322</f>
        <v>0</v>
      </c>
      <c r="Q287" s="1194">
        <f>'Rashodi-2021'!P322</f>
        <v>16000000</v>
      </c>
      <c r="R287" s="1194">
        <f>'Rashodi-2021'!Q322</f>
        <v>0</v>
      </c>
      <c r="S287" s="1194">
        <f>'Rashodi-2021'!R322</f>
        <v>0</v>
      </c>
      <c r="T287" s="1194">
        <f>'Rashodi-2021'!S322</f>
        <v>0</v>
      </c>
      <c r="U287" s="1195">
        <f t="shared" si="9"/>
        <v>16000000</v>
      </c>
      <c r="V287" s="1196">
        <f>'Rashodi-2021'!U322</f>
        <v>17000000</v>
      </c>
      <c r="W287" s="652">
        <v>17000000</v>
      </c>
      <c r="X287" s="652">
        <v>17000000</v>
      </c>
    </row>
    <row r="288" spans="2:24" s="1276" customFormat="1" ht="12.75">
      <c r="B288" s="1287"/>
      <c r="C288" s="1342"/>
      <c r="D288" s="1246">
        <v>620</v>
      </c>
      <c r="E288" s="1247"/>
      <c r="F288" s="1272"/>
      <c r="G288" s="1288"/>
      <c r="H288" s="1694" t="s">
        <v>116</v>
      </c>
      <c r="I288" s="1695"/>
      <c r="J288" s="1273"/>
      <c r="K288" s="1274">
        <f>SUM(K289:K289)</f>
        <v>13500000</v>
      </c>
      <c r="L288" s="1275">
        <f>SUM(L289:L289)</f>
        <v>3391933.7799999993</v>
      </c>
      <c r="M288" s="1130">
        <f>'Rashodi-2021'!M323</f>
        <v>1000000</v>
      </c>
      <c r="N288" s="1130" t="e">
        <f>'Rashodi-2021'!#REF!</f>
        <v>#REF!</v>
      </c>
      <c r="O288" s="1216">
        <f>'Rashodi-2021'!N323</f>
        <v>0</v>
      </c>
      <c r="P288" s="1202">
        <f>'Rashodi-2021'!O323</f>
        <v>0</v>
      </c>
      <c r="Q288" s="1202">
        <f>'Rashodi-2021'!P323</f>
        <v>16000000</v>
      </c>
      <c r="R288" s="1202">
        <f>'Rashodi-2021'!Q323</f>
        <v>0</v>
      </c>
      <c r="S288" s="1202">
        <f>'Rashodi-2021'!R323</f>
        <v>0</v>
      </c>
      <c r="T288" s="1202">
        <f>'Rashodi-2021'!S323</f>
        <v>0</v>
      </c>
      <c r="U288" s="1363">
        <f t="shared" si="9"/>
        <v>16000000</v>
      </c>
      <c r="V288" s="1203">
        <f>'Rashodi-2021'!U323</f>
        <v>17000000</v>
      </c>
      <c r="W288" s="1203">
        <v>17000000</v>
      </c>
      <c r="X288" s="1138">
        <v>17000000</v>
      </c>
    </row>
    <row r="289" spans="2:24" s="1139" customFormat="1" ht="12.75">
      <c r="B289" s="1286"/>
      <c r="C289" s="1341"/>
      <c r="D289" s="1289"/>
      <c r="E289" s="1134"/>
      <c r="F289" s="1248">
        <v>225</v>
      </c>
      <c r="G289" s="1249">
        <v>511</v>
      </c>
      <c r="H289" s="1685" t="s">
        <v>1485</v>
      </c>
      <c r="I289" s="1686"/>
      <c r="J289" s="1687"/>
      <c r="K289" s="1242">
        <v>13500000</v>
      </c>
      <c r="L289" s="1242">
        <v>3391933.7799999993</v>
      </c>
      <c r="M289" s="1112">
        <f>'Rashodi-2021'!M324</f>
        <v>1000000</v>
      </c>
      <c r="N289" s="1112" t="e">
        <f>'Rashodi-2021'!#REF!</f>
        <v>#REF!</v>
      </c>
      <c r="O289" s="1215">
        <f>'Rashodi-2021'!N324</f>
        <v>0</v>
      </c>
      <c r="P289" s="1208">
        <f>'Rashodi-2021'!O324</f>
        <v>0</v>
      </c>
      <c r="Q289" s="1208">
        <f>'Rashodi-2021'!P324</f>
        <v>16000000</v>
      </c>
      <c r="R289" s="1208">
        <f>'Rashodi-2021'!Q324</f>
        <v>0</v>
      </c>
      <c r="S289" s="1208">
        <f>'Rashodi-2021'!R324</f>
        <v>0</v>
      </c>
      <c r="T289" s="1208">
        <f>'Rashodi-2021'!S324</f>
        <v>0</v>
      </c>
      <c r="U289" s="1240">
        <f t="shared" si="9"/>
        <v>16000000</v>
      </c>
      <c r="V289" s="1138">
        <f>'Rashodi-2021'!U324</f>
        <v>17000000</v>
      </c>
      <c r="W289" s="1138">
        <v>17000000</v>
      </c>
      <c r="X289" s="1138">
        <v>17000000</v>
      </c>
    </row>
    <row r="290" spans="2:24" s="643" customFormat="1" ht="28.5" customHeight="1">
      <c r="B290" s="660"/>
      <c r="C290" s="661"/>
      <c r="D290" s="662"/>
      <c r="E290" s="663" t="s">
        <v>1268</v>
      </c>
      <c r="F290" s="662"/>
      <c r="G290" s="664"/>
      <c r="H290" s="1635" t="s">
        <v>222</v>
      </c>
      <c r="I290" s="1636"/>
      <c r="J290" s="1637"/>
      <c r="K290" s="946">
        <f>K291</f>
        <v>660000</v>
      </c>
      <c r="L290" s="1127">
        <f>L291</f>
        <v>0</v>
      </c>
      <c r="M290" s="1128">
        <f>'Rashodi-2021'!M326</f>
        <v>972000</v>
      </c>
      <c r="N290" s="1128" t="e">
        <f>'Rashodi-2021'!#REF!</f>
        <v>#REF!</v>
      </c>
      <c r="O290" s="1214">
        <f>'Rashodi-2021'!N326</f>
        <v>0</v>
      </c>
      <c r="P290" s="1194">
        <f>'Rashodi-2021'!O326</f>
        <v>0</v>
      </c>
      <c r="Q290" s="1194">
        <f>'Rashodi-2021'!P326</f>
        <v>3658953.5</v>
      </c>
      <c r="R290" s="1194">
        <f>'Rashodi-2021'!Q326</f>
        <v>7837500</v>
      </c>
      <c r="S290" s="1194">
        <f>'Rashodi-2021'!R326</f>
        <v>0</v>
      </c>
      <c r="T290" s="1194">
        <f>'Rashodi-2021'!S326</f>
        <v>0</v>
      </c>
      <c r="U290" s="1195">
        <f t="shared" si="9"/>
        <v>11496453.5</v>
      </c>
      <c r="V290" s="1196">
        <f>'Rashodi-2021'!U326</f>
        <v>12468453.5</v>
      </c>
      <c r="W290" s="652">
        <v>12468453.5</v>
      </c>
      <c r="X290" s="652">
        <v>12468453.5</v>
      </c>
    </row>
    <row r="291" spans="2:24" s="1139" customFormat="1" ht="12.75">
      <c r="B291" s="1286"/>
      <c r="C291" s="1245"/>
      <c r="D291" s="1246">
        <v>610</v>
      </c>
      <c r="E291" s="1247"/>
      <c r="F291" s="1248"/>
      <c r="G291" s="1249"/>
      <c r="H291" s="1694" t="s">
        <v>115</v>
      </c>
      <c r="I291" s="1695"/>
      <c r="J291" s="1696"/>
      <c r="K291" s="1250">
        <f>SUM(K292:K293)</f>
        <v>660000</v>
      </c>
      <c r="L291" s="1221">
        <f>SUM(L292:L293)</f>
        <v>0</v>
      </c>
      <c r="M291" s="1130">
        <f>'Rashodi-2021'!M327</f>
        <v>972000</v>
      </c>
      <c r="N291" s="1130" t="e">
        <f>'Rashodi-2021'!#REF!</f>
        <v>#REF!</v>
      </c>
      <c r="O291" s="1216">
        <f>'Rashodi-2021'!N327</f>
        <v>0</v>
      </c>
      <c r="P291" s="1202">
        <f>'Rashodi-2021'!O327</f>
        <v>0</v>
      </c>
      <c r="Q291" s="1202">
        <f>'Rashodi-2021'!P327</f>
        <v>3658953.5</v>
      </c>
      <c r="R291" s="1202">
        <f>'Rashodi-2021'!Q327</f>
        <v>7837500</v>
      </c>
      <c r="S291" s="1202">
        <f>'Rashodi-2021'!R327</f>
        <v>0</v>
      </c>
      <c r="T291" s="1202">
        <f>'Rashodi-2021'!S327</f>
        <v>0</v>
      </c>
      <c r="U291" s="1221">
        <f t="shared" si="9"/>
        <v>11496453.5</v>
      </c>
      <c r="V291" s="1203">
        <f>'Rashodi-2021'!U327</f>
        <v>12468453.5</v>
      </c>
      <c r="W291" s="1203">
        <v>12468453.5</v>
      </c>
      <c r="X291" s="1138">
        <v>12468453.5</v>
      </c>
    </row>
    <row r="292" spans="2:24" s="1139" customFormat="1" ht="13.5" customHeight="1">
      <c r="B292" s="1131"/>
      <c r="C292" s="1132"/>
      <c r="D292" s="1309"/>
      <c r="E292" s="1326"/>
      <c r="F292" s="1344">
        <v>228</v>
      </c>
      <c r="G292" s="1298">
        <v>472</v>
      </c>
      <c r="H292" s="1686" t="s">
        <v>1403</v>
      </c>
      <c r="I292" s="1686"/>
      <c r="J292" s="1686"/>
      <c r="K292" s="1137">
        <v>160000</v>
      </c>
      <c r="L292" s="1137">
        <v>0</v>
      </c>
      <c r="M292" s="1112">
        <f>'Rashodi-2021'!M328</f>
        <v>872000</v>
      </c>
      <c r="N292" s="1112" t="e">
        <f>'Rashodi-2021'!#REF!</f>
        <v>#REF!</v>
      </c>
      <c r="O292" s="1215">
        <f>'Rashodi-2021'!N328</f>
        <v>0</v>
      </c>
      <c r="P292" s="1208">
        <f>'Rashodi-2021'!O328</f>
        <v>0</v>
      </c>
      <c r="Q292" s="1208">
        <f>'Rashodi-2021'!P328</f>
        <v>0</v>
      </c>
      <c r="R292" s="1208">
        <f>'Rashodi-2021'!Q328</f>
        <v>7837500</v>
      </c>
      <c r="S292" s="1208">
        <f>'Rashodi-2021'!R328</f>
        <v>0</v>
      </c>
      <c r="T292" s="1208">
        <f>'Rashodi-2021'!S328</f>
        <v>0</v>
      </c>
      <c r="U292" s="1242">
        <f aca="true" t="shared" si="10" ref="U292:U361">SUM(O292:T292)</f>
        <v>7837500</v>
      </c>
      <c r="V292" s="1138">
        <f>'Rashodi-2021'!U328</f>
        <v>8709500</v>
      </c>
      <c r="W292" s="1138">
        <v>8709500</v>
      </c>
      <c r="X292" s="1138">
        <v>8709500</v>
      </c>
    </row>
    <row r="293" spans="2:24" s="1139" customFormat="1" ht="13.5" customHeight="1">
      <c r="B293" s="1131"/>
      <c r="C293" s="1132"/>
      <c r="D293" s="1309"/>
      <c r="E293" s="1326"/>
      <c r="F293" s="1344">
        <v>229</v>
      </c>
      <c r="G293" s="1298">
        <v>472</v>
      </c>
      <c r="H293" s="1716" t="s">
        <v>1404</v>
      </c>
      <c r="I293" s="1717"/>
      <c r="J293" s="1717"/>
      <c r="K293" s="1327">
        <v>500000</v>
      </c>
      <c r="L293" s="1327">
        <v>0</v>
      </c>
      <c r="M293" s="1112">
        <f>'Rashodi-2021'!M329</f>
        <v>100000</v>
      </c>
      <c r="N293" s="1112" t="e">
        <f>'Rashodi-2021'!#REF!</f>
        <v>#REF!</v>
      </c>
      <c r="O293" s="1215">
        <f>'Rashodi-2021'!N329</f>
        <v>0</v>
      </c>
      <c r="P293" s="1208">
        <f>'Rashodi-2021'!O329</f>
        <v>0</v>
      </c>
      <c r="Q293" s="1208">
        <f>'Rashodi-2021'!P329</f>
        <v>3658953.5</v>
      </c>
      <c r="R293" s="1208">
        <f>'Rashodi-2021'!Q329</f>
        <v>0</v>
      </c>
      <c r="S293" s="1208">
        <f>'Rashodi-2021'!R329</f>
        <v>0</v>
      </c>
      <c r="T293" s="1208">
        <f>'Rashodi-2021'!S329</f>
        <v>0</v>
      </c>
      <c r="U293" s="1242">
        <f t="shared" si="10"/>
        <v>3658953.5</v>
      </c>
      <c r="V293" s="1138">
        <f>'Rashodi-2021'!U329</f>
        <v>3758953.5</v>
      </c>
      <c r="W293" s="1138">
        <v>3758953.5</v>
      </c>
      <c r="X293" s="1138">
        <v>3758953.5</v>
      </c>
    </row>
    <row r="294" spans="2:24" s="356" customFormat="1" ht="13.5" customHeight="1">
      <c r="B294" s="747"/>
      <c r="C294" s="748"/>
      <c r="D294" s="600"/>
      <c r="E294" s="346" t="s">
        <v>837</v>
      </c>
      <c r="F294" s="600"/>
      <c r="G294" s="601"/>
      <c r="H294" s="1489" t="s">
        <v>1361</v>
      </c>
      <c r="I294" s="1490"/>
      <c r="J294" s="1491"/>
      <c r="K294" s="916">
        <f>K296</f>
        <v>2000000</v>
      </c>
      <c r="L294" s="1054">
        <f>L296</f>
        <v>0</v>
      </c>
      <c r="M294" s="1128">
        <f>'Rashodi-2021'!M330</f>
        <v>5300000</v>
      </c>
      <c r="N294" s="1128" t="e">
        <f>'Rashodi-2021'!#REF!</f>
        <v>#REF!</v>
      </c>
      <c r="O294" s="1214">
        <f>'Rashodi-2021'!N330</f>
        <v>0</v>
      </c>
      <c r="P294" s="1194">
        <f>'Rashodi-2021'!O330</f>
        <v>0</v>
      </c>
      <c r="Q294" s="1194">
        <f>'Rashodi-2021'!P330</f>
        <v>0</v>
      </c>
      <c r="R294" s="1194">
        <f>'Rashodi-2021'!Q330</f>
        <v>0</v>
      </c>
      <c r="S294" s="1194">
        <f>'Rashodi-2021'!R330</f>
        <v>0</v>
      </c>
      <c r="T294" s="1194">
        <f>'Rashodi-2021'!S330</f>
        <v>0</v>
      </c>
      <c r="U294" s="1195">
        <f t="shared" si="10"/>
        <v>0</v>
      </c>
      <c r="V294" s="1196">
        <f>'Rashodi-2021'!U330</f>
        <v>5300000</v>
      </c>
      <c r="W294" s="845">
        <v>5300000</v>
      </c>
      <c r="X294" s="652">
        <v>5300000</v>
      </c>
    </row>
    <row r="295" spans="2:24" s="1139" customFormat="1" ht="12.75">
      <c r="B295" s="1286"/>
      <c r="C295" s="1245"/>
      <c r="D295" s="1246">
        <v>620</v>
      </c>
      <c r="E295" s="1247"/>
      <c r="F295" s="1248"/>
      <c r="G295" s="1249"/>
      <c r="H295" s="1694" t="s">
        <v>116</v>
      </c>
      <c r="I295" s="1695"/>
      <c r="J295" s="1696"/>
      <c r="K295" s="1250">
        <f>K296</f>
        <v>2000000</v>
      </c>
      <c r="L295" s="1221">
        <f>L296</f>
        <v>0</v>
      </c>
      <c r="M295" s="1130">
        <f>'Rashodi-2021'!M331</f>
        <v>5300000</v>
      </c>
      <c r="N295" s="1130" t="e">
        <f>'Rashodi-2021'!#REF!</f>
        <v>#REF!</v>
      </c>
      <c r="O295" s="1216">
        <f>'Rashodi-2021'!N331</f>
        <v>0</v>
      </c>
      <c r="P295" s="1202">
        <f>'Rashodi-2021'!O331</f>
        <v>0</v>
      </c>
      <c r="Q295" s="1202">
        <f>'Rashodi-2021'!P331</f>
        <v>0</v>
      </c>
      <c r="R295" s="1202">
        <f>'Rashodi-2021'!Q331</f>
        <v>0</v>
      </c>
      <c r="S295" s="1202">
        <f>'Rashodi-2021'!R331</f>
        <v>0</v>
      </c>
      <c r="T295" s="1202">
        <f>'Rashodi-2021'!S331</f>
        <v>0</v>
      </c>
      <c r="U295" s="1221">
        <f t="shared" si="10"/>
        <v>0</v>
      </c>
      <c r="V295" s="1203">
        <f>'Rashodi-2021'!U331</f>
        <v>5300000</v>
      </c>
      <c r="W295" s="1203">
        <v>5300000</v>
      </c>
      <c r="X295" s="1138">
        <v>5300000</v>
      </c>
    </row>
    <row r="296" spans="2:24" s="1139" customFormat="1" ht="12.75">
      <c r="B296" s="1131"/>
      <c r="C296" s="1132"/>
      <c r="D296" s="1133"/>
      <c r="E296" s="1132"/>
      <c r="F296" s="1351">
        <v>230</v>
      </c>
      <c r="G296" s="1283">
        <v>511</v>
      </c>
      <c r="H296" s="1697" t="s">
        <v>1444</v>
      </c>
      <c r="I296" s="1698"/>
      <c r="J296" s="1699"/>
      <c r="K296" s="1207">
        <v>2000000</v>
      </c>
      <c r="L296" s="1327">
        <v>0</v>
      </c>
      <c r="M296" s="1112">
        <f>'Rashodi-2021'!M332</f>
        <v>5300000</v>
      </c>
      <c r="N296" s="1112" t="e">
        <f>'Rashodi-2021'!#REF!</f>
        <v>#REF!</v>
      </c>
      <c r="O296" s="1215">
        <f>'Rashodi-2021'!N332</f>
        <v>0</v>
      </c>
      <c r="P296" s="1208">
        <f>'Rashodi-2021'!O332</f>
        <v>0</v>
      </c>
      <c r="Q296" s="1208">
        <f>'Rashodi-2021'!P332</f>
        <v>0</v>
      </c>
      <c r="R296" s="1208">
        <f>'Rashodi-2021'!Q332</f>
        <v>0</v>
      </c>
      <c r="S296" s="1208">
        <f>'Rashodi-2021'!R332</f>
        <v>0</v>
      </c>
      <c r="T296" s="1208">
        <f>'Rashodi-2021'!S332</f>
        <v>0</v>
      </c>
      <c r="U296" s="1229">
        <f t="shared" si="10"/>
        <v>0</v>
      </c>
      <c r="V296" s="1138">
        <f>'Rashodi-2021'!U332</f>
        <v>5300000</v>
      </c>
      <c r="W296" s="1261">
        <v>5300000</v>
      </c>
      <c r="X296" s="1138">
        <v>5300000</v>
      </c>
    </row>
    <row r="297" spans="2:24" s="356" customFormat="1" ht="13.5" customHeight="1">
      <c r="B297" s="747"/>
      <c r="C297" s="748"/>
      <c r="D297" s="600"/>
      <c r="E297" s="346" t="s">
        <v>840</v>
      </c>
      <c r="F297" s="600"/>
      <c r="G297" s="601"/>
      <c r="H297" s="1489" t="s">
        <v>1330</v>
      </c>
      <c r="I297" s="1490"/>
      <c r="J297" s="1491"/>
      <c r="K297" s="916">
        <f>K299</f>
        <v>1500000</v>
      </c>
      <c r="L297" s="1054">
        <f>L299</f>
        <v>1457350.07</v>
      </c>
      <c r="M297" s="1128">
        <f>'Rashodi-2021'!M333</f>
        <v>4000000</v>
      </c>
      <c r="N297" s="1128" t="e">
        <f>'Rashodi-2021'!#REF!</f>
        <v>#REF!</v>
      </c>
      <c r="O297" s="1214">
        <f>'Rashodi-2021'!N333</f>
        <v>0</v>
      </c>
      <c r="P297" s="1194">
        <f>'Rashodi-2021'!O333</f>
        <v>0</v>
      </c>
      <c r="Q297" s="1194">
        <f>'Rashodi-2021'!P333</f>
        <v>0</v>
      </c>
      <c r="R297" s="1194">
        <f>'Rashodi-2021'!Q333</f>
        <v>0</v>
      </c>
      <c r="S297" s="1194">
        <f>'Rashodi-2021'!R333</f>
        <v>0</v>
      </c>
      <c r="T297" s="1194">
        <f>'Rashodi-2021'!S333</f>
        <v>0</v>
      </c>
      <c r="U297" s="1195">
        <f t="shared" si="10"/>
        <v>0</v>
      </c>
      <c r="V297" s="1196">
        <f>'Rashodi-2021'!U333</f>
        <v>4000000</v>
      </c>
      <c r="W297" s="845">
        <v>4000000</v>
      </c>
      <c r="X297" s="652">
        <v>4000000</v>
      </c>
    </row>
    <row r="298" spans="2:24" s="1139" customFormat="1" ht="12.75">
      <c r="B298" s="1286"/>
      <c r="C298" s="1245"/>
      <c r="D298" s="1246">
        <v>490</v>
      </c>
      <c r="E298" s="1247"/>
      <c r="F298" s="1248"/>
      <c r="G298" s="1249"/>
      <c r="H298" s="1694" t="s">
        <v>168</v>
      </c>
      <c r="I298" s="1695"/>
      <c r="J298" s="1696"/>
      <c r="K298" s="1250">
        <f>K299</f>
        <v>1500000</v>
      </c>
      <c r="L298" s="1221">
        <f>L299</f>
        <v>1457350.07</v>
      </c>
      <c r="M298" s="1130">
        <f>'Rashodi-2021'!M334</f>
        <v>4000000</v>
      </c>
      <c r="N298" s="1130" t="e">
        <f>'Rashodi-2021'!#REF!</f>
        <v>#REF!</v>
      </c>
      <c r="O298" s="1216">
        <f>'Rashodi-2021'!N334</f>
        <v>0</v>
      </c>
      <c r="P298" s="1202">
        <f>'Rashodi-2021'!O334</f>
        <v>0</v>
      </c>
      <c r="Q298" s="1202">
        <f>'Rashodi-2021'!P334</f>
        <v>0</v>
      </c>
      <c r="R298" s="1202">
        <f>'Rashodi-2021'!Q334</f>
        <v>0</v>
      </c>
      <c r="S298" s="1202">
        <f>'Rashodi-2021'!R334</f>
        <v>0</v>
      </c>
      <c r="T298" s="1202">
        <f>'Rashodi-2021'!S334</f>
        <v>0</v>
      </c>
      <c r="U298" s="1221">
        <f t="shared" si="10"/>
        <v>0</v>
      </c>
      <c r="V298" s="1203">
        <f>'Rashodi-2021'!U334</f>
        <v>4000000</v>
      </c>
      <c r="W298" s="1203">
        <v>4000000</v>
      </c>
      <c r="X298" s="1138">
        <v>4000000</v>
      </c>
    </row>
    <row r="299" spans="2:24" s="1139" customFormat="1" ht="12.75">
      <c r="B299" s="1131"/>
      <c r="C299" s="1132"/>
      <c r="D299" s="1133"/>
      <c r="E299" s="1132"/>
      <c r="F299" s="1351">
        <v>231</v>
      </c>
      <c r="G299" s="1283">
        <v>481</v>
      </c>
      <c r="H299" s="1697" t="s">
        <v>167</v>
      </c>
      <c r="I299" s="1698"/>
      <c r="J299" s="1699"/>
      <c r="K299" s="1207">
        <v>1500000</v>
      </c>
      <c r="L299" s="1327">
        <v>1457350.07</v>
      </c>
      <c r="M299" s="1112">
        <f>'Rashodi-2021'!M336</f>
        <v>2000000</v>
      </c>
      <c r="N299" s="1112" t="e">
        <f>'Rashodi-2021'!#REF!</f>
        <v>#REF!</v>
      </c>
      <c r="O299" s="1215">
        <f>'Rashodi-2021'!N336</f>
        <v>0</v>
      </c>
      <c r="P299" s="1208">
        <f>'Rashodi-2021'!O336</f>
        <v>0</v>
      </c>
      <c r="Q299" s="1208">
        <f>'Rashodi-2021'!P336</f>
        <v>0</v>
      </c>
      <c r="R299" s="1208">
        <f>'Rashodi-2021'!Q336</f>
        <v>0</v>
      </c>
      <c r="S299" s="1208">
        <f>'Rashodi-2021'!R336</f>
        <v>0</v>
      </c>
      <c r="T299" s="1208">
        <f>'Rashodi-2021'!S336</f>
        <v>0</v>
      </c>
      <c r="U299" s="1229">
        <f t="shared" si="10"/>
        <v>0</v>
      </c>
      <c r="V299" s="1138">
        <f>'Rashodi-2021'!U336</f>
        <v>2000000</v>
      </c>
      <c r="W299" s="1261">
        <v>2000000</v>
      </c>
      <c r="X299" s="1138">
        <v>2000000</v>
      </c>
    </row>
    <row r="300" spans="2:24" ht="13.5" customHeight="1">
      <c r="B300" s="284"/>
      <c r="C300" s="285"/>
      <c r="D300" s="428"/>
      <c r="E300" s="346" t="s">
        <v>838</v>
      </c>
      <c r="F300" s="428"/>
      <c r="G300" s="429"/>
      <c r="H300" s="1489" t="s">
        <v>1249</v>
      </c>
      <c r="I300" s="1490"/>
      <c r="J300" s="1491"/>
      <c r="K300" s="916">
        <f>K301</f>
        <v>1500000</v>
      </c>
      <c r="L300" s="1054">
        <f>L301</f>
        <v>1500000</v>
      </c>
      <c r="M300" s="1128">
        <f>'Rashodi-2021'!M337</f>
        <v>1500000</v>
      </c>
      <c r="N300" s="1128" t="e">
        <f>'Rashodi-2021'!#REF!</f>
        <v>#REF!</v>
      </c>
      <c r="O300" s="1214">
        <f>'Rashodi-2021'!N337</f>
        <v>0</v>
      </c>
      <c r="P300" s="1194">
        <f>'Rashodi-2021'!O337</f>
        <v>0</v>
      </c>
      <c r="Q300" s="1194">
        <f>'Rashodi-2021'!P337</f>
        <v>0</v>
      </c>
      <c r="R300" s="1194">
        <f>'Rashodi-2021'!Q337</f>
        <v>0</v>
      </c>
      <c r="S300" s="1194">
        <f>'Rashodi-2021'!R337</f>
        <v>0</v>
      </c>
      <c r="T300" s="1194">
        <f>'Rashodi-2021'!S337</f>
        <v>0</v>
      </c>
      <c r="U300" s="1195">
        <f t="shared" si="10"/>
        <v>0</v>
      </c>
      <c r="V300" s="1196">
        <f>'Rashodi-2021'!U337</f>
        <v>1500000</v>
      </c>
      <c r="W300" s="652">
        <v>1500000</v>
      </c>
      <c r="X300" s="652">
        <v>1500000</v>
      </c>
    </row>
    <row r="301" spans="2:24" s="1139" customFormat="1" ht="12.75">
      <c r="B301" s="1286"/>
      <c r="C301" s="1245"/>
      <c r="D301" s="1246">
        <v>412</v>
      </c>
      <c r="E301" s="1247"/>
      <c r="F301" s="1248"/>
      <c r="G301" s="1249"/>
      <c r="H301" s="1694" t="s">
        <v>370</v>
      </c>
      <c r="I301" s="1695"/>
      <c r="J301" s="1696"/>
      <c r="K301" s="1277">
        <f>K302</f>
        <v>1500000</v>
      </c>
      <c r="L301" s="1278">
        <f>L302</f>
        <v>1500000</v>
      </c>
      <c r="M301" s="1130">
        <f>'Rashodi-2021'!M338</f>
        <v>1500000</v>
      </c>
      <c r="N301" s="1130" t="e">
        <f>'Rashodi-2021'!#REF!</f>
        <v>#REF!</v>
      </c>
      <c r="O301" s="1216">
        <f>'Rashodi-2021'!N338</f>
        <v>0</v>
      </c>
      <c r="P301" s="1202">
        <f>'Rashodi-2021'!O338</f>
        <v>0</v>
      </c>
      <c r="Q301" s="1202">
        <f>'Rashodi-2021'!P338</f>
        <v>0</v>
      </c>
      <c r="R301" s="1202">
        <f>'Rashodi-2021'!Q338</f>
        <v>0</v>
      </c>
      <c r="S301" s="1202">
        <f>'Rashodi-2021'!R338</f>
        <v>0</v>
      </c>
      <c r="T301" s="1202">
        <f>'Rashodi-2021'!S338</f>
        <v>0</v>
      </c>
      <c r="U301" s="1221">
        <f t="shared" si="10"/>
        <v>0</v>
      </c>
      <c r="V301" s="1203">
        <f>'Rashodi-2021'!U338</f>
        <v>1500000</v>
      </c>
      <c r="W301" s="1203">
        <v>1500000</v>
      </c>
      <c r="X301" s="1138">
        <v>1500000</v>
      </c>
    </row>
    <row r="302" spans="2:24" s="1360" customFormat="1" ht="24.75" customHeight="1">
      <c r="B302" s="1354"/>
      <c r="C302" s="1357"/>
      <c r="D302" s="1356"/>
      <c r="E302" s="1357"/>
      <c r="F302" s="1380">
        <v>232</v>
      </c>
      <c r="G302" s="1381">
        <v>464</v>
      </c>
      <c r="H302" s="1711" t="s">
        <v>1437</v>
      </c>
      <c r="I302" s="1712"/>
      <c r="J302" s="1712"/>
      <c r="K302" s="1382">
        <v>1500000</v>
      </c>
      <c r="L302" s="1383">
        <v>1500000</v>
      </c>
      <c r="M302" s="1112">
        <f>'Rashodi-2021'!M339</f>
        <v>1500000</v>
      </c>
      <c r="N302" s="1112" t="e">
        <f>'Rashodi-2021'!#REF!</f>
        <v>#REF!</v>
      </c>
      <c r="O302" s="1215">
        <f>'Rashodi-2021'!N339</f>
        <v>0</v>
      </c>
      <c r="P302" s="1208">
        <f>'Rashodi-2021'!O339</f>
        <v>0</v>
      </c>
      <c r="Q302" s="1208">
        <f>'Rashodi-2021'!P339</f>
        <v>0</v>
      </c>
      <c r="R302" s="1208">
        <f>'Rashodi-2021'!Q339</f>
        <v>0</v>
      </c>
      <c r="S302" s="1208">
        <f>'Rashodi-2021'!R339</f>
        <v>0</v>
      </c>
      <c r="T302" s="1208">
        <f>'Rashodi-2021'!S339</f>
        <v>0</v>
      </c>
      <c r="U302" s="1361">
        <f t="shared" si="10"/>
        <v>0</v>
      </c>
      <c r="V302" s="1138">
        <f>'Rashodi-2021'!U339</f>
        <v>1500000</v>
      </c>
      <c r="W302" s="1138">
        <v>1500000</v>
      </c>
      <c r="X302" s="1138">
        <v>1500000</v>
      </c>
    </row>
    <row r="303" spans="2:24" ht="14.25" customHeight="1">
      <c r="B303" s="284"/>
      <c r="C303" s="285"/>
      <c r="D303" s="428"/>
      <c r="E303" s="610" t="s">
        <v>317</v>
      </c>
      <c r="F303" s="428"/>
      <c r="G303" s="429"/>
      <c r="H303" s="1573" t="s">
        <v>1359</v>
      </c>
      <c r="I303" s="1574"/>
      <c r="J303" s="1574"/>
      <c r="K303" s="1072">
        <f>K304</f>
        <v>44190000</v>
      </c>
      <c r="L303" s="1122">
        <f>L304</f>
        <v>38247347.309999995</v>
      </c>
      <c r="M303" s="957">
        <f>'Rashodi-2021'!M340</f>
        <v>18440000</v>
      </c>
      <c r="N303" s="957" t="e">
        <f>'Rashodi-2021'!#REF!</f>
        <v>#REF!</v>
      </c>
      <c r="O303" s="1213">
        <f>'Rashodi-2021'!N340</f>
        <v>0</v>
      </c>
      <c r="P303" s="1189">
        <f>'Rashodi-2021'!O340</f>
        <v>0</v>
      </c>
      <c r="Q303" s="1189">
        <f>'Rashodi-2021'!P340</f>
        <v>28286871.21</v>
      </c>
      <c r="R303" s="1189">
        <f>'Rashodi-2021'!Q340</f>
        <v>5500000</v>
      </c>
      <c r="S303" s="1189">
        <f>'Rashodi-2021'!R340</f>
        <v>0</v>
      </c>
      <c r="T303" s="1189">
        <f>'Rashodi-2021'!S340</f>
        <v>0</v>
      </c>
      <c r="U303" s="1190">
        <f t="shared" si="10"/>
        <v>33786871.21</v>
      </c>
      <c r="V303" s="1107">
        <f>'Rashodi-2021'!U340</f>
        <v>52226871.21</v>
      </c>
      <c r="W303" s="848">
        <v>52226871.21</v>
      </c>
      <c r="X303" s="848">
        <v>52226871.21</v>
      </c>
    </row>
    <row r="304" spans="2:24" ht="14.25" customHeight="1">
      <c r="B304" s="284"/>
      <c r="C304" s="285"/>
      <c r="D304" s="428"/>
      <c r="E304" s="346" t="s">
        <v>318</v>
      </c>
      <c r="F304" s="428"/>
      <c r="G304" s="429"/>
      <c r="H304" s="1593" t="s">
        <v>1332</v>
      </c>
      <c r="I304" s="1594"/>
      <c r="J304" s="1594"/>
      <c r="K304" s="1062">
        <f>K305</f>
        <v>44190000</v>
      </c>
      <c r="L304" s="1114">
        <f>L305</f>
        <v>38247347.309999995</v>
      </c>
      <c r="M304" s="1128">
        <f>'Rashodi-2021'!M341</f>
        <v>15690000</v>
      </c>
      <c r="N304" s="1128" t="e">
        <f>'Rashodi-2021'!#REF!</f>
        <v>#REF!</v>
      </c>
      <c r="O304" s="1214">
        <f>'Rashodi-2021'!N341</f>
        <v>0</v>
      </c>
      <c r="P304" s="1194">
        <f>'Rashodi-2021'!O341</f>
        <v>0</v>
      </c>
      <c r="Q304" s="1194">
        <f>'Rashodi-2021'!P341</f>
        <v>28286871.21</v>
      </c>
      <c r="R304" s="1194">
        <f>'Rashodi-2021'!Q341</f>
        <v>0</v>
      </c>
      <c r="S304" s="1194">
        <f>'Rashodi-2021'!R341</f>
        <v>0</v>
      </c>
      <c r="T304" s="1194">
        <f>'Rashodi-2021'!S341</f>
        <v>0</v>
      </c>
      <c r="U304" s="1195">
        <f t="shared" si="10"/>
        <v>28286871.21</v>
      </c>
      <c r="V304" s="1196">
        <f>'Rashodi-2021'!U341</f>
        <v>43976871.21</v>
      </c>
      <c r="W304" s="652">
        <v>43976871.21</v>
      </c>
      <c r="X304" s="652">
        <v>43976871.21</v>
      </c>
    </row>
    <row r="305" spans="2:24" s="1276" customFormat="1" ht="12.75">
      <c r="B305" s="1287"/>
      <c r="C305" s="1342"/>
      <c r="D305" s="1246">
        <v>451</v>
      </c>
      <c r="E305" s="1247"/>
      <c r="F305" s="1272"/>
      <c r="G305" s="1288"/>
      <c r="H305" s="1713" t="s">
        <v>383</v>
      </c>
      <c r="I305" s="1714"/>
      <c r="J305" s="1715"/>
      <c r="K305" s="1323">
        <f>SUM(K306:K315)</f>
        <v>44190000</v>
      </c>
      <c r="L305" s="1323">
        <f>SUM(L306:L315)</f>
        <v>38247347.309999995</v>
      </c>
      <c r="M305" s="1130">
        <f>'Rashodi-2021'!M342</f>
        <v>15690000</v>
      </c>
      <c r="N305" s="1130" t="e">
        <f>'Rashodi-2021'!#REF!</f>
        <v>#REF!</v>
      </c>
      <c r="O305" s="1216">
        <f>'Rashodi-2021'!N342</f>
        <v>0</v>
      </c>
      <c r="P305" s="1202">
        <f>'Rashodi-2021'!O342</f>
        <v>0</v>
      </c>
      <c r="Q305" s="1202">
        <f>'Rashodi-2021'!P342</f>
        <v>28286871.21</v>
      </c>
      <c r="R305" s="1202">
        <f>'Rashodi-2021'!Q342</f>
        <v>0</v>
      </c>
      <c r="S305" s="1202">
        <f>'Rashodi-2021'!R342</f>
        <v>0</v>
      </c>
      <c r="T305" s="1202">
        <f>'Rashodi-2021'!S342</f>
        <v>0</v>
      </c>
      <c r="U305" s="1204">
        <f t="shared" si="10"/>
        <v>28286871.21</v>
      </c>
      <c r="V305" s="1203">
        <f>'Rashodi-2021'!U342</f>
        <v>43976871.21</v>
      </c>
      <c r="W305" s="1203">
        <v>43976871.21</v>
      </c>
      <c r="X305" s="1203">
        <v>43976871.21</v>
      </c>
    </row>
    <row r="306" spans="2:24" s="1139" customFormat="1" ht="12.75">
      <c r="B306" s="1286"/>
      <c r="C306" s="1341"/>
      <c r="D306" s="1289"/>
      <c r="E306" s="1134"/>
      <c r="F306" s="1248">
        <v>233</v>
      </c>
      <c r="G306" s="1249">
        <v>424</v>
      </c>
      <c r="H306" s="1691" t="s">
        <v>1309</v>
      </c>
      <c r="I306" s="1692"/>
      <c r="J306" s="1693"/>
      <c r="K306" s="1384">
        <v>1200000</v>
      </c>
      <c r="L306" s="1385">
        <v>724332.31</v>
      </c>
      <c r="M306" s="1112">
        <f>'Rashodi-2021'!M343</f>
        <v>1200000</v>
      </c>
      <c r="N306" s="1112" t="e">
        <f>'Rashodi-2021'!#REF!</f>
        <v>#REF!</v>
      </c>
      <c r="O306" s="1215">
        <f>'Rashodi-2021'!N343</f>
        <v>0</v>
      </c>
      <c r="P306" s="1208">
        <f>'Rashodi-2021'!O343</f>
        <v>0</v>
      </c>
      <c r="Q306" s="1208">
        <f>'Rashodi-2021'!P343</f>
        <v>0</v>
      </c>
      <c r="R306" s="1208">
        <f>'Rashodi-2021'!Q343</f>
        <v>0</v>
      </c>
      <c r="S306" s="1208">
        <f>'Rashodi-2021'!R343</f>
        <v>0</v>
      </c>
      <c r="T306" s="1208">
        <f>'Rashodi-2021'!S343</f>
        <v>0</v>
      </c>
      <c r="U306" s="1209">
        <f t="shared" si="10"/>
        <v>0</v>
      </c>
      <c r="V306" s="1138">
        <f>'Rashodi-2021'!U343</f>
        <v>1200000</v>
      </c>
      <c r="W306" s="1138">
        <v>1200000</v>
      </c>
      <c r="X306" s="1138">
        <v>1200000</v>
      </c>
    </row>
    <row r="307" spans="2:24" s="1139" customFormat="1" ht="12.75">
      <c r="B307" s="1286"/>
      <c r="C307" s="1341"/>
      <c r="D307" s="1289"/>
      <c r="E307" s="1134"/>
      <c r="F307" s="1254">
        <v>234</v>
      </c>
      <c r="G307" s="1249">
        <v>424</v>
      </c>
      <c r="H307" s="1691" t="s">
        <v>1342</v>
      </c>
      <c r="I307" s="1692"/>
      <c r="J307" s="1693"/>
      <c r="K307" s="1384">
        <v>240000</v>
      </c>
      <c r="L307" s="1385">
        <v>0</v>
      </c>
      <c r="M307" s="1112">
        <f>'Rashodi-2021'!M344</f>
        <v>240000</v>
      </c>
      <c r="N307" s="1112" t="e">
        <f>'Rashodi-2021'!#REF!</f>
        <v>#REF!</v>
      </c>
      <c r="O307" s="1215">
        <f>'Rashodi-2021'!N344</f>
        <v>0</v>
      </c>
      <c r="P307" s="1208">
        <f>'Rashodi-2021'!O344</f>
        <v>0</v>
      </c>
      <c r="Q307" s="1208">
        <f>'Rashodi-2021'!P344</f>
        <v>0</v>
      </c>
      <c r="R307" s="1208">
        <f>'Rashodi-2021'!Q344</f>
        <v>0</v>
      </c>
      <c r="S307" s="1208">
        <f>'Rashodi-2021'!R344</f>
        <v>0</v>
      </c>
      <c r="T307" s="1208">
        <f>'Rashodi-2021'!S344</f>
        <v>0</v>
      </c>
      <c r="U307" s="1209">
        <f t="shared" si="10"/>
        <v>0</v>
      </c>
      <c r="V307" s="1138">
        <f>'Rashodi-2021'!U344</f>
        <v>240000</v>
      </c>
      <c r="W307" s="1138">
        <v>240000</v>
      </c>
      <c r="X307" s="1138">
        <v>240000</v>
      </c>
    </row>
    <row r="308" spans="2:24" s="1139" customFormat="1" ht="12.75">
      <c r="B308" s="1286"/>
      <c r="C308" s="1341"/>
      <c r="D308" s="1289"/>
      <c r="E308" s="1134"/>
      <c r="F308" s="1254">
        <v>235</v>
      </c>
      <c r="G308" s="1249">
        <v>424</v>
      </c>
      <c r="H308" s="1691" t="s">
        <v>1368</v>
      </c>
      <c r="I308" s="1692"/>
      <c r="J308" s="1693"/>
      <c r="K308" s="1384">
        <v>500000</v>
      </c>
      <c r="L308" s="1385">
        <v>131916</v>
      </c>
      <c r="M308" s="1112">
        <f>'Rashodi-2021'!M345</f>
        <v>500000</v>
      </c>
      <c r="N308" s="1112" t="e">
        <f>'Rashodi-2021'!#REF!</f>
        <v>#REF!</v>
      </c>
      <c r="O308" s="1215">
        <f>'Rashodi-2021'!N345</f>
        <v>0</v>
      </c>
      <c r="P308" s="1208">
        <f>'Rashodi-2021'!O345</f>
        <v>0</v>
      </c>
      <c r="Q308" s="1208">
        <f>'Rashodi-2021'!P345</f>
        <v>0</v>
      </c>
      <c r="R308" s="1208">
        <f>'Rashodi-2021'!Q345</f>
        <v>0</v>
      </c>
      <c r="S308" s="1208">
        <f>'Rashodi-2021'!R345</f>
        <v>0</v>
      </c>
      <c r="T308" s="1208">
        <f>'Rashodi-2021'!S345</f>
        <v>0</v>
      </c>
      <c r="U308" s="1209">
        <f t="shared" si="10"/>
        <v>0</v>
      </c>
      <c r="V308" s="1138">
        <f>'Rashodi-2021'!U345</f>
        <v>500000</v>
      </c>
      <c r="W308" s="1138">
        <v>500000</v>
      </c>
      <c r="X308" s="1138">
        <v>500000</v>
      </c>
    </row>
    <row r="309" spans="2:24" s="1139" customFormat="1" ht="12.75">
      <c r="B309" s="1286"/>
      <c r="C309" s="1341"/>
      <c r="D309" s="1289"/>
      <c r="E309" s="1134"/>
      <c r="F309" s="1254">
        <v>236</v>
      </c>
      <c r="G309" s="1249">
        <v>424</v>
      </c>
      <c r="H309" s="1691" t="s">
        <v>1343</v>
      </c>
      <c r="I309" s="1692"/>
      <c r="J309" s="1693"/>
      <c r="K309" s="1384">
        <v>150000</v>
      </c>
      <c r="L309" s="1385">
        <v>4308</v>
      </c>
      <c r="M309" s="1112">
        <f>'Rashodi-2021'!M346</f>
        <v>150000</v>
      </c>
      <c r="N309" s="1112" t="e">
        <f>'Rashodi-2021'!#REF!</f>
        <v>#REF!</v>
      </c>
      <c r="O309" s="1215">
        <f>'Rashodi-2021'!N346</f>
        <v>0</v>
      </c>
      <c r="P309" s="1208">
        <f>'Rashodi-2021'!O346</f>
        <v>0</v>
      </c>
      <c r="Q309" s="1208">
        <f>'Rashodi-2021'!P346</f>
        <v>0</v>
      </c>
      <c r="R309" s="1208">
        <f>'Rashodi-2021'!Q346</f>
        <v>0</v>
      </c>
      <c r="S309" s="1208">
        <f>'Rashodi-2021'!R346</f>
        <v>0</v>
      </c>
      <c r="T309" s="1208">
        <f>'Rashodi-2021'!S346</f>
        <v>0</v>
      </c>
      <c r="U309" s="1209">
        <f t="shared" si="10"/>
        <v>0</v>
      </c>
      <c r="V309" s="1138">
        <f>'Rashodi-2021'!U346</f>
        <v>150000</v>
      </c>
      <c r="W309" s="1138">
        <v>150000</v>
      </c>
      <c r="X309" s="1138">
        <v>150000</v>
      </c>
    </row>
    <row r="310" spans="2:24" s="1139" customFormat="1" ht="12.75">
      <c r="B310" s="1286"/>
      <c r="C310" s="1341"/>
      <c r="D310" s="1289"/>
      <c r="E310" s="1134"/>
      <c r="F310" s="1254">
        <v>237</v>
      </c>
      <c r="G310" s="1249">
        <v>424</v>
      </c>
      <c r="H310" s="1691" t="s">
        <v>1499</v>
      </c>
      <c r="I310" s="1692"/>
      <c r="J310" s="1693"/>
      <c r="K310" s="1384">
        <v>600000</v>
      </c>
      <c r="L310" s="1385">
        <v>399570</v>
      </c>
      <c r="M310" s="1112">
        <f>'Rashodi-2021'!M347</f>
        <v>600000</v>
      </c>
      <c r="N310" s="1112" t="e">
        <f>'Rashodi-2021'!#REF!</f>
        <v>#REF!</v>
      </c>
      <c r="O310" s="1215">
        <f>'Rashodi-2021'!N347</f>
        <v>0</v>
      </c>
      <c r="P310" s="1208">
        <f>'Rashodi-2021'!O347</f>
        <v>0</v>
      </c>
      <c r="Q310" s="1208">
        <f>'Rashodi-2021'!P347</f>
        <v>0</v>
      </c>
      <c r="R310" s="1208">
        <f>'Rashodi-2021'!Q347</f>
        <v>0</v>
      </c>
      <c r="S310" s="1208">
        <f>'Rashodi-2021'!R347</f>
        <v>0</v>
      </c>
      <c r="T310" s="1208">
        <f>'Rashodi-2021'!S347</f>
        <v>0</v>
      </c>
      <c r="U310" s="1209">
        <f t="shared" si="10"/>
        <v>0</v>
      </c>
      <c r="V310" s="1138">
        <f>'Rashodi-2021'!U347</f>
        <v>600000</v>
      </c>
      <c r="W310" s="1138">
        <v>600000</v>
      </c>
      <c r="X310" s="1138">
        <v>600000</v>
      </c>
    </row>
    <row r="311" spans="2:24" s="1139" customFormat="1" ht="12.75">
      <c r="B311" s="1286"/>
      <c r="C311" s="1341"/>
      <c r="D311" s="1289"/>
      <c r="E311" s="1134"/>
      <c r="F311" s="1254">
        <v>238</v>
      </c>
      <c r="G311" s="1249">
        <v>424</v>
      </c>
      <c r="H311" s="1691" t="s">
        <v>1310</v>
      </c>
      <c r="I311" s="1692"/>
      <c r="J311" s="1693"/>
      <c r="K311" s="1384">
        <v>3000000</v>
      </c>
      <c r="L311" s="1385">
        <v>139293</v>
      </c>
      <c r="M311" s="1112">
        <f>'Rashodi-2021'!M348</f>
        <v>1000000</v>
      </c>
      <c r="N311" s="1112" t="e">
        <f>'Rashodi-2021'!#REF!</f>
        <v>#REF!</v>
      </c>
      <c r="O311" s="1215">
        <f>'Rashodi-2021'!N348</f>
        <v>0</v>
      </c>
      <c r="P311" s="1208">
        <f>'Rashodi-2021'!O348</f>
        <v>0</v>
      </c>
      <c r="Q311" s="1208">
        <f>'Rashodi-2021'!P348</f>
        <v>0</v>
      </c>
      <c r="R311" s="1208">
        <f>'Rashodi-2021'!Q348</f>
        <v>0</v>
      </c>
      <c r="S311" s="1208">
        <f>'Rashodi-2021'!R348</f>
        <v>0</v>
      </c>
      <c r="T311" s="1208">
        <f>'Rashodi-2021'!S348</f>
        <v>0</v>
      </c>
      <c r="U311" s="1209">
        <f t="shared" si="10"/>
        <v>0</v>
      </c>
      <c r="V311" s="1138">
        <f>'Rashodi-2021'!U348</f>
        <v>1000000</v>
      </c>
      <c r="W311" s="1138">
        <v>1000000</v>
      </c>
      <c r="X311" s="1138">
        <v>1000000</v>
      </c>
    </row>
    <row r="312" spans="2:24" s="1139" customFormat="1" ht="12.75">
      <c r="B312" s="1286"/>
      <c r="C312" s="1341"/>
      <c r="D312" s="1289"/>
      <c r="E312" s="1134"/>
      <c r="F312" s="1254">
        <v>239</v>
      </c>
      <c r="G312" s="1249">
        <v>425</v>
      </c>
      <c r="H312" s="1691" t="s">
        <v>1345</v>
      </c>
      <c r="I312" s="1692"/>
      <c r="J312" s="1693"/>
      <c r="K312" s="1384">
        <v>1000000</v>
      </c>
      <c r="L312" s="1385">
        <v>581892</v>
      </c>
      <c r="M312" s="1112">
        <f>'Rashodi-2021'!M349</f>
        <v>1000000</v>
      </c>
      <c r="N312" s="1112" t="e">
        <f>'Rashodi-2021'!#REF!</f>
        <v>#REF!</v>
      </c>
      <c r="O312" s="1215">
        <f>'Rashodi-2021'!N349</f>
        <v>0</v>
      </c>
      <c r="P312" s="1208">
        <f>'Rashodi-2021'!O349</f>
        <v>0</v>
      </c>
      <c r="Q312" s="1208">
        <f>'Rashodi-2021'!P349</f>
        <v>0</v>
      </c>
      <c r="R312" s="1208">
        <f>'Rashodi-2021'!Q349</f>
        <v>0</v>
      </c>
      <c r="S312" s="1208">
        <f>'Rashodi-2021'!R349</f>
        <v>0</v>
      </c>
      <c r="T312" s="1208">
        <f>'Rashodi-2021'!S349</f>
        <v>0</v>
      </c>
      <c r="U312" s="1209">
        <f t="shared" si="10"/>
        <v>0</v>
      </c>
      <c r="V312" s="1138">
        <f>'Rashodi-2021'!U349</f>
        <v>1000000</v>
      </c>
      <c r="W312" s="1138">
        <v>1000000</v>
      </c>
      <c r="X312" s="1138">
        <v>1000000</v>
      </c>
    </row>
    <row r="313" spans="2:24" s="1139" customFormat="1" ht="12.75">
      <c r="B313" s="1286"/>
      <c r="C313" s="1341"/>
      <c r="D313" s="1289"/>
      <c r="E313" s="1326"/>
      <c r="F313" s="1254">
        <v>240</v>
      </c>
      <c r="G313" s="1344">
        <v>425</v>
      </c>
      <c r="H313" s="1691" t="s">
        <v>1344</v>
      </c>
      <c r="I313" s="1692"/>
      <c r="J313" s="1693"/>
      <c r="K313" s="1378">
        <v>4000000</v>
      </c>
      <c r="L313" s="1379">
        <v>2766036</v>
      </c>
      <c r="M313" s="1112">
        <f>'Rashodi-2021'!M350</f>
        <v>3000000</v>
      </c>
      <c r="N313" s="1112" t="e">
        <f>'Rashodi-2021'!#REF!</f>
        <v>#REF!</v>
      </c>
      <c r="O313" s="1215">
        <f>'Rashodi-2021'!N350</f>
        <v>0</v>
      </c>
      <c r="P313" s="1208">
        <f>'Rashodi-2021'!O350</f>
        <v>0</v>
      </c>
      <c r="Q313" s="1208">
        <f>'Rashodi-2021'!P350</f>
        <v>0</v>
      </c>
      <c r="R313" s="1208">
        <f>'Rashodi-2021'!Q350</f>
        <v>0</v>
      </c>
      <c r="S313" s="1208">
        <f>'Rashodi-2021'!R350</f>
        <v>0</v>
      </c>
      <c r="T313" s="1208">
        <f>'Rashodi-2021'!S350</f>
        <v>0</v>
      </c>
      <c r="U313" s="1386">
        <f t="shared" si="10"/>
        <v>0</v>
      </c>
      <c r="V313" s="1138">
        <f>'Rashodi-2021'!U350</f>
        <v>3000000</v>
      </c>
      <c r="W313" s="1138">
        <v>3000000</v>
      </c>
      <c r="X313" s="1138">
        <v>3000000</v>
      </c>
    </row>
    <row r="314" spans="2:24" s="1139" customFormat="1" ht="12.75">
      <c r="B314" s="1286"/>
      <c r="C314" s="1341"/>
      <c r="D314" s="1289"/>
      <c r="E314" s="1326"/>
      <c r="F314" s="1254">
        <v>241</v>
      </c>
      <c r="G314" s="1344">
        <v>425</v>
      </c>
      <c r="H314" s="1691" t="s">
        <v>1539</v>
      </c>
      <c r="I314" s="1692"/>
      <c r="J314" s="1693"/>
      <c r="K314" s="1384">
        <v>3500000</v>
      </c>
      <c r="L314" s="1385">
        <v>3500000</v>
      </c>
      <c r="M314" s="1112">
        <f>'Rashodi-2021'!M351</f>
        <v>7000000</v>
      </c>
      <c r="N314" s="1112" t="e">
        <f>'Rashodi-2021'!#REF!</f>
        <v>#REF!</v>
      </c>
      <c r="O314" s="1215">
        <f>'Rashodi-2021'!N351</f>
        <v>0</v>
      </c>
      <c r="P314" s="1208">
        <f>'Rashodi-2021'!O351</f>
        <v>0</v>
      </c>
      <c r="Q314" s="1208">
        <f>'Rashodi-2021'!P351</f>
        <v>0</v>
      </c>
      <c r="R314" s="1208">
        <f>'Rashodi-2021'!Q351</f>
        <v>0</v>
      </c>
      <c r="S314" s="1208">
        <f>'Rashodi-2021'!R351</f>
        <v>0</v>
      </c>
      <c r="T314" s="1208">
        <f>'Rashodi-2021'!S351</f>
        <v>0</v>
      </c>
      <c r="U314" s="1328">
        <f t="shared" si="10"/>
        <v>0</v>
      </c>
      <c r="V314" s="1138">
        <f>'Rashodi-2021'!U351</f>
        <v>7000000</v>
      </c>
      <c r="W314" s="1138">
        <v>7000000</v>
      </c>
      <c r="X314" s="1138">
        <v>7000000</v>
      </c>
    </row>
    <row r="315" spans="2:24" s="1139" customFormat="1" ht="12.75">
      <c r="B315" s="1286"/>
      <c r="C315" s="1341"/>
      <c r="D315" s="1289"/>
      <c r="E315" s="1326"/>
      <c r="F315" s="1248">
        <v>242</v>
      </c>
      <c r="G315" s="1344">
        <v>511</v>
      </c>
      <c r="H315" s="1706" t="s">
        <v>1428</v>
      </c>
      <c r="I315" s="1707"/>
      <c r="J315" s="1708"/>
      <c r="K315" s="1378">
        <v>30000000</v>
      </c>
      <c r="L315" s="1379">
        <v>29999999.999999996</v>
      </c>
      <c r="M315" s="1112">
        <f>'Rashodi-2021'!M352</f>
        <v>1000000</v>
      </c>
      <c r="N315" s="1112" t="e">
        <f>'Rashodi-2021'!#REF!</f>
        <v>#REF!</v>
      </c>
      <c r="O315" s="1215">
        <f>'Rashodi-2021'!N352</f>
        <v>0</v>
      </c>
      <c r="P315" s="1208">
        <f>'Rashodi-2021'!O352</f>
        <v>0</v>
      </c>
      <c r="Q315" s="1208">
        <f>'Rashodi-2021'!P352</f>
        <v>28286871.21</v>
      </c>
      <c r="R315" s="1208">
        <f>'Rashodi-2021'!Q352</f>
        <v>0</v>
      </c>
      <c r="S315" s="1208">
        <f>'Rashodi-2021'!R352</f>
        <v>0</v>
      </c>
      <c r="T315" s="1208">
        <f>'Rashodi-2021'!S352</f>
        <v>0</v>
      </c>
      <c r="U315" s="1346">
        <f t="shared" si="10"/>
        <v>28286871.21</v>
      </c>
      <c r="V315" s="1138">
        <f>'Rashodi-2021'!U352</f>
        <v>29286871.21</v>
      </c>
      <c r="W315" s="1138">
        <v>29286871.21</v>
      </c>
      <c r="X315" s="1138">
        <v>29286871.21</v>
      </c>
    </row>
    <row r="316" spans="2:24" ht="12.75" customHeight="1">
      <c r="B316" s="284"/>
      <c r="C316" s="285"/>
      <c r="D316" s="428"/>
      <c r="E316" s="346" t="s">
        <v>1521</v>
      </c>
      <c r="F316" s="428"/>
      <c r="G316" s="429"/>
      <c r="H316" s="1489" t="s">
        <v>1522</v>
      </c>
      <c r="I316" s="1490"/>
      <c r="J316" s="1491"/>
      <c r="K316" s="929">
        <f>K317</f>
        <v>4650000</v>
      </c>
      <c r="L316" s="938">
        <f>L317</f>
        <v>0</v>
      </c>
      <c r="M316" s="1128">
        <f>'Rashodi-2021'!M353</f>
        <v>2750000</v>
      </c>
      <c r="N316" s="1128" t="e">
        <f>'Rashodi-2021'!#REF!</f>
        <v>#REF!</v>
      </c>
      <c r="O316" s="1214">
        <f>'Rashodi-2021'!N353</f>
        <v>0</v>
      </c>
      <c r="P316" s="1194">
        <f>'Rashodi-2021'!O353</f>
        <v>0</v>
      </c>
      <c r="Q316" s="1194">
        <f>'Rashodi-2021'!P353</f>
        <v>0</v>
      </c>
      <c r="R316" s="1194">
        <f>'Rashodi-2021'!Q353</f>
        <v>5500000</v>
      </c>
      <c r="S316" s="1194">
        <f>'Rashodi-2021'!R353</f>
        <v>0</v>
      </c>
      <c r="T316" s="1194">
        <f>'Rashodi-2021'!S353</f>
        <v>0</v>
      </c>
      <c r="U316" s="1197">
        <f t="shared" si="10"/>
        <v>5500000</v>
      </c>
      <c r="V316" s="1196">
        <f>'Rashodi-2021'!U353</f>
        <v>8250000</v>
      </c>
      <c r="W316" s="652">
        <v>8250000</v>
      </c>
      <c r="X316" s="652">
        <v>8250000</v>
      </c>
    </row>
    <row r="317" spans="2:24" s="1276" customFormat="1" ht="12.75">
      <c r="B317" s="1347"/>
      <c r="C317" s="1281"/>
      <c r="D317" s="1282">
        <v>451</v>
      </c>
      <c r="E317" s="1281"/>
      <c r="F317" s="1282"/>
      <c r="G317" s="1345"/>
      <c r="H317" s="1709" t="s">
        <v>383</v>
      </c>
      <c r="I317" s="1710"/>
      <c r="J317" s="1710"/>
      <c r="K317" s="1387">
        <f>SUM(K318:K320)</f>
        <v>4650000</v>
      </c>
      <c r="L317" s="1388">
        <f>SUM(L318:L320)</f>
        <v>0</v>
      </c>
      <c r="M317" s="1130">
        <f>'Rashodi-2021'!M354</f>
        <v>2750000</v>
      </c>
      <c r="N317" s="1130" t="e">
        <f>'Rashodi-2021'!#REF!</f>
        <v>#REF!</v>
      </c>
      <c r="O317" s="1216">
        <f>'Rashodi-2021'!N354</f>
        <v>0</v>
      </c>
      <c r="P317" s="1202">
        <f>'Rashodi-2021'!O354</f>
        <v>0</v>
      </c>
      <c r="Q317" s="1202">
        <f>'Rashodi-2021'!P354</f>
        <v>0</v>
      </c>
      <c r="R317" s="1202">
        <f>'Rashodi-2021'!Q354</f>
        <v>5500000</v>
      </c>
      <c r="S317" s="1202">
        <f>'Rashodi-2021'!R354</f>
        <v>0</v>
      </c>
      <c r="T317" s="1202">
        <f>'Rashodi-2021'!S354</f>
        <v>0</v>
      </c>
      <c r="U317" s="1389">
        <f t="shared" si="10"/>
        <v>5500000</v>
      </c>
      <c r="V317" s="1203">
        <f>'Rashodi-2021'!U354</f>
        <v>8250000</v>
      </c>
      <c r="W317" s="1203">
        <v>8250000</v>
      </c>
      <c r="X317" s="1138">
        <v>8250000</v>
      </c>
    </row>
    <row r="318" spans="2:24" s="1139" customFormat="1" ht="12.75" customHeight="1">
      <c r="B318" s="1390"/>
      <c r="C318" s="1132"/>
      <c r="D318" s="1133"/>
      <c r="E318" s="1331"/>
      <c r="F318" s="1134" t="s">
        <v>1550</v>
      </c>
      <c r="G318" s="1391">
        <v>463</v>
      </c>
      <c r="H318" s="1700" t="s">
        <v>1382</v>
      </c>
      <c r="I318" s="1701"/>
      <c r="J318" s="1701"/>
      <c r="K318" s="1392">
        <v>150000</v>
      </c>
      <c r="L318" s="1393">
        <v>0</v>
      </c>
      <c r="M318" s="1112">
        <f>'Rashodi-2021'!M355</f>
        <v>150000</v>
      </c>
      <c r="N318" s="1112" t="e">
        <f>'Rashodi-2021'!#REF!</f>
        <v>#REF!</v>
      </c>
      <c r="O318" s="1215">
        <f>'Rashodi-2021'!N355</f>
        <v>0</v>
      </c>
      <c r="P318" s="1208">
        <f>'Rashodi-2021'!O355</f>
        <v>0</v>
      </c>
      <c r="Q318" s="1208">
        <f>'Rashodi-2021'!P355</f>
        <v>0</v>
      </c>
      <c r="R318" s="1208">
        <f>'Rashodi-2021'!Q355</f>
        <v>250000</v>
      </c>
      <c r="S318" s="1208">
        <f>'Rashodi-2021'!R355</f>
        <v>0</v>
      </c>
      <c r="T318" s="1208">
        <f>'Rashodi-2021'!S355</f>
        <v>0</v>
      </c>
      <c r="U318" s="1394">
        <f t="shared" si="10"/>
        <v>250000</v>
      </c>
      <c r="V318" s="1138">
        <f>'Rashodi-2021'!U355</f>
        <v>400000</v>
      </c>
      <c r="W318" s="1138">
        <v>400000</v>
      </c>
      <c r="X318" s="1138">
        <v>400000</v>
      </c>
    </row>
    <row r="319" spans="2:24" s="1139" customFormat="1" ht="12.75" customHeight="1">
      <c r="B319" s="1390"/>
      <c r="C319" s="1132"/>
      <c r="D319" s="1133"/>
      <c r="E319" s="1245"/>
      <c r="F319" s="1395" t="s">
        <v>1551</v>
      </c>
      <c r="G319" s="1248">
        <v>511</v>
      </c>
      <c r="H319" s="1702" t="s">
        <v>1421</v>
      </c>
      <c r="I319" s="1702"/>
      <c r="J319" s="1703"/>
      <c r="K319" s="1392">
        <v>2250000</v>
      </c>
      <c r="L319" s="1393">
        <v>0</v>
      </c>
      <c r="M319" s="1112">
        <f>'Rashodi-2021'!M356</f>
        <v>1300000</v>
      </c>
      <c r="N319" s="1112" t="e">
        <f>'Rashodi-2021'!#REF!</f>
        <v>#REF!</v>
      </c>
      <c r="O319" s="1215">
        <f>'Rashodi-2021'!N356</f>
        <v>0</v>
      </c>
      <c r="P319" s="1208">
        <f>'Rashodi-2021'!O356</f>
        <v>0</v>
      </c>
      <c r="Q319" s="1208">
        <f>'Rashodi-2021'!P356</f>
        <v>0</v>
      </c>
      <c r="R319" s="1208">
        <f>'Rashodi-2021'!Q356</f>
        <v>2750000</v>
      </c>
      <c r="S319" s="1208">
        <f>'Rashodi-2021'!R356</f>
        <v>0</v>
      </c>
      <c r="T319" s="1208">
        <f>'Rashodi-2021'!S356</f>
        <v>0</v>
      </c>
      <c r="U319" s="1394">
        <f t="shared" si="10"/>
        <v>2750000</v>
      </c>
      <c r="V319" s="1138">
        <f>'Rashodi-2021'!U356</f>
        <v>4050000</v>
      </c>
      <c r="W319" s="1138">
        <v>4050000</v>
      </c>
      <c r="X319" s="1138">
        <v>4050000</v>
      </c>
    </row>
    <row r="320" spans="2:24" s="1139" customFormat="1" ht="12.75" customHeight="1">
      <c r="B320" s="1390"/>
      <c r="C320" s="1132"/>
      <c r="D320" s="1133"/>
      <c r="E320" s="1317"/>
      <c r="F320" s="1396" t="s">
        <v>1552</v>
      </c>
      <c r="G320" s="1397">
        <v>512</v>
      </c>
      <c r="H320" s="1704" t="s">
        <v>83</v>
      </c>
      <c r="I320" s="1705"/>
      <c r="J320" s="1705"/>
      <c r="K320" s="1392">
        <v>2250000</v>
      </c>
      <c r="L320" s="1393">
        <v>0</v>
      </c>
      <c r="M320" s="1112">
        <f>'Rashodi-2021'!M357</f>
        <v>1300000</v>
      </c>
      <c r="N320" s="1112" t="e">
        <f>'Rashodi-2021'!#REF!</f>
        <v>#REF!</v>
      </c>
      <c r="O320" s="1215">
        <f>'Rashodi-2021'!N357</f>
        <v>0</v>
      </c>
      <c r="P320" s="1208">
        <f>'Rashodi-2021'!O357</f>
        <v>0</v>
      </c>
      <c r="Q320" s="1208">
        <f>'Rashodi-2021'!P357</f>
        <v>0</v>
      </c>
      <c r="R320" s="1208">
        <f>'Rashodi-2021'!Q357</f>
        <v>2500000</v>
      </c>
      <c r="S320" s="1208">
        <f>'Rashodi-2021'!R357</f>
        <v>0</v>
      </c>
      <c r="T320" s="1208">
        <f>'Rashodi-2021'!S357</f>
        <v>0</v>
      </c>
      <c r="U320" s="1394">
        <f t="shared" si="10"/>
        <v>2500000</v>
      </c>
      <c r="V320" s="1138">
        <f>'Rashodi-2021'!U357</f>
        <v>3800000</v>
      </c>
      <c r="W320" s="1138">
        <v>3800000</v>
      </c>
      <c r="X320" s="1138">
        <v>3800000</v>
      </c>
    </row>
    <row r="321" spans="2:24" s="356" customFormat="1" ht="12.75" customHeight="1">
      <c r="B321" s="51"/>
      <c r="C321" s="52" t="s">
        <v>1298</v>
      </c>
      <c r="D321" s="53"/>
      <c r="E321" s="282"/>
      <c r="F321" s="53"/>
      <c r="G321" s="66"/>
      <c r="H321" s="1597" t="s">
        <v>95</v>
      </c>
      <c r="I321" s="1598"/>
      <c r="J321" s="1598"/>
      <c r="K321" s="949">
        <f>K324</f>
        <v>57491686</v>
      </c>
      <c r="L321" s="949">
        <f>L324</f>
        <v>33538922.439999994</v>
      </c>
      <c r="M321" s="1408">
        <f>'Rashodi-2021'!M358</f>
        <v>63094886</v>
      </c>
      <c r="N321" s="1408" t="e">
        <f>'Rashodi-2021'!#REF!</f>
        <v>#REF!</v>
      </c>
      <c r="O321" s="1409">
        <f>'Rashodi-2021'!N358</f>
        <v>0</v>
      </c>
      <c r="P321" s="1410">
        <f>'Rashodi-2021'!O358</f>
        <v>0</v>
      </c>
      <c r="Q321" s="1410">
        <f>'Rashodi-2021'!P358</f>
        <v>5154200</v>
      </c>
      <c r="R321" s="1410">
        <f>'Rashodi-2021'!Q358</f>
        <v>237725</v>
      </c>
      <c r="S321" s="1410">
        <f>'Rashodi-2021'!R358</f>
        <v>0</v>
      </c>
      <c r="T321" s="1410">
        <f>'Rashodi-2021'!S358</f>
        <v>427000</v>
      </c>
      <c r="U321" s="1413">
        <f t="shared" si="10"/>
        <v>5818925</v>
      </c>
      <c r="V321" s="1412">
        <f>'Rashodi-2021'!U358</f>
        <v>68913811</v>
      </c>
      <c r="W321" s="846">
        <v>68913811</v>
      </c>
      <c r="X321" s="1109">
        <v>68913811</v>
      </c>
    </row>
    <row r="322" spans="2:24" ht="12.75" customHeight="1">
      <c r="B322" s="284"/>
      <c r="C322" s="285"/>
      <c r="D322" s="428"/>
      <c r="E322" s="610" t="s">
        <v>292</v>
      </c>
      <c r="F322" s="611"/>
      <c r="G322" s="612"/>
      <c r="H322" s="1590" t="s">
        <v>1269</v>
      </c>
      <c r="I322" s="1591"/>
      <c r="J322" s="1592"/>
      <c r="K322" s="933">
        <f>K323</f>
        <v>57491686</v>
      </c>
      <c r="L322" s="1074">
        <f>L323</f>
        <v>33538922.439999994</v>
      </c>
      <c r="M322" s="957">
        <f>'Rashodi-2021'!M359</f>
        <v>63094886</v>
      </c>
      <c r="N322" s="957" t="e">
        <f>'Rashodi-2021'!#REF!</f>
        <v>#REF!</v>
      </c>
      <c r="O322" s="1213">
        <f>'Rashodi-2021'!N359</f>
        <v>0</v>
      </c>
      <c r="P322" s="1189">
        <f>'Rashodi-2021'!O359</f>
        <v>0</v>
      </c>
      <c r="Q322" s="1189">
        <f>'Rashodi-2021'!P359</f>
        <v>5154200</v>
      </c>
      <c r="R322" s="1189">
        <f>'Rashodi-2021'!Q359</f>
        <v>237725</v>
      </c>
      <c r="S322" s="1189">
        <f>'Rashodi-2021'!R359</f>
        <v>0</v>
      </c>
      <c r="T322" s="1189">
        <f>'Rashodi-2021'!S359</f>
        <v>427000</v>
      </c>
      <c r="U322" s="1190">
        <f t="shared" si="10"/>
        <v>5818925</v>
      </c>
      <c r="V322" s="1107">
        <f>'Rashodi-2021'!U359</f>
        <v>68913811</v>
      </c>
      <c r="W322" s="848">
        <v>68913811</v>
      </c>
      <c r="X322" s="848">
        <v>68913811</v>
      </c>
    </row>
    <row r="323" spans="2:24" ht="12.75" customHeight="1">
      <c r="B323" s="284"/>
      <c r="C323" s="285"/>
      <c r="D323" s="428"/>
      <c r="E323" s="346" t="s">
        <v>288</v>
      </c>
      <c r="F323" s="428"/>
      <c r="G323" s="429"/>
      <c r="H323" s="1489" t="s">
        <v>1334</v>
      </c>
      <c r="I323" s="1564"/>
      <c r="J323" s="1565"/>
      <c r="K323" s="916">
        <f>K324</f>
        <v>57491686</v>
      </c>
      <c r="L323" s="1054">
        <f>L324</f>
        <v>33538922.439999994</v>
      </c>
      <c r="M323" s="1128">
        <f>'Rashodi-2021'!M360</f>
        <v>63094886</v>
      </c>
      <c r="N323" s="1128" t="e">
        <f>'Rashodi-2021'!#REF!</f>
        <v>#REF!</v>
      </c>
      <c r="O323" s="1214">
        <f>'Rashodi-2021'!N360</f>
        <v>0</v>
      </c>
      <c r="P323" s="1194">
        <f>'Rashodi-2021'!O360</f>
        <v>0</v>
      </c>
      <c r="Q323" s="1194">
        <f>'Rashodi-2021'!P360</f>
        <v>5154200</v>
      </c>
      <c r="R323" s="1194">
        <f>'Rashodi-2021'!Q360</f>
        <v>237725</v>
      </c>
      <c r="S323" s="1194">
        <f>'Rashodi-2021'!R360</f>
        <v>0</v>
      </c>
      <c r="T323" s="1194">
        <f>'Rashodi-2021'!S360</f>
        <v>427000</v>
      </c>
      <c r="U323" s="1195">
        <f t="shared" si="10"/>
        <v>5818925</v>
      </c>
      <c r="V323" s="1196">
        <f>'Rashodi-2021'!U360</f>
        <v>68913811</v>
      </c>
      <c r="W323" s="652">
        <v>68913811</v>
      </c>
      <c r="X323" s="652">
        <v>68913811</v>
      </c>
    </row>
    <row r="324" spans="2:24" s="1139" customFormat="1" ht="12.75" customHeight="1">
      <c r="B324" s="1286"/>
      <c r="C324" s="1245"/>
      <c r="D324" s="1246">
        <v>911</v>
      </c>
      <c r="E324" s="1247"/>
      <c r="F324" s="1248"/>
      <c r="G324" s="1249"/>
      <c r="H324" s="1694" t="s">
        <v>96</v>
      </c>
      <c r="I324" s="1695"/>
      <c r="J324" s="1696"/>
      <c r="K324" s="1250">
        <f>SUM(K325:K342)</f>
        <v>57491686</v>
      </c>
      <c r="L324" s="1221">
        <f>SUM(L325:L342)</f>
        <v>33538922.439999994</v>
      </c>
      <c r="M324" s="1130">
        <f>'Rashodi-2021'!M361</f>
        <v>63094886</v>
      </c>
      <c r="N324" s="1130" t="e">
        <f>'Rashodi-2021'!#REF!</f>
        <v>#REF!</v>
      </c>
      <c r="O324" s="1216">
        <f>'Rashodi-2021'!N361</f>
        <v>0</v>
      </c>
      <c r="P324" s="1202">
        <f>'Rashodi-2021'!O361</f>
        <v>0</v>
      </c>
      <c r="Q324" s="1202">
        <f>'Rashodi-2021'!P361</f>
        <v>5154200</v>
      </c>
      <c r="R324" s="1202">
        <f>'Rashodi-2021'!Q361</f>
        <v>237725</v>
      </c>
      <c r="S324" s="1202">
        <f>'Rashodi-2021'!R361</f>
        <v>0</v>
      </c>
      <c r="T324" s="1202">
        <f>'Rashodi-2021'!S361</f>
        <v>427000</v>
      </c>
      <c r="U324" s="1221">
        <f t="shared" si="10"/>
        <v>5818925</v>
      </c>
      <c r="V324" s="1203">
        <f>'Rashodi-2021'!U361</f>
        <v>68913811</v>
      </c>
      <c r="W324" s="1203">
        <v>68913811</v>
      </c>
      <c r="X324" s="1138">
        <v>68913811</v>
      </c>
    </row>
    <row r="325" spans="2:24" s="1139" customFormat="1" ht="12.75" customHeight="1">
      <c r="B325" s="1286"/>
      <c r="C325" s="1245"/>
      <c r="D325" s="1248"/>
      <c r="E325" s="1245"/>
      <c r="F325" s="1254">
        <v>246</v>
      </c>
      <c r="G325" s="1255">
        <v>411</v>
      </c>
      <c r="H325" s="1682" t="s">
        <v>27</v>
      </c>
      <c r="I325" s="1683"/>
      <c r="J325" s="1684"/>
      <c r="K325" s="1262">
        <v>38782252</v>
      </c>
      <c r="L325" s="1242">
        <v>25207532.72</v>
      </c>
      <c r="M325" s="1112">
        <f>'Rashodi-2021'!M362</f>
        <v>40382252</v>
      </c>
      <c r="N325" s="1112" t="e">
        <f>'Rashodi-2021'!#REF!</f>
        <v>#REF!</v>
      </c>
      <c r="O325" s="1215">
        <f>'Rashodi-2021'!N362</f>
        <v>0</v>
      </c>
      <c r="P325" s="1208">
        <f>'Rashodi-2021'!O362</f>
        <v>0</v>
      </c>
      <c r="Q325" s="1208">
        <f>'Rashodi-2021'!P362</f>
        <v>0</v>
      </c>
      <c r="R325" s="1208">
        <f>'Rashodi-2021'!Q362</f>
        <v>0</v>
      </c>
      <c r="S325" s="1208">
        <f>'Rashodi-2021'!R362</f>
        <v>0</v>
      </c>
      <c r="T325" s="1208">
        <f>'Rashodi-2021'!S362</f>
        <v>0</v>
      </c>
      <c r="U325" s="1205">
        <f t="shared" si="10"/>
        <v>0</v>
      </c>
      <c r="V325" s="1138">
        <f>'Rashodi-2021'!U362</f>
        <v>40382252</v>
      </c>
      <c r="W325" s="1261">
        <v>40382252</v>
      </c>
      <c r="X325" s="1138">
        <v>40382252</v>
      </c>
    </row>
    <row r="326" spans="2:24" s="1139" customFormat="1" ht="12.75">
      <c r="B326" s="1286"/>
      <c r="C326" s="1245"/>
      <c r="D326" s="1248"/>
      <c r="E326" s="1245"/>
      <c r="F326" s="1254">
        <v>247</v>
      </c>
      <c r="G326" s="1255">
        <v>412</v>
      </c>
      <c r="H326" s="1682" t="s">
        <v>79</v>
      </c>
      <c r="I326" s="1683"/>
      <c r="J326" s="1684"/>
      <c r="K326" s="1262">
        <v>6741444</v>
      </c>
      <c r="L326" s="1242">
        <v>4202233.729999999</v>
      </c>
      <c r="M326" s="1112">
        <f>'Rashodi-2021'!M363</f>
        <v>7141444</v>
      </c>
      <c r="N326" s="1112" t="e">
        <f>'Rashodi-2021'!#REF!</f>
        <v>#REF!</v>
      </c>
      <c r="O326" s="1215">
        <f>'Rashodi-2021'!N363</f>
        <v>0</v>
      </c>
      <c r="P326" s="1208">
        <f>'Rashodi-2021'!O363</f>
        <v>0</v>
      </c>
      <c r="Q326" s="1208">
        <f>'Rashodi-2021'!P363</f>
        <v>0</v>
      </c>
      <c r="R326" s="1208">
        <f>'Rashodi-2021'!Q363</f>
        <v>0</v>
      </c>
      <c r="S326" s="1208">
        <f>'Rashodi-2021'!R363</f>
        <v>0</v>
      </c>
      <c r="T326" s="1208">
        <f>'Rashodi-2021'!S363</f>
        <v>0</v>
      </c>
      <c r="U326" s="1205">
        <f t="shared" si="10"/>
        <v>0</v>
      </c>
      <c r="V326" s="1138">
        <f>'Rashodi-2021'!U363</f>
        <v>7141444</v>
      </c>
      <c r="W326" s="1261">
        <v>7141444</v>
      </c>
      <c r="X326" s="1138">
        <v>7141444</v>
      </c>
    </row>
    <row r="327" spans="2:24" s="1139" customFormat="1" ht="12.75">
      <c r="B327" s="1286"/>
      <c r="C327" s="1245"/>
      <c r="D327" s="1248"/>
      <c r="E327" s="1245"/>
      <c r="F327" s="1254">
        <v>248</v>
      </c>
      <c r="G327" s="1255">
        <v>413</v>
      </c>
      <c r="H327" s="1256" t="s">
        <v>29</v>
      </c>
      <c r="I327" s="1257"/>
      <c r="J327" s="1263"/>
      <c r="K327" s="1262">
        <v>200000</v>
      </c>
      <c r="L327" s="1242">
        <v>0</v>
      </c>
      <c r="M327" s="1112">
        <f>'Rashodi-2021'!M364</f>
        <v>200000</v>
      </c>
      <c r="N327" s="1112" t="e">
        <f>'Rashodi-2021'!#REF!</f>
        <v>#REF!</v>
      </c>
      <c r="O327" s="1215">
        <f>'Rashodi-2021'!N364</f>
        <v>0</v>
      </c>
      <c r="P327" s="1208">
        <f>'Rashodi-2021'!O364</f>
        <v>0</v>
      </c>
      <c r="Q327" s="1208">
        <f>'Rashodi-2021'!P364</f>
        <v>150000</v>
      </c>
      <c r="R327" s="1208">
        <f>'Rashodi-2021'!Q364</f>
        <v>10000</v>
      </c>
      <c r="S327" s="1208">
        <f>'Rashodi-2021'!R364</f>
        <v>0</v>
      </c>
      <c r="T327" s="1208">
        <f>'Rashodi-2021'!S364</f>
        <v>0</v>
      </c>
      <c r="U327" s="1205">
        <f t="shared" si="10"/>
        <v>160000</v>
      </c>
      <c r="V327" s="1138">
        <f>'Rashodi-2021'!U364</f>
        <v>360000</v>
      </c>
      <c r="W327" s="1261">
        <v>360000</v>
      </c>
      <c r="X327" s="1138">
        <v>360000</v>
      </c>
    </row>
    <row r="328" spans="2:24" s="1139" customFormat="1" ht="12.75">
      <c r="B328" s="1286"/>
      <c r="C328" s="1245"/>
      <c r="D328" s="1248"/>
      <c r="E328" s="1245"/>
      <c r="F328" s="1254">
        <v>249</v>
      </c>
      <c r="G328" s="1255">
        <v>414</v>
      </c>
      <c r="H328" s="1682" t="s">
        <v>202</v>
      </c>
      <c r="I328" s="1683"/>
      <c r="J328" s="1684"/>
      <c r="K328" s="1262">
        <v>300990</v>
      </c>
      <c r="L328" s="1242">
        <v>553964.67</v>
      </c>
      <c r="M328" s="1112">
        <f>'Rashodi-2021'!M365</f>
        <v>550000</v>
      </c>
      <c r="N328" s="1112" t="e">
        <f>'Rashodi-2021'!#REF!</f>
        <v>#REF!</v>
      </c>
      <c r="O328" s="1215">
        <f>'Rashodi-2021'!N365</f>
        <v>0</v>
      </c>
      <c r="P328" s="1208">
        <f>'Rashodi-2021'!O365</f>
        <v>0</v>
      </c>
      <c r="Q328" s="1208">
        <f>'Rashodi-2021'!P365</f>
        <v>25000</v>
      </c>
      <c r="R328" s="1208">
        <f>'Rashodi-2021'!Q365</f>
        <v>0</v>
      </c>
      <c r="S328" s="1208">
        <f>'Rashodi-2021'!R365</f>
        <v>0</v>
      </c>
      <c r="T328" s="1208">
        <f>'Rashodi-2021'!S365</f>
        <v>0</v>
      </c>
      <c r="U328" s="1205">
        <f t="shared" si="10"/>
        <v>25000</v>
      </c>
      <c r="V328" s="1138">
        <f>'Rashodi-2021'!U365</f>
        <v>575000</v>
      </c>
      <c r="W328" s="1261">
        <v>575000</v>
      </c>
      <c r="X328" s="1138">
        <v>575000</v>
      </c>
    </row>
    <row r="329" spans="2:24" s="1139" customFormat="1" ht="12.75">
      <c r="B329" s="1286"/>
      <c r="C329" s="1245"/>
      <c r="D329" s="1248"/>
      <c r="E329" s="1245"/>
      <c r="F329" s="1254">
        <v>250</v>
      </c>
      <c r="G329" s="1255">
        <v>415</v>
      </c>
      <c r="H329" s="1682" t="s">
        <v>31</v>
      </c>
      <c r="I329" s="1683"/>
      <c r="J329" s="1684"/>
      <c r="K329" s="1262">
        <v>600000</v>
      </c>
      <c r="L329" s="1242">
        <v>152279</v>
      </c>
      <c r="M329" s="1112">
        <f>'Rashodi-2021'!M366</f>
        <v>4128972</v>
      </c>
      <c r="N329" s="1112" t="e">
        <f>'Rashodi-2021'!#REF!</f>
        <v>#REF!</v>
      </c>
      <c r="O329" s="1215">
        <f>'Rashodi-2021'!N366</f>
        <v>0</v>
      </c>
      <c r="P329" s="1208">
        <f>'Rashodi-2021'!O366</f>
        <v>0</v>
      </c>
      <c r="Q329" s="1208">
        <f>'Rashodi-2021'!P366</f>
        <v>600000</v>
      </c>
      <c r="R329" s="1208">
        <f>'Rashodi-2021'!Q366</f>
        <v>0</v>
      </c>
      <c r="S329" s="1208">
        <f>'Rashodi-2021'!R366</f>
        <v>0</v>
      </c>
      <c r="T329" s="1208">
        <f>'Rashodi-2021'!S366</f>
        <v>0</v>
      </c>
      <c r="U329" s="1205">
        <f t="shared" si="10"/>
        <v>600000</v>
      </c>
      <c r="V329" s="1138">
        <f>'Rashodi-2021'!U366</f>
        <v>4728972</v>
      </c>
      <c r="W329" s="1261">
        <v>4728972</v>
      </c>
      <c r="X329" s="1138">
        <v>4728972</v>
      </c>
    </row>
    <row r="330" spans="2:24" s="1139" customFormat="1" ht="12.75">
      <c r="B330" s="1286"/>
      <c r="C330" s="1245"/>
      <c r="D330" s="1248"/>
      <c r="E330" s="1245"/>
      <c r="F330" s="1254">
        <v>251</v>
      </c>
      <c r="G330" s="1255">
        <v>416</v>
      </c>
      <c r="H330" s="1685" t="s">
        <v>200</v>
      </c>
      <c r="I330" s="1686"/>
      <c r="J330" s="1687"/>
      <c r="K330" s="1262">
        <v>800000</v>
      </c>
      <c r="L330" s="1242">
        <v>64197</v>
      </c>
      <c r="M330" s="1112">
        <f>'Rashodi-2021'!M367</f>
        <v>1100000</v>
      </c>
      <c r="N330" s="1112" t="e">
        <f>'Rashodi-2021'!#REF!</f>
        <v>#REF!</v>
      </c>
      <c r="O330" s="1215">
        <f>'Rashodi-2021'!N367</f>
        <v>0</v>
      </c>
      <c r="P330" s="1208">
        <f>'Rashodi-2021'!O367</f>
        <v>0</v>
      </c>
      <c r="Q330" s="1208">
        <f>'Rashodi-2021'!P367</f>
        <v>0</v>
      </c>
      <c r="R330" s="1208">
        <f>'Rashodi-2021'!Q367</f>
        <v>0</v>
      </c>
      <c r="S330" s="1208">
        <f>'Rashodi-2021'!R367</f>
        <v>0</v>
      </c>
      <c r="T330" s="1208">
        <f>'Rashodi-2021'!S367</f>
        <v>0</v>
      </c>
      <c r="U330" s="1205">
        <f t="shared" si="10"/>
        <v>0</v>
      </c>
      <c r="V330" s="1138">
        <f>'Rashodi-2021'!U367</f>
        <v>1100000</v>
      </c>
      <c r="W330" s="1261">
        <v>1100000</v>
      </c>
      <c r="X330" s="1138">
        <v>1100000</v>
      </c>
    </row>
    <row r="331" spans="2:24" s="1139" customFormat="1" ht="12.75">
      <c r="B331" s="1286"/>
      <c r="C331" s="1245"/>
      <c r="D331" s="1248"/>
      <c r="E331" s="1245"/>
      <c r="F331" s="1254">
        <v>252</v>
      </c>
      <c r="G331" s="1255">
        <v>421</v>
      </c>
      <c r="H331" s="1685" t="s">
        <v>33</v>
      </c>
      <c r="I331" s="1686"/>
      <c r="J331" s="1687"/>
      <c r="K331" s="1262">
        <v>1930500</v>
      </c>
      <c r="L331" s="1242">
        <v>1107636.74</v>
      </c>
      <c r="M331" s="1112">
        <f>'Rashodi-2021'!M368</f>
        <v>2184200</v>
      </c>
      <c r="N331" s="1112" t="e">
        <f>'Rashodi-2021'!#REF!</f>
        <v>#REF!</v>
      </c>
      <c r="O331" s="1215">
        <f>'Rashodi-2021'!N368</f>
        <v>0</v>
      </c>
      <c r="P331" s="1208">
        <f>'Rashodi-2021'!O368</f>
        <v>0</v>
      </c>
      <c r="Q331" s="1208">
        <f>'Rashodi-2021'!P368</f>
        <v>1555200</v>
      </c>
      <c r="R331" s="1208">
        <f>'Rashodi-2021'!Q368</f>
        <v>116500</v>
      </c>
      <c r="S331" s="1208">
        <f>'Rashodi-2021'!R368</f>
        <v>0</v>
      </c>
      <c r="T331" s="1208">
        <f>'Rashodi-2021'!S368</f>
        <v>2000</v>
      </c>
      <c r="U331" s="1205">
        <f t="shared" si="10"/>
        <v>1673700</v>
      </c>
      <c r="V331" s="1138">
        <f>'Rashodi-2021'!U368</f>
        <v>3857900</v>
      </c>
      <c r="W331" s="1261">
        <v>3857900</v>
      </c>
      <c r="X331" s="1138">
        <v>3857900</v>
      </c>
    </row>
    <row r="332" spans="2:24" s="1139" customFormat="1" ht="12.75">
      <c r="B332" s="1286"/>
      <c r="C332" s="1245"/>
      <c r="D332" s="1248"/>
      <c r="E332" s="1245"/>
      <c r="F332" s="1254">
        <v>253</v>
      </c>
      <c r="G332" s="1255">
        <v>422</v>
      </c>
      <c r="H332" s="1685" t="s">
        <v>34</v>
      </c>
      <c r="I332" s="1686"/>
      <c r="J332" s="1687"/>
      <c r="K332" s="1262">
        <v>160000</v>
      </c>
      <c r="L332" s="1242">
        <v>17298</v>
      </c>
      <c r="M332" s="1112">
        <f>'Rashodi-2021'!M369</f>
        <v>40000</v>
      </c>
      <c r="N332" s="1112" t="e">
        <f>'Rashodi-2021'!#REF!</f>
        <v>#REF!</v>
      </c>
      <c r="O332" s="1215">
        <f>'Rashodi-2021'!N369</f>
        <v>0</v>
      </c>
      <c r="P332" s="1208">
        <f>'Rashodi-2021'!O369</f>
        <v>0</v>
      </c>
      <c r="Q332" s="1208">
        <f>'Rashodi-2021'!P369</f>
        <v>0</v>
      </c>
      <c r="R332" s="1208">
        <f>'Rashodi-2021'!Q369</f>
        <v>0</v>
      </c>
      <c r="S332" s="1208">
        <f>'Rashodi-2021'!R369</f>
        <v>0</v>
      </c>
      <c r="T332" s="1208">
        <f>'Rashodi-2021'!S369</f>
        <v>40000</v>
      </c>
      <c r="U332" s="1220">
        <f t="shared" si="10"/>
        <v>40000</v>
      </c>
      <c r="V332" s="1138">
        <f>'Rashodi-2021'!U369</f>
        <v>80000</v>
      </c>
      <c r="W332" s="1261">
        <v>80000</v>
      </c>
      <c r="X332" s="1138">
        <v>80000</v>
      </c>
    </row>
    <row r="333" spans="2:24" s="1139" customFormat="1" ht="12.75">
      <c r="B333" s="1286"/>
      <c r="C333" s="1245"/>
      <c r="D333" s="1248"/>
      <c r="E333" s="1245"/>
      <c r="F333" s="1254">
        <v>254</v>
      </c>
      <c r="G333" s="1255">
        <v>423</v>
      </c>
      <c r="H333" s="1685" t="s">
        <v>35</v>
      </c>
      <c r="I333" s="1686"/>
      <c r="J333" s="1687"/>
      <c r="K333" s="1262">
        <v>317500</v>
      </c>
      <c r="L333" s="1242">
        <v>78914.20999999999</v>
      </c>
      <c r="M333" s="1112">
        <f>'Rashodi-2021'!M370</f>
        <v>316000</v>
      </c>
      <c r="N333" s="1112" t="e">
        <f>'Rashodi-2021'!#REF!</f>
        <v>#REF!</v>
      </c>
      <c r="O333" s="1215">
        <f>'Rashodi-2021'!N370</f>
        <v>0</v>
      </c>
      <c r="P333" s="1208">
        <f>'Rashodi-2021'!O370</f>
        <v>0</v>
      </c>
      <c r="Q333" s="1208">
        <f>'Rashodi-2021'!P370</f>
        <v>255500</v>
      </c>
      <c r="R333" s="1208">
        <f>'Rashodi-2021'!Q370</f>
        <v>12500</v>
      </c>
      <c r="S333" s="1208">
        <f>'Rashodi-2021'!R370</f>
        <v>0</v>
      </c>
      <c r="T333" s="1208">
        <f>'Rashodi-2021'!S370</f>
        <v>385000</v>
      </c>
      <c r="U333" s="1220">
        <f t="shared" si="10"/>
        <v>653000</v>
      </c>
      <c r="V333" s="1138">
        <f>'Rashodi-2021'!U370</f>
        <v>969000</v>
      </c>
      <c r="W333" s="1261">
        <v>969000</v>
      </c>
      <c r="X333" s="1138">
        <v>969000</v>
      </c>
    </row>
    <row r="334" spans="2:24" s="1139" customFormat="1" ht="12.75">
      <c r="B334" s="1286"/>
      <c r="C334" s="1245"/>
      <c r="D334" s="1248"/>
      <c r="E334" s="1245"/>
      <c r="F334" s="1254">
        <v>256</v>
      </c>
      <c r="G334" s="1255">
        <v>424</v>
      </c>
      <c r="H334" s="1682" t="s">
        <v>36</v>
      </c>
      <c r="I334" s="1683"/>
      <c r="J334" s="1684"/>
      <c r="K334" s="1262">
        <v>266000</v>
      </c>
      <c r="L334" s="1242">
        <v>140746</v>
      </c>
      <c r="M334" s="1112">
        <f>'Rashodi-2021'!M371</f>
        <v>978000</v>
      </c>
      <c r="N334" s="1112" t="e">
        <f>'Rashodi-2021'!#REF!</f>
        <v>#REF!</v>
      </c>
      <c r="O334" s="1215">
        <f>'Rashodi-2021'!N371</f>
        <v>0</v>
      </c>
      <c r="P334" s="1208">
        <f>'Rashodi-2021'!O371</f>
        <v>0</v>
      </c>
      <c r="Q334" s="1208">
        <f>'Rashodi-2021'!P371</f>
        <v>451000</v>
      </c>
      <c r="R334" s="1208">
        <f>'Rashodi-2021'!Q371</f>
        <v>30600</v>
      </c>
      <c r="S334" s="1208">
        <f>'Rashodi-2021'!R371</f>
        <v>0</v>
      </c>
      <c r="T334" s="1208">
        <f>'Rashodi-2021'!S371</f>
        <v>0</v>
      </c>
      <c r="U334" s="1220">
        <f t="shared" si="10"/>
        <v>481600</v>
      </c>
      <c r="V334" s="1138">
        <f>'Rashodi-2021'!U371</f>
        <v>1459600</v>
      </c>
      <c r="W334" s="1261">
        <v>1459600</v>
      </c>
      <c r="X334" s="1138">
        <v>1459600</v>
      </c>
    </row>
    <row r="335" spans="2:24" s="1139" customFormat="1" ht="12.75">
      <c r="B335" s="1286"/>
      <c r="C335" s="1245"/>
      <c r="D335" s="1248"/>
      <c r="E335" s="1245"/>
      <c r="F335" s="1254">
        <v>257</v>
      </c>
      <c r="G335" s="1255">
        <v>425</v>
      </c>
      <c r="H335" s="1682" t="s">
        <v>91</v>
      </c>
      <c r="I335" s="1683"/>
      <c r="J335" s="1684"/>
      <c r="K335" s="1262">
        <v>90000</v>
      </c>
      <c r="L335" s="1242">
        <v>13900</v>
      </c>
      <c r="M335" s="1112">
        <f>'Rashodi-2021'!M372</f>
        <v>190000</v>
      </c>
      <c r="N335" s="1112" t="e">
        <f>'Rashodi-2021'!#REF!</f>
        <v>#REF!</v>
      </c>
      <c r="O335" s="1215">
        <f>'Rashodi-2021'!N372</f>
        <v>0</v>
      </c>
      <c r="P335" s="1208">
        <f>'Rashodi-2021'!O372</f>
        <v>0</v>
      </c>
      <c r="Q335" s="1208">
        <f>'Rashodi-2021'!P372</f>
        <v>240000</v>
      </c>
      <c r="R335" s="1208">
        <f>'Rashodi-2021'!Q372</f>
        <v>0</v>
      </c>
      <c r="S335" s="1208">
        <f>'Rashodi-2021'!R372</f>
        <v>0</v>
      </c>
      <c r="T335" s="1208">
        <f>'Rashodi-2021'!S372</f>
        <v>0</v>
      </c>
      <c r="U335" s="1220">
        <f t="shared" si="10"/>
        <v>240000</v>
      </c>
      <c r="V335" s="1138">
        <f>'Rashodi-2021'!U372</f>
        <v>430000</v>
      </c>
      <c r="W335" s="1261">
        <v>430000</v>
      </c>
      <c r="X335" s="1138">
        <v>430000</v>
      </c>
    </row>
    <row r="336" spans="2:24" s="1139" customFormat="1" ht="12.75">
      <c r="B336" s="1286"/>
      <c r="C336" s="1245"/>
      <c r="D336" s="1248"/>
      <c r="E336" s="1245"/>
      <c r="F336" s="1254">
        <v>258</v>
      </c>
      <c r="G336" s="1255">
        <v>426</v>
      </c>
      <c r="H336" s="1685" t="s">
        <v>38</v>
      </c>
      <c r="I336" s="1686"/>
      <c r="J336" s="1687"/>
      <c r="K336" s="1262">
        <v>3304000</v>
      </c>
      <c r="L336" s="1242">
        <v>1092000.7799999998</v>
      </c>
      <c r="M336" s="1112">
        <f>'Rashodi-2021'!M373</f>
        <v>3781079</v>
      </c>
      <c r="N336" s="1112" t="e">
        <f>'Rashodi-2021'!#REF!</f>
        <v>#REF!</v>
      </c>
      <c r="O336" s="1215">
        <f>'Rashodi-2021'!N373</f>
        <v>0</v>
      </c>
      <c r="P336" s="1208">
        <f>'Rashodi-2021'!O373</f>
        <v>0</v>
      </c>
      <c r="Q336" s="1208">
        <f>'Rashodi-2021'!P373</f>
        <v>1872500</v>
      </c>
      <c r="R336" s="1208">
        <f>'Rashodi-2021'!Q373</f>
        <v>68125</v>
      </c>
      <c r="S336" s="1208">
        <f>'Rashodi-2021'!R373</f>
        <v>0</v>
      </c>
      <c r="T336" s="1208">
        <f>'Rashodi-2021'!S373</f>
        <v>0</v>
      </c>
      <c r="U336" s="1220">
        <f t="shared" si="10"/>
        <v>1940625</v>
      </c>
      <c r="V336" s="1138">
        <f>'Rashodi-2021'!U373</f>
        <v>5721704</v>
      </c>
      <c r="W336" s="1261">
        <v>5721704</v>
      </c>
      <c r="X336" s="1138">
        <v>5721704</v>
      </c>
    </row>
    <row r="337" spans="2:24" s="1139" customFormat="1" ht="12.75">
      <c r="B337" s="1286"/>
      <c r="C337" s="1245"/>
      <c r="D337" s="1248"/>
      <c r="E337" s="1245"/>
      <c r="F337" s="1254">
        <v>259</v>
      </c>
      <c r="G337" s="1255">
        <v>444</v>
      </c>
      <c r="H337" s="1685" t="s">
        <v>1405</v>
      </c>
      <c r="I337" s="1686"/>
      <c r="J337" s="1687"/>
      <c r="K337" s="1262">
        <v>1000</v>
      </c>
      <c r="L337" s="1242">
        <v>258.88</v>
      </c>
      <c r="M337" s="1112">
        <f>'Rashodi-2021'!M374</f>
        <v>1000</v>
      </c>
      <c r="N337" s="1112" t="e">
        <f>'Rashodi-2021'!#REF!</f>
        <v>#REF!</v>
      </c>
      <c r="O337" s="1215">
        <f>'Rashodi-2021'!N374</f>
        <v>0</v>
      </c>
      <c r="P337" s="1208">
        <f>'Rashodi-2021'!O374</f>
        <v>0</v>
      </c>
      <c r="Q337" s="1208">
        <f>'Rashodi-2021'!P374</f>
        <v>0</v>
      </c>
      <c r="R337" s="1208">
        <f>'Rashodi-2021'!Q374</f>
        <v>0</v>
      </c>
      <c r="S337" s="1208">
        <f>'Rashodi-2021'!R374</f>
        <v>0</v>
      </c>
      <c r="T337" s="1208">
        <f>'Rashodi-2021'!S374</f>
        <v>0</v>
      </c>
      <c r="U337" s="1220">
        <f t="shared" si="10"/>
        <v>0</v>
      </c>
      <c r="V337" s="1138">
        <f>'Rashodi-2021'!U374</f>
        <v>1000</v>
      </c>
      <c r="W337" s="1261">
        <v>1000</v>
      </c>
      <c r="X337" s="1138">
        <v>1000</v>
      </c>
    </row>
    <row r="338" spans="2:24" s="1139" customFormat="1" ht="12.75">
      <c r="B338" s="1286"/>
      <c r="C338" s="1245"/>
      <c r="D338" s="1248"/>
      <c r="E338" s="1245"/>
      <c r="F338" s="1254">
        <v>260</v>
      </c>
      <c r="G338" s="1255">
        <v>465</v>
      </c>
      <c r="H338" s="1685" t="s">
        <v>213</v>
      </c>
      <c r="I338" s="1686"/>
      <c r="J338" s="1687"/>
      <c r="K338" s="1262">
        <v>2350000</v>
      </c>
      <c r="L338" s="1242">
        <v>228971.47</v>
      </c>
      <c r="M338" s="1112">
        <f>'Rashodi-2021'!M375</f>
        <v>300000</v>
      </c>
      <c r="N338" s="1112" t="e">
        <f>'Rashodi-2021'!#REF!</f>
        <v>#REF!</v>
      </c>
      <c r="O338" s="1215">
        <f>'Rashodi-2021'!N375</f>
        <v>0</v>
      </c>
      <c r="P338" s="1208">
        <f>'Rashodi-2021'!O375</f>
        <v>0</v>
      </c>
      <c r="Q338" s="1208">
        <f>'Rashodi-2021'!P375</f>
        <v>0</v>
      </c>
      <c r="R338" s="1208">
        <f>'Rashodi-2021'!Q375</f>
        <v>0</v>
      </c>
      <c r="S338" s="1208">
        <f>'Rashodi-2021'!R375</f>
        <v>0</v>
      </c>
      <c r="T338" s="1208">
        <f>'Rashodi-2021'!S375</f>
        <v>0</v>
      </c>
      <c r="U338" s="1220">
        <f t="shared" si="10"/>
        <v>0</v>
      </c>
      <c r="V338" s="1138">
        <f>'Rashodi-2021'!U375</f>
        <v>300000</v>
      </c>
      <c r="W338" s="1261">
        <v>300000</v>
      </c>
      <c r="X338" s="1138">
        <v>300000</v>
      </c>
    </row>
    <row r="339" spans="2:24" s="1139" customFormat="1" ht="12.75">
      <c r="B339" s="1286"/>
      <c r="C339" s="1245"/>
      <c r="D339" s="1248"/>
      <c r="E339" s="1245"/>
      <c r="F339" s="1254">
        <v>261</v>
      </c>
      <c r="G339" s="1255">
        <v>482</v>
      </c>
      <c r="H339" s="1682" t="s">
        <v>82</v>
      </c>
      <c r="I339" s="1683"/>
      <c r="J339" s="1684"/>
      <c r="K339" s="1262">
        <v>65000</v>
      </c>
      <c r="L339" s="1242">
        <v>27564.24</v>
      </c>
      <c r="M339" s="1112">
        <f>'Rashodi-2021'!M376</f>
        <v>18939</v>
      </c>
      <c r="N339" s="1112" t="e">
        <f>'Rashodi-2021'!#REF!</f>
        <v>#REF!</v>
      </c>
      <c r="O339" s="1215">
        <f>'Rashodi-2021'!N376</f>
        <v>0</v>
      </c>
      <c r="P339" s="1208">
        <f>'Rashodi-2021'!O376</f>
        <v>0</v>
      </c>
      <c r="Q339" s="1208">
        <f>'Rashodi-2021'!P376</f>
        <v>5000</v>
      </c>
      <c r="R339" s="1208">
        <f>'Rashodi-2021'!Q376</f>
        <v>0</v>
      </c>
      <c r="S339" s="1208">
        <f>'Rashodi-2021'!R376</f>
        <v>0</v>
      </c>
      <c r="T339" s="1208">
        <f>'Rashodi-2021'!S376</f>
        <v>0</v>
      </c>
      <c r="U339" s="1220">
        <f t="shared" si="10"/>
        <v>5000</v>
      </c>
      <c r="V339" s="1138">
        <f>'Rashodi-2021'!U376</f>
        <v>23939</v>
      </c>
      <c r="W339" s="1261">
        <v>23939</v>
      </c>
      <c r="X339" s="1138">
        <v>23939</v>
      </c>
    </row>
    <row r="340" spans="2:24" s="1139" customFormat="1" ht="12.75">
      <c r="B340" s="1312"/>
      <c r="C340" s="1296"/>
      <c r="D340" s="1295"/>
      <c r="E340" s="1296"/>
      <c r="F340" s="1254">
        <v>262</v>
      </c>
      <c r="G340" s="1268">
        <v>511</v>
      </c>
      <c r="H340" s="1290" t="s">
        <v>114</v>
      </c>
      <c r="I340" s="1291"/>
      <c r="J340" s="1292"/>
      <c r="K340" s="1264">
        <v>653000</v>
      </c>
      <c r="L340" s="1265">
        <v>0</v>
      </c>
      <c r="M340" s="1112">
        <f>'Rashodi-2021'!M377</f>
        <v>300000</v>
      </c>
      <c r="N340" s="1112" t="e">
        <f>'Rashodi-2021'!#REF!</f>
        <v>#REF!</v>
      </c>
      <c r="O340" s="1215">
        <f>'Rashodi-2021'!N377</f>
        <v>0</v>
      </c>
      <c r="P340" s="1208">
        <f>'Rashodi-2021'!O377</f>
        <v>0</v>
      </c>
      <c r="Q340" s="1208">
        <f>'Rashodi-2021'!P377</f>
        <v>0</v>
      </c>
      <c r="R340" s="1208">
        <f>'Rashodi-2021'!Q377</f>
        <v>0</v>
      </c>
      <c r="S340" s="1208">
        <f>'Rashodi-2021'!R377</f>
        <v>0</v>
      </c>
      <c r="T340" s="1208">
        <f>'Rashodi-2021'!S377</f>
        <v>0</v>
      </c>
      <c r="U340" s="1270">
        <f t="shared" si="10"/>
        <v>0</v>
      </c>
      <c r="V340" s="1138">
        <f>'Rashodi-2021'!U377</f>
        <v>300000</v>
      </c>
      <c r="W340" s="1261">
        <v>300000</v>
      </c>
      <c r="X340" s="1138">
        <v>300000</v>
      </c>
    </row>
    <row r="341" spans="2:24" s="1139" customFormat="1" ht="12.75">
      <c r="B341" s="1312"/>
      <c r="C341" s="1296"/>
      <c r="D341" s="1295"/>
      <c r="E341" s="1296"/>
      <c r="F341" s="1254">
        <v>263</v>
      </c>
      <c r="G341" s="1268">
        <v>512</v>
      </c>
      <c r="H341" s="1697" t="s">
        <v>83</v>
      </c>
      <c r="I341" s="1698"/>
      <c r="J341" s="1699"/>
      <c r="K341" s="1264">
        <v>880000</v>
      </c>
      <c r="L341" s="1265">
        <v>651425</v>
      </c>
      <c r="M341" s="1112">
        <f>'Rashodi-2021'!M378</f>
        <v>1383000</v>
      </c>
      <c r="N341" s="1112" t="e">
        <f>'Rashodi-2021'!#REF!</f>
        <v>#REF!</v>
      </c>
      <c r="O341" s="1215">
        <f>'Rashodi-2021'!N378</f>
        <v>0</v>
      </c>
      <c r="P341" s="1208">
        <f>'Rashodi-2021'!O378</f>
        <v>0</v>
      </c>
      <c r="Q341" s="1208">
        <f>'Rashodi-2021'!P378</f>
        <v>0</v>
      </c>
      <c r="R341" s="1208">
        <f>'Rashodi-2021'!Q378</f>
        <v>0</v>
      </c>
      <c r="S341" s="1208">
        <f>'Rashodi-2021'!R378</f>
        <v>0</v>
      </c>
      <c r="T341" s="1208">
        <f>'Rashodi-2021'!S378</f>
        <v>0</v>
      </c>
      <c r="U341" s="1270">
        <f t="shared" si="10"/>
        <v>0</v>
      </c>
      <c r="V341" s="1138">
        <f>'Rashodi-2021'!U378</f>
        <v>1383000</v>
      </c>
      <c r="W341" s="1261">
        <v>1383000</v>
      </c>
      <c r="X341" s="1138">
        <v>1383000</v>
      </c>
    </row>
    <row r="342" spans="2:24" s="1139" customFormat="1" ht="12.75">
      <c r="B342" s="1299"/>
      <c r="C342" s="1299"/>
      <c r="D342" s="1298"/>
      <c r="E342" s="1299"/>
      <c r="F342" s="1254">
        <v>264</v>
      </c>
      <c r="G342" s="1300">
        <v>515</v>
      </c>
      <c r="H342" s="1691" t="s">
        <v>1173</v>
      </c>
      <c r="I342" s="1692"/>
      <c r="J342" s="1693"/>
      <c r="K342" s="1384">
        <v>50000</v>
      </c>
      <c r="L342" s="1385">
        <v>0</v>
      </c>
      <c r="M342" s="1112">
        <f>'Rashodi-2021'!M379</f>
        <v>100000</v>
      </c>
      <c r="N342" s="1112" t="e">
        <f>'Rashodi-2021'!#REF!</f>
        <v>#REF!</v>
      </c>
      <c r="O342" s="1215">
        <f>'Rashodi-2021'!N379</f>
        <v>0</v>
      </c>
      <c r="P342" s="1208">
        <f>'Rashodi-2021'!O379</f>
        <v>0</v>
      </c>
      <c r="Q342" s="1208">
        <f>'Rashodi-2021'!P379</f>
        <v>0</v>
      </c>
      <c r="R342" s="1208">
        <f>'Rashodi-2021'!Q379</f>
        <v>0</v>
      </c>
      <c r="S342" s="1208">
        <f>'Rashodi-2021'!R379</f>
        <v>0</v>
      </c>
      <c r="T342" s="1208">
        <f>'Rashodi-2021'!S379</f>
        <v>0</v>
      </c>
      <c r="U342" s="1308">
        <f t="shared" si="10"/>
        <v>0</v>
      </c>
      <c r="V342" s="1138">
        <f>'Rashodi-2021'!U379</f>
        <v>100000</v>
      </c>
      <c r="W342" s="1261">
        <v>100000</v>
      </c>
      <c r="X342" s="1138">
        <v>100000</v>
      </c>
    </row>
    <row r="343" spans="2:24" ht="12.75">
      <c r="B343" s="51"/>
      <c r="C343" s="52" t="s">
        <v>1209</v>
      </c>
      <c r="D343" s="53"/>
      <c r="E343" s="282"/>
      <c r="F343" s="53"/>
      <c r="G343" s="66"/>
      <c r="H343" s="1587" t="s">
        <v>279</v>
      </c>
      <c r="I343" s="1588"/>
      <c r="J343" s="1588"/>
      <c r="K343" s="950" t="e">
        <f>K344</f>
        <v>#REF!</v>
      </c>
      <c r="L343" s="950" t="e">
        <f>L344</f>
        <v>#REF!</v>
      </c>
      <c r="M343" s="1408">
        <f>'Rashodi-2021'!M380</f>
        <v>14064711</v>
      </c>
      <c r="N343" s="1408" t="e">
        <f>'Rashodi-2021'!#REF!</f>
        <v>#REF!</v>
      </c>
      <c r="O343" s="1409">
        <f>'Rashodi-2021'!N380</f>
        <v>180000</v>
      </c>
      <c r="P343" s="1410">
        <f>'Rashodi-2021'!O380</f>
        <v>400000</v>
      </c>
      <c r="Q343" s="1410">
        <f>'Rashodi-2021'!P380</f>
        <v>150000</v>
      </c>
      <c r="R343" s="1410">
        <f>'Rashodi-2021'!Q380</f>
        <v>105549</v>
      </c>
      <c r="S343" s="1410">
        <f>'Rashodi-2021'!R380</f>
        <v>0</v>
      </c>
      <c r="T343" s="1410">
        <f>'Rashodi-2021'!S380</f>
        <v>0</v>
      </c>
      <c r="U343" s="1411">
        <f t="shared" si="10"/>
        <v>835549</v>
      </c>
      <c r="V343" s="1412">
        <f>'Rashodi-2021'!U380</f>
        <v>14900260</v>
      </c>
      <c r="W343" s="846">
        <v>14900260</v>
      </c>
      <c r="X343" s="1109">
        <v>14900260</v>
      </c>
    </row>
    <row r="344" spans="2:24" ht="12.75">
      <c r="B344" s="284"/>
      <c r="C344" s="285"/>
      <c r="D344" s="428"/>
      <c r="E344" s="610" t="s">
        <v>294</v>
      </c>
      <c r="F344" s="611"/>
      <c r="G344" s="612"/>
      <c r="H344" s="1520" t="s">
        <v>1270</v>
      </c>
      <c r="I344" s="1521"/>
      <c r="J344" s="1522"/>
      <c r="K344" s="933" t="e">
        <f>K345+K362+#REF!</f>
        <v>#REF!</v>
      </c>
      <c r="L344" s="1074" t="e">
        <f>L345+L362+#REF!</f>
        <v>#REF!</v>
      </c>
      <c r="M344" s="957">
        <f>'Rashodi-2021'!M381</f>
        <v>14064711</v>
      </c>
      <c r="N344" s="957" t="e">
        <f>'Rashodi-2021'!#REF!</f>
        <v>#REF!</v>
      </c>
      <c r="O344" s="1213">
        <f>'Rashodi-2021'!N381</f>
        <v>180000</v>
      </c>
      <c r="P344" s="1189">
        <f>'Rashodi-2021'!O381</f>
        <v>400000</v>
      </c>
      <c r="Q344" s="1189">
        <f>'Rashodi-2021'!P381</f>
        <v>150000</v>
      </c>
      <c r="R344" s="1189">
        <f>'Rashodi-2021'!Q381</f>
        <v>105549</v>
      </c>
      <c r="S344" s="1189">
        <f>'Rashodi-2021'!R381</f>
        <v>0</v>
      </c>
      <c r="T344" s="1189">
        <f>'Rashodi-2021'!S381</f>
        <v>0</v>
      </c>
      <c r="U344" s="912">
        <f>U345+U362</f>
        <v>835549</v>
      </c>
      <c r="V344" s="1107">
        <f>'Rashodi-2021'!U381</f>
        <v>14900260</v>
      </c>
      <c r="W344" s="848">
        <v>14900260</v>
      </c>
      <c r="X344" s="848">
        <v>14900260</v>
      </c>
    </row>
    <row r="345" spans="2:24" s="356" customFormat="1" ht="12.75" customHeight="1">
      <c r="B345" s="284"/>
      <c r="C345" s="285"/>
      <c r="D345" s="428"/>
      <c r="E345" s="346" t="s">
        <v>295</v>
      </c>
      <c r="F345" s="428"/>
      <c r="G345" s="429"/>
      <c r="H345" s="1489" t="s">
        <v>323</v>
      </c>
      <c r="I345" s="1490"/>
      <c r="J345" s="1491"/>
      <c r="K345" s="916">
        <f>K346</f>
        <v>11617322</v>
      </c>
      <c r="L345" s="1054">
        <f>L346</f>
        <v>6956389.630000001</v>
      </c>
      <c r="M345" s="1128">
        <f>'Rashodi-2021'!M382</f>
        <v>12278711</v>
      </c>
      <c r="N345" s="1128" t="e">
        <f>'Rashodi-2021'!#REF!</f>
        <v>#REF!</v>
      </c>
      <c r="O345" s="1214">
        <f>'Rashodi-2021'!N382</f>
        <v>138000</v>
      </c>
      <c r="P345" s="1194">
        <f>'Rashodi-2021'!O382</f>
        <v>400000</v>
      </c>
      <c r="Q345" s="1194">
        <f>'Rashodi-2021'!P382</f>
        <v>150000</v>
      </c>
      <c r="R345" s="1194">
        <f>'Rashodi-2021'!Q382</f>
        <v>80549</v>
      </c>
      <c r="S345" s="1194">
        <f>'Rashodi-2021'!R382</f>
        <v>0</v>
      </c>
      <c r="T345" s="1194">
        <f>'Rashodi-2021'!S382</f>
        <v>0</v>
      </c>
      <c r="U345" s="1195">
        <f t="shared" si="10"/>
        <v>768549</v>
      </c>
      <c r="V345" s="1196">
        <f>'Rashodi-2021'!U382</f>
        <v>13047260</v>
      </c>
      <c r="W345" s="652">
        <v>13047260</v>
      </c>
      <c r="X345" s="652">
        <v>13047260</v>
      </c>
    </row>
    <row r="346" spans="2:24" s="1139" customFormat="1" ht="12.75">
      <c r="B346" s="1286"/>
      <c r="C346" s="1245"/>
      <c r="D346" s="1247" t="s">
        <v>551</v>
      </c>
      <c r="E346" s="1247"/>
      <c r="F346" s="1248"/>
      <c r="G346" s="1249"/>
      <c r="H346" s="1694" t="s">
        <v>170</v>
      </c>
      <c r="I346" s="1695"/>
      <c r="J346" s="1696"/>
      <c r="K346" s="1250">
        <f>SUM(K347:K361)</f>
        <v>11617322</v>
      </c>
      <c r="L346" s="1221">
        <f>SUM(L347:L361)</f>
        <v>6956389.630000001</v>
      </c>
      <c r="M346" s="1130">
        <f>'Rashodi-2021'!M383</f>
        <v>12278711</v>
      </c>
      <c r="N346" s="1130" t="e">
        <f>'Rashodi-2021'!#REF!</f>
        <v>#REF!</v>
      </c>
      <c r="O346" s="1216">
        <f>'Rashodi-2021'!N383</f>
        <v>138000</v>
      </c>
      <c r="P346" s="1202">
        <f>'Rashodi-2021'!O383</f>
        <v>400000</v>
      </c>
      <c r="Q346" s="1202">
        <f>'Rashodi-2021'!P383</f>
        <v>150000</v>
      </c>
      <c r="R346" s="1202">
        <f>'Rashodi-2021'!Q383</f>
        <v>80549</v>
      </c>
      <c r="S346" s="1202">
        <f>'Rashodi-2021'!R383</f>
        <v>0</v>
      </c>
      <c r="T346" s="1202">
        <f>'Rashodi-2021'!S383</f>
        <v>0</v>
      </c>
      <c r="U346" s="1228">
        <f t="shared" si="10"/>
        <v>768549</v>
      </c>
      <c r="V346" s="1203">
        <f>'Rashodi-2021'!U383</f>
        <v>13047260</v>
      </c>
      <c r="W346" s="1203">
        <v>13047260</v>
      </c>
      <c r="X346" s="1138">
        <v>13047260</v>
      </c>
    </row>
    <row r="347" spans="2:24" s="1139" customFormat="1" ht="12.75">
      <c r="B347" s="1286"/>
      <c r="C347" s="1245"/>
      <c r="D347" s="1248"/>
      <c r="E347" s="1245"/>
      <c r="F347" s="1254">
        <v>265</v>
      </c>
      <c r="G347" s="1255">
        <v>411</v>
      </c>
      <c r="H347" s="1682" t="s">
        <v>27</v>
      </c>
      <c r="I347" s="1683"/>
      <c r="J347" s="1684"/>
      <c r="K347" s="1262">
        <v>5808948</v>
      </c>
      <c r="L347" s="1242">
        <v>3790111.41</v>
      </c>
      <c r="M347" s="1112">
        <f>'Rashodi-2021'!M384</f>
        <v>6099395</v>
      </c>
      <c r="N347" s="1112" t="e">
        <f>'Rashodi-2021'!#REF!</f>
        <v>#REF!</v>
      </c>
      <c r="O347" s="1215">
        <f>'Rashodi-2021'!N384</f>
        <v>0</v>
      </c>
      <c r="P347" s="1208">
        <f>'Rashodi-2021'!O384</f>
        <v>0</v>
      </c>
      <c r="Q347" s="1208">
        <f>'Rashodi-2021'!P384</f>
        <v>0</v>
      </c>
      <c r="R347" s="1208">
        <f>'Rashodi-2021'!Q384</f>
        <v>0</v>
      </c>
      <c r="S347" s="1208">
        <f>'Rashodi-2021'!R384</f>
        <v>0</v>
      </c>
      <c r="T347" s="1208">
        <f>'Rashodi-2021'!S384</f>
        <v>0</v>
      </c>
      <c r="U347" s="1220">
        <f t="shared" si="10"/>
        <v>0</v>
      </c>
      <c r="V347" s="1138">
        <f>'Rashodi-2021'!U384</f>
        <v>6099395</v>
      </c>
      <c r="W347" s="1138">
        <v>6099395</v>
      </c>
      <c r="X347" s="1138">
        <v>6099395</v>
      </c>
    </row>
    <row r="348" spans="2:24" s="1139" customFormat="1" ht="12.75" customHeight="1">
      <c r="B348" s="1286"/>
      <c r="C348" s="1245"/>
      <c r="D348" s="1248"/>
      <c r="E348" s="1245"/>
      <c r="F348" s="1254">
        <v>266</v>
      </c>
      <c r="G348" s="1255">
        <v>412</v>
      </c>
      <c r="H348" s="1682" t="s">
        <v>79</v>
      </c>
      <c r="I348" s="1683"/>
      <c r="J348" s="1684"/>
      <c r="K348" s="1262">
        <v>996234</v>
      </c>
      <c r="L348" s="1242">
        <v>631053.5900000001</v>
      </c>
      <c r="M348" s="1112">
        <f>'Rashodi-2021'!M385</f>
        <v>1046045</v>
      </c>
      <c r="N348" s="1112" t="e">
        <f>'Rashodi-2021'!#REF!</f>
        <v>#REF!</v>
      </c>
      <c r="O348" s="1215">
        <f>'Rashodi-2021'!N385</f>
        <v>0</v>
      </c>
      <c r="P348" s="1208">
        <f>'Rashodi-2021'!O385</f>
        <v>0</v>
      </c>
      <c r="Q348" s="1208">
        <f>'Rashodi-2021'!P385</f>
        <v>0</v>
      </c>
      <c r="R348" s="1208">
        <f>'Rashodi-2021'!Q385</f>
        <v>0</v>
      </c>
      <c r="S348" s="1208">
        <f>'Rashodi-2021'!R385</f>
        <v>0</v>
      </c>
      <c r="T348" s="1208">
        <f>'Rashodi-2021'!S385</f>
        <v>0</v>
      </c>
      <c r="U348" s="1220">
        <f t="shared" si="10"/>
        <v>0</v>
      </c>
      <c r="V348" s="1138">
        <f>'Rashodi-2021'!U385</f>
        <v>1046045</v>
      </c>
      <c r="W348" s="1138">
        <v>1046045</v>
      </c>
      <c r="X348" s="1138">
        <v>1046045</v>
      </c>
    </row>
    <row r="349" spans="2:24" s="1139" customFormat="1" ht="12.75">
      <c r="B349" s="1286"/>
      <c r="C349" s="1245"/>
      <c r="D349" s="1248"/>
      <c r="E349" s="1245"/>
      <c r="F349" s="1254">
        <v>267</v>
      </c>
      <c r="G349" s="1255">
        <v>414</v>
      </c>
      <c r="H349" s="1682" t="s">
        <v>30</v>
      </c>
      <c r="I349" s="1683"/>
      <c r="J349" s="1684"/>
      <c r="K349" s="1262">
        <v>200000</v>
      </c>
      <c r="L349" s="1242">
        <v>0</v>
      </c>
      <c r="M349" s="1112">
        <f>'Rashodi-2021'!M386</f>
        <v>200000</v>
      </c>
      <c r="N349" s="1112" t="e">
        <f>'Rashodi-2021'!#REF!</f>
        <v>#REF!</v>
      </c>
      <c r="O349" s="1215">
        <f>'Rashodi-2021'!N386</f>
        <v>0</v>
      </c>
      <c r="P349" s="1208">
        <f>'Rashodi-2021'!O386</f>
        <v>0</v>
      </c>
      <c r="Q349" s="1208">
        <f>'Rashodi-2021'!P386</f>
        <v>0</v>
      </c>
      <c r="R349" s="1208">
        <f>'Rashodi-2021'!Q386</f>
        <v>0</v>
      </c>
      <c r="S349" s="1208">
        <f>'Rashodi-2021'!R386</f>
        <v>0</v>
      </c>
      <c r="T349" s="1208">
        <f>'Rashodi-2021'!S386</f>
        <v>0</v>
      </c>
      <c r="U349" s="1220">
        <f t="shared" si="10"/>
        <v>0</v>
      </c>
      <c r="V349" s="1138">
        <f>'Rashodi-2021'!U386</f>
        <v>200000</v>
      </c>
      <c r="W349" s="1138">
        <v>200000</v>
      </c>
      <c r="X349" s="1138">
        <v>200000</v>
      </c>
    </row>
    <row r="350" spans="2:24" s="1139" customFormat="1" ht="12.75">
      <c r="B350" s="1286"/>
      <c r="C350" s="1245"/>
      <c r="D350" s="1248"/>
      <c r="E350" s="1245"/>
      <c r="F350" s="1254">
        <v>268</v>
      </c>
      <c r="G350" s="1255">
        <v>415</v>
      </c>
      <c r="H350" s="1682" t="s">
        <v>31</v>
      </c>
      <c r="I350" s="1683"/>
      <c r="J350" s="1684"/>
      <c r="K350" s="1262">
        <v>100000</v>
      </c>
      <c r="L350" s="1242">
        <v>75494</v>
      </c>
      <c r="M350" s="1112">
        <f>'Rashodi-2021'!M387</f>
        <v>870000</v>
      </c>
      <c r="N350" s="1112" t="e">
        <f>'Rashodi-2021'!#REF!</f>
        <v>#REF!</v>
      </c>
      <c r="O350" s="1215">
        <f>'Rashodi-2021'!N387</f>
        <v>0</v>
      </c>
      <c r="P350" s="1208">
        <f>'Rashodi-2021'!O387</f>
        <v>0</v>
      </c>
      <c r="Q350" s="1208">
        <f>'Rashodi-2021'!P387</f>
        <v>0</v>
      </c>
      <c r="R350" s="1208">
        <f>'Rashodi-2021'!Q387</f>
        <v>0</v>
      </c>
      <c r="S350" s="1208">
        <f>'Rashodi-2021'!R387</f>
        <v>0</v>
      </c>
      <c r="T350" s="1208">
        <f>'Rashodi-2021'!S387</f>
        <v>0</v>
      </c>
      <c r="U350" s="1220">
        <f t="shared" si="10"/>
        <v>0</v>
      </c>
      <c r="V350" s="1138">
        <f>'Rashodi-2021'!U387</f>
        <v>870000</v>
      </c>
      <c r="W350" s="1138">
        <v>870000</v>
      </c>
      <c r="X350" s="1138">
        <v>870000</v>
      </c>
    </row>
    <row r="351" spans="2:24" s="1139" customFormat="1" ht="12.75">
      <c r="B351" s="1286"/>
      <c r="C351" s="1245"/>
      <c r="D351" s="1248"/>
      <c r="E351" s="1245"/>
      <c r="F351" s="1254">
        <v>269</v>
      </c>
      <c r="G351" s="1255">
        <v>416</v>
      </c>
      <c r="H351" s="1256" t="s">
        <v>200</v>
      </c>
      <c r="I351" s="1257"/>
      <c r="J351" s="1263"/>
      <c r="K351" s="1262"/>
      <c r="L351" s="1242"/>
      <c r="M351" s="1112">
        <f>'Rashodi-2021'!M388</f>
        <v>400000</v>
      </c>
      <c r="N351" s="1112" t="e">
        <f>'Rashodi-2021'!#REF!</f>
        <v>#REF!</v>
      </c>
      <c r="O351" s="1215">
        <f>'Rashodi-2021'!N388</f>
        <v>0</v>
      </c>
      <c r="P351" s="1208">
        <f>'Rashodi-2021'!O388</f>
        <v>0</v>
      </c>
      <c r="Q351" s="1208">
        <f>'Rashodi-2021'!P388</f>
        <v>0</v>
      </c>
      <c r="R351" s="1208">
        <f>'Rashodi-2021'!Q388</f>
        <v>0</v>
      </c>
      <c r="S351" s="1208">
        <f>'Rashodi-2021'!R388</f>
        <v>0</v>
      </c>
      <c r="T351" s="1208">
        <f>'Rashodi-2021'!S388</f>
        <v>0</v>
      </c>
      <c r="U351" s="1220">
        <f t="shared" si="10"/>
        <v>0</v>
      </c>
      <c r="V351" s="1138">
        <f>'Rashodi-2021'!U388</f>
        <v>400000</v>
      </c>
      <c r="W351" s="1138">
        <v>400000</v>
      </c>
      <c r="X351" s="1138">
        <v>400000</v>
      </c>
    </row>
    <row r="352" spans="2:24" s="1139" customFormat="1" ht="12.75">
      <c r="B352" s="1286"/>
      <c r="C352" s="1245"/>
      <c r="D352" s="1248"/>
      <c r="E352" s="1245"/>
      <c r="F352" s="1254">
        <v>270</v>
      </c>
      <c r="G352" s="1255">
        <v>421</v>
      </c>
      <c r="H352" s="1682" t="s">
        <v>33</v>
      </c>
      <c r="I352" s="1683"/>
      <c r="J352" s="1684"/>
      <c r="K352" s="1262">
        <v>1357606</v>
      </c>
      <c r="L352" s="1242">
        <v>747186.5600000006</v>
      </c>
      <c r="M352" s="1112">
        <f>'Rashodi-2021'!M389</f>
        <v>1837606</v>
      </c>
      <c r="N352" s="1112" t="e">
        <f>'Rashodi-2021'!#REF!</f>
        <v>#REF!</v>
      </c>
      <c r="O352" s="1215">
        <f>'Rashodi-2021'!N389</f>
        <v>23000</v>
      </c>
      <c r="P352" s="1208">
        <f>'Rashodi-2021'!O389</f>
        <v>0</v>
      </c>
      <c r="Q352" s="1208">
        <f>'Rashodi-2021'!P389</f>
        <v>0</v>
      </c>
      <c r="R352" s="1208">
        <f>'Rashodi-2021'!Q389</f>
        <v>0</v>
      </c>
      <c r="S352" s="1208">
        <f>'Rashodi-2021'!R389</f>
        <v>0</v>
      </c>
      <c r="T352" s="1208">
        <f>'Rashodi-2021'!S389</f>
        <v>0</v>
      </c>
      <c r="U352" s="1220">
        <f t="shared" si="10"/>
        <v>23000</v>
      </c>
      <c r="V352" s="1138">
        <f>'Rashodi-2021'!U389</f>
        <v>1860606</v>
      </c>
      <c r="W352" s="1138">
        <v>1860606</v>
      </c>
      <c r="X352" s="1138">
        <v>1860606</v>
      </c>
    </row>
    <row r="353" spans="2:24" s="1139" customFormat="1" ht="12.75">
      <c r="B353" s="1286"/>
      <c r="C353" s="1245"/>
      <c r="D353" s="1248"/>
      <c r="E353" s="1245"/>
      <c r="F353" s="1254">
        <v>271</v>
      </c>
      <c r="G353" s="1255">
        <v>422</v>
      </c>
      <c r="H353" s="1682" t="s">
        <v>34</v>
      </c>
      <c r="I353" s="1683"/>
      <c r="J353" s="1684"/>
      <c r="K353" s="1262">
        <v>100000</v>
      </c>
      <c r="L353" s="1242">
        <v>15698</v>
      </c>
      <c r="M353" s="1112">
        <f>'Rashodi-2021'!M390</f>
        <v>50000</v>
      </c>
      <c r="N353" s="1112" t="e">
        <f>'Rashodi-2021'!#REF!</f>
        <v>#REF!</v>
      </c>
      <c r="O353" s="1215">
        <f>'Rashodi-2021'!N390</f>
        <v>10000</v>
      </c>
      <c r="P353" s="1208">
        <f>'Rashodi-2021'!O390</f>
        <v>0</v>
      </c>
      <c r="Q353" s="1208">
        <f>'Rashodi-2021'!P390</f>
        <v>0</v>
      </c>
      <c r="R353" s="1208">
        <f>'Rashodi-2021'!Q390</f>
        <v>0</v>
      </c>
      <c r="S353" s="1208">
        <f>'Rashodi-2021'!R390</f>
        <v>0</v>
      </c>
      <c r="T353" s="1208">
        <f>'Rashodi-2021'!S390</f>
        <v>0</v>
      </c>
      <c r="U353" s="1220">
        <f t="shared" si="10"/>
        <v>10000</v>
      </c>
      <c r="V353" s="1138">
        <f>'Rashodi-2021'!U390</f>
        <v>60000</v>
      </c>
      <c r="W353" s="1138">
        <v>60000</v>
      </c>
      <c r="X353" s="1138">
        <v>60000</v>
      </c>
    </row>
    <row r="354" spans="2:24" s="1139" customFormat="1" ht="12.75">
      <c r="B354" s="1286"/>
      <c r="C354" s="1245"/>
      <c r="D354" s="1248"/>
      <c r="E354" s="1245"/>
      <c r="F354" s="1254">
        <v>272</v>
      </c>
      <c r="G354" s="1255">
        <v>423</v>
      </c>
      <c r="H354" s="1685" t="s">
        <v>35</v>
      </c>
      <c r="I354" s="1686"/>
      <c r="J354" s="1687"/>
      <c r="K354" s="1262">
        <v>920500</v>
      </c>
      <c r="L354" s="1242">
        <v>180930</v>
      </c>
      <c r="M354" s="1112">
        <f>'Rashodi-2021'!M391</f>
        <v>530500</v>
      </c>
      <c r="N354" s="1112" t="e">
        <f>'Rashodi-2021'!#REF!</f>
        <v>#REF!</v>
      </c>
      <c r="O354" s="1215">
        <f>'Rashodi-2021'!N391</f>
        <v>10000</v>
      </c>
      <c r="P354" s="1208">
        <f>'Rashodi-2021'!O391</f>
        <v>0</v>
      </c>
      <c r="Q354" s="1208">
        <f>'Rashodi-2021'!P391</f>
        <v>0</v>
      </c>
      <c r="R354" s="1208">
        <f>'Rashodi-2021'!Q391</f>
        <v>20549</v>
      </c>
      <c r="S354" s="1208">
        <f>'Rashodi-2021'!R391</f>
        <v>0</v>
      </c>
      <c r="T354" s="1208">
        <f>'Rashodi-2021'!S391</f>
        <v>0</v>
      </c>
      <c r="U354" s="1220">
        <f t="shared" si="10"/>
        <v>30549</v>
      </c>
      <c r="V354" s="1138">
        <f>'Rashodi-2021'!U391</f>
        <v>561049</v>
      </c>
      <c r="W354" s="1138">
        <v>561049</v>
      </c>
      <c r="X354" s="1138">
        <v>561049</v>
      </c>
    </row>
    <row r="355" spans="2:24" s="1139" customFormat="1" ht="12.75">
      <c r="B355" s="1286"/>
      <c r="C355" s="1245"/>
      <c r="D355" s="1248"/>
      <c r="E355" s="1245"/>
      <c r="F355" s="1254">
        <v>273</v>
      </c>
      <c r="G355" s="1255">
        <v>423</v>
      </c>
      <c r="H355" s="1685" t="s">
        <v>1406</v>
      </c>
      <c r="I355" s="1686"/>
      <c r="J355" s="1687"/>
      <c r="K355" s="1262">
        <v>10534</v>
      </c>
      <c r="L355" s="1242">
        <v>0</v>
      </c>
      <c r="M355" s="1112">
        <f>'Rashodi-2021'!M392</f>
        <v>10534</v>
      </c>
      <c r="N355" s="1112" t="e">
        <f>'Rashodi-2021'!#REF!</f>
        <v>#REF!</v>
      </c>
      <c r="O355" s="1215">
        <f>'Rashodi-2021'!N392</f>
        <v>0</v>
      </c>
      <c r="P355" s="1208">
        <f>'Rashodi-2021'!O392</f>
        <v>0</v>
      </c>
      <c r="Q355" s="1208">
        <f>'Rashodi-2021'!P392</f>
        <v>0</v>
      </c>
      <c r="R355" s="1208">
        <f>'Rashodi-2021'!Q392</f>
        <v>0</v>
      </c>
      <c r="S355" s="1208">
        <f>'Rashodi-2021'!R392</f>
        <v>0</v>
      </c>
      <c r="T355" s="1208">
        <f>'Rashodi-2021'!S392</f>
        <v>0</v>
      </c>
      <c r="U355" s="1220">
        <f t="shared" si="10"/>
        <v>0</v>
      </c>
      <c r="V355" s="1138">
        <f>'Rashodi-2021'!U392</f>
        <v>10534</v>
      </c>
      <c r="W355" s="1138">
        <v>10534</v>
      </c>
      <c r="X355" s="1138">
        <v>10534</v>
      </c>
    </row>
    <row r="356" spans="2:24" s="1139" customFormat="1" ht="12.75">
      <c r="B356" s="1286"/>
      <c r="C356" s="1245"/>
      <c r="D356" s="1248"/>
      <c r="E356" s="1245"/>
      <c r="F356" s="1254">
        <v>274</v>
      </c>
      <c r="G356" s="1255">
        <v>424</v>
      </c>
      <c r="H356" s="1682" t="s">
        <v>36</v>
      </c>
      <c r="I356" s="1683"/>
      <c r="J356" s="1684"/>
      <c r="K356" s="1262">
        <v>87000</v>
      </c>
      <c r="L356" s="1242">
        <v>5280</v>
      </c>
      <c r="M356" s="1112">
        <f>'Rashodi-2021'!M393</f>
        <v>107000</v>
      </c>
      <c r="N356" s="1112" t="e">
        <f>'Rashodi-2021'!#REF!</f>
        <v>#REF!</v>
      </c>
      <c r="O356" s="1215">
        <f>'Rashodi-2021'!N393</f>
        <v>20000</v>
      </c>
      <c r="P356" s="1208">
        <f>'Rashodi-2021'!O393</f>
        <v>0</v>
      </c>
      <c r="Q356" s="1208">
        <f>'Rashodi-2021'!P393</f>
        <v>60000</v>
      </c>
      <c r="R356" s="1208">
        <f>'Rashodi-2021'!Q393</f>
        <v>0</v>
      </c>
      <c r="S356" s="1208">
        <f>'Rashodi-2021'!R393</f>
        <v>0</v>
      </c>
      <c r="T356" s="1208">
        <f>'Rashodi-2021'!S393</f>
        <v>0</v>
      </c>
      <c r="U356" s="1220">
        <f t="shared" si="10"/>
        <v>80000</v>
      </c>
      <c r="V356" s="1138">
        <f>'Rashodi-2021'!U393</f>
        <v>187000</v>
      </c>
      <c r="W356" s="1138">
        <v>187000</v>
      </c>
      <c r="X356" s="1138">
        <v>187000</v>
      </c>
    </row>
    <row r="357" spans="2:24" s="1139" customFormat="1" ht="12.75">
      <c r="B357" s="1286"/>
      <c r="C357" s="1245"/>
      <c r="D357" s="1248"/>
      <c r="E357" s="1245"/>
      <c r="F357" s="1254">
        <v>275</v>
      </c>
      <c r="G357" s="1255">
        <v>425</v>
      </c>
      <c r="H357" s="1682" t="s">
        <v>91</v>
      </c>
      <c r="I357" s="1683"/>
      <c r="J357" s="1684"/>
      <c r="K357" s="1262">
        <v>160000</v>
      </c>
      <c r="L357" s="1242">
        <v>31178.79</v>
      </c>
      <c r="M357" s="1112">
        <f>'Rashodi-2021'!M394</f>
        <v>160000</v>
      </c>
      <c r="N357" s="1112" t="e">
        <f>'Rashodi-2021'!#REF!</f>
        <v>#REF!</v>
      </c>
      <c r="O357" s="1215">
        <f>'Rashodi-2021'!N394</f>
        <v>5000</v>
      </c>
      <c r="P357" s="1208">
        <f>'Rashodi-2021'!O394</f>
        <v>0</v>
      </c>
      <c r="Q357" s="1208">
        <f>'Rashodi-2021'!P394</f>
        <v>0</v>
      </c>
      <c r="R357" s="1208">
        <f>'Rashodi-2021'!Q394</f>
        <v>0</v>
      </c>
      <c r="S357" s="1208">
        <f>'Rashodi-2021'!R394</f>
        <v>0</v>
      </c>
      <c r="T357" s="1208">
        <f>'Rashodi-2021'!S394</f>
        <v>0</v>
      </c>
      <c r="U357" s="1220">
        <f t="shared" si="10"/>
        <v>5000</v>
      </c>
      <c r="V357" s="1138">
        <f>'Rashodi-2021'!U394</f>
        <v>165000</v>
      </c>
      <c r="W357" s="1138">
        <v>165000</v>
      </c>
      <c r="X357" s="1138">
        <v>165000</v>
      </c>
    </row>
    <row r="358" spans="2:24" s="1139" customFormat="1" ht="12.75">
      <c r="B358" s="1286"/>
      <c r="C358" s="1245"/>
      <c r="D358" s="1248"/>
      <c r="E358" s="1245"/>
      <c r="F358" s="1254">
        <v>276</v>
      </c>
      <c r="G358" s="1255">
        <v>426</v>
      </c>
      <c r="H358" s="1682" t="s">
        <v>38</v>
      </c>
      <c r="I358" s="1683"/>
      <c r="J358" s="1684"/>
      <c r="K358" s="1262">
        <v>385000</v>
      </c>
      <c r="L358" s="1242">
        <v>202521.83</v>
      </c>
      <c r="M358" s="1112">
        <f>'Rashodi-2021'!M395</f>
        <v>426131</v>
      </c>
      <c r="N358" s="1112" t="e">
        <f>'Rashodi-2021'!#REF!</f>
        <v>#REF!</v>
      </c>
      <c r="O358" s="1215">
        <f>'Rashodi-2021'!N395</f>
        <v>39500</v>
      </c>
      <c r="P358" s="1208">
        <f>'Rashodi-2021'!O395</f>
        <v>0</v>
      </c>
      <c r="Q358" s="1208">
        <f>'Rashodi-2021'!P395</f>
        <v>0</v>
      </c>
      <c r="R358" s="1208">
        <f>'Rashodi-2021'!Q395</f>
        <v>0</v>
      </c>
      <c r="S358" s="1208">
        <f>'Rashodi-2021'!R395</f>
        <v>0</v>
      </c>
      <c r="T358" s="1208">
        <f>'Rashodi-2021'!S395</f>
        <v>0</v>
      </c>
      <c r="U358" s="1220">
        <f t="shared" si="10"/>
        <v>39500</v>
      </c>
      <c r="V358" s="1138">
        <f>'Rashodi-2021'!U395</f>
        <v>465631</v>
      </c>
      <c r="W358" s="1138">
        <v>465631</v>
      </c>
      <c r="X358" s="1138">
        <v>465631</v>
      </c>
    </row>
    <row r="359" spans="2:24" s="1139" customFormat="1" ht="12.75">
      <c r="B359" s="1286"/>
      <c r="C359" s="1245"/>
      <c r="D359" s="1248"/>
      <c r="E359" s="1245"/>
      <c r="F359" s="1254">
        <v>277</v>
      </c>
      <c r="G359" s="1255">
        <v>482</v>
      </c>
      <c r="H359" s="1682" t="s">
        <v>82</v>
      </c>
      <c r="I359" s="1683"/>
      <c r="J359" s="1684"/>
      <c r="K359" s="1262">
        <v>41500</v>
      </c>
      <c r="L359" s="1242">
        <v>6069</v>
      </c>
      <c r="M359" s="1112">
        <f>'Rashodi-2021'!M396</f>
        <v>41500</v>
      </c>
      <c r="N359" s="1112" t="e">
        <f>'Rashodi-2021'!#REF!</f>
        <v>#REF!</v>
      </c>
      <c r="O359" s="1215">
        <f>'Rashodi-2021'!N396</f>
        <v>1500</v>
      </c>
      <c r="P359" s="1208">
        <f>'Rashodi-2021'!O396</f>
        <v>0</v>
      </c>
      <c r="Q359" s="1208">
        <f>'Rashodi-2021'!P396</f>
        <v>0</v>
      </c>
      <c r="R359" s="1208">
        <f>'Rashodi-2021'!Q396</f>
        <v>0</v>
      </c>
      <c r="S359" s="1208">
        <f>'Rashodi-2021'!R396</f>
        <v>0</v>
      </c>
      <c r="T359" s="1208">
        <f>'Rashodi-2021'!S396</f>
        <v>0</v>
      </c>
      <c r="U359" s="1220">
        <f t="shared" si="10"/>
        <v>1500</v>
      </c>
      <c r="V359" s="1138">
        <f>'Rashodi-2021'!U396</f>
        <v>43000</v>
      </c>
      <c r="W359" s="1138">
        <v>43000</v>
      </c>
      <c r="X359" s="1138">
        <v>43000</v>
      </c>
    </row>
    <row r="360" spans="2:24" s="1139" customFormat="1" ht="12.75">
      <c r="B360" s="1286"/>
      <c r="C360" s="1245"/>
      <c r="D360" s="1248"/>
      <c r="E360" s="1245"/>
      <c r="F360" s="1254">
        <v>278</v>
      </c>
      <c r="G360" s="1255">
        <v>512</v>
      </c>
      <c r="H360" s="1682" t="s">
        <v>83</v>
      </c>
      <c r="I360" s="1683"/>
      <c r="J360" s="1684"/>
      <c r="K360" s="1262">
        <v>1350000</v>
      </c>
      <c r="L360" s="1242">
        <v>1211520</v>
      </c>
      <c r="M360" s="1112">
        <f>'Rashodi-2021'!M397</f>
        <v>350000</v>
      </c>
      <c r="N360" s="1112" t="e">
        <f>'Rashodi-2021'!#REF!</f>
        <v>#REF!</v>
      </c>
      <c r="O360" s="1215">
        <f>'Rashodi-2021'!N397</f>
        <v>9000</v>
      </c>
      <c r="P360" s="1208">
        <f>'Rashodi-2021'!O397</f>
        <v>400000</v>
      </c>
      <c r="Q360" s="1208">
        <f>'Rashodi-2021'!P397</f>
        <v>0</v>
      </c>
      <c r="R360" s="1208">
        <f>'Rashodi-2021'!Q397</f>
        <v>30000</v>
      </c>
      <c r="S360" s="1208">
        <f>'Rashodi-2021'!R397</f>
        <v>0</v>
      </c>
      <c r="T360" s="1208">
        <f>'Rashodi-2021'!S397</f>
        <v>0</v>
      </c>
      <c r="U360" s="1205">
        <f t="shared" si="10"/>
        <v>439000</v>
      </c>
      <c r="V360" s="1138">
        <f>'Rashodi-2021'!U397</f>
        <v>789000</v>
      </c>
      <c r="W360" s="1138">
        <v>789000</v>
      </c>
      <c r="X360" s="1138">
        <v>789000</v>
      </c>
    </row>
    <row r="361" spans="2:24" s="1139" customFormat="1" ht="12.75">
      <c r="B361" s="1286"/>
      <c r="C361" s="1245"/>
      <c r="D361" s="1248"/>
      <c r="E361" s="1245"/>
      <c r="F361" s="1254">
        <v>279</v>
      </c>
      <c r="G361" s="1255">
        <v>515</v>
      </c>
      <c r="H361" s="1682" t="s">
        <v>209</v>
      </c>
      <c r="I361" s="1683"/>
      <c r="J361" s="1684"/>
      <c r="K361" s="1262">
        <v>100000</v>
      </c>
      <c r="L361" s="1242">
        <v>59346.45</v>
      </c>
      <c r="M361" s="1112">
        <f>'Rashodi-2021'!M398</f>
        <v>150000</v>
      </c>
      <c r="N361" s="1112" t="e">
        <f>'Rashodi-2021'!#REF!</f>
        <v>#REF!</v>
      </c>
      <c r="O361" s="1215">
        <f>'Rashodi-2021'!N398</f>
        <v>20000</v>
      </c>
      <c r="P361" s="1208">
        <f>'Rashodi-2021'!O398</f>
        <v>0</v>
      </c>
      <c r="Q361" s="1208">
        <f>'Rashodi-2021'!P398</f>
        <v>90000</v>
      </c>
      <c r="R361" s="1208">
        <f>'Rashodi-2021'!Q398</f>
        <v>30000</v>
      </c>
      <c r="S361" s="1208">
        <f>'Rashodi-2021'!R398</f>
        <v>0</v>
      </c>
      <c r="T361" s="1208">
        <f>'Rashodi-2021'!S398</f>
        <v>0</v>
      </c>
      <c r="U361" s="1205">
        <f t="shared" si="10"/>
        <v>140000</v>
      </c>
      <c r="V361" s="1138">
        <f>'Rashodi-2021'!U398</f>
        <v>290000</v>
      </c>
      <c r="W361" s="1138">
        <v>290000</v>
      </c>
      <c r="X361" s="1138">
        <v>290000</v>
      </c>
    </row>
    <row r="362" spans="2:28" s="356" customFormat="1" ht="15" customHeight="1">
      <c r="B362" s="284"/>
      <c r="C362" s="285"/>
      <c r="D362" s="428"/>
      <c r="E362" s="346" t="s">
        <v>309</v>
      </c>
      <c r="F362" s="428"/>
      <c r="G362" s="429"/>
      <c r="H362" s="1625" t="s">
        <v>1336</v>
      </c>
      <c r="I362" s="1626"/>
      <c r="J362" s="1627"/>
      <c r="K362" s="946">
        <f>SUM(K364:K366)</f>
        <v>1896000</v>
      </c>
      <c r="L362" s="1127">
        <f>SUM(L364:L366)</f>
        <v>385384.04</v>
      </c>
      <c r="M362" s="1128">
        <f>'Rashodi-2021'!M399</f>
        <v>1786000</v>
      </c>
      <c r="N362" s="1128" t="e">
        <f>'Rashodi-2021'!#REF!</f>
        <v>#REF!</v>
      </c>
      <c r="O362" s="1214">
        <f>'Rashodi-2021'!N399</f>
        <v>42000</v>
      </c>
      <c r="P362" s="1194">
        <f>'Rashodi-2021'!O399</f>
        <v>0</v>
      </c>
      <c r="Q362" s="1194">
        <f>'Rashodi-2021'!P399</f>
        <v>0</v>
      </c>
      <c r="R362" s="1194">
        <f>'Rashodi-2021'!Q399</f>
        <v>25000</v>
      </c>
      <c r="S362" s="1194">
        <f>'Rashodi-2021'!R399</f>
        <v>0</v>
      </c>
      <c r="T362" s="1194">
        <f>'Rashodi-2021'!S399</f>
        <v>0</v>
      </c>
      <c r="U362" s="1195">
        <f aca="true" t="shared" si="11" ref="U362:U386">SUM(O362:T362)</f>
        <v>67000</v>
      </c>
      <c r="V362" s="1196">
        <f>'Rashodi-2021'!U399</f>
        <v>1853000</v>
      </c>
      <c r="W362" s="841">
        <v>1853000</v>
      </c>
      <c r="X362" s="652">
        <v>1853000</v>
      </c>
      <c r="AB362" s="806"/>
    </row>
    <row r="363" spans="2:29" s="1139" customFormat="1" ht="12.75">
      <c r="B363" s="1286"/>
      <c r="C363" s="1245"/>
      <c r="D363" s="1247" t="s">
        <v>551</v>
      </c>
      <c r="E363" s="1247"/>
      <c r="F363" s="1248"/>
      <c r="G363" s="1249"/>
      <c r="H363" s="1251" t="s">
        <v>170</v>
      </c>
      <c r="I363" s="1252"/>
      <c r="J363" s="1253"/>
      <c r="K363" s="1250">
        <f>SUM(K364:K366)</f>
        <v>1896000</v>
      </c>
      <c r="L363" s="1221">
        <f>SUM(L364:L366)</f>
        <v>385384.04</v>
      </c>
      <c r="M363" s="1130">
        <f>'Rashodi-2021'!M400</f>
        <v>1786000</v>
      </c>
      <c r="N363" s="1130" t="e">
        <f>'Rashodi-2021'!#REF!</f>
        <v>#REF!</v>
      </c>
      <c r="O363" s="1216">
        <f>'Rashodi-2021'!N400</f>
        <v>42000</v>
      </c>
      <c r="P363" s="1202">
        <f>'Rashodi-2021'!O400</f>
        <v>0</v>
      </c>
      <c r="Q363" s="1202">
        <f>'Rashodi-2021'!P400</f>
        <v>0</v>
      </c>
      <c r="R363" s="1202">
        <f>'Rashodi-2021'!Q400</f>
        <v>25000</v>
      </c>
      <c r="S363" s="1202">
        <f>'Rashodi-2021'!R400</f>
        <v>0</v>
      </c>
      <c r="T363" s="1202">
        <f>'Rashodi-2021'!S400</f>
        <v>0</v>
      </c>
      <c r="U363" s="1204">
        <f t="shared" si="11"/>
        <v>67000</v>
      </c>
      <c r="V363" s="1203">
        <f>'Rashodi-2021'!U400</f>
        <v>1853000</v>
      </c>
      <c r="W363" s="1203">
        <v>1853000</v>
      </c>
      <c r="X363" s="1138">
        <v>1853000</v>
      </c>
      <c r="AA363" s="1305"/>
      <c r="AB363" s="1398"/>
      <c r="AC363" s="1305"/>
    </row>
    <row r="364" spans="2:28" s="1139" customFormat="1" ht="12.75">
      <c r="B364" s="1286"/>
      <c r="C364" s="1245"/>
      <c r="D364" s="1248"/>
      <c r="E364" s="1245"/>
      <c r="F364" s="1254">
        <v>280</v>
      </c>
      <c r="G364" s="1255">
        <v>423</v>
      </c>
      <c r="H364" s="1682" t="s">
        <v>35</v>
      </c>
      <c r="I364" s="1683"/>
      <c r="J364" s="1684"/>
      <c r="K364" s="1262">
        <v>1035000</v>
      </c>
      <c r="L364" s="1242">
        <v>230170</v>
      </c>
      <c r="M364" s="1112">
        <f>'Rashodi-2021'!M401</f>
        <v>825000</v>
      </c>
      <c r="N364" s="1112" t="e">
        <f>'Rashodi-2021'!#REF!</f>
        <v>#REF!</v>
      </c>
      <c r="O364" s="1215">
        <f>'Rashodi-2021'!N401</f>
        <v>20000</v>
      </c>
      <c r="P364" s="1208">
        <f>'Rashodi-2021'!O401</f>
        <v>0</v>
      </c>
      <c r="Q364" s="1208">
        <f>'Rashodi-2021'!P401</f>
        <v>0</v>
      </c>
      <c r="R364" s="1208">
        <f>'Rashodi-2021'!Q401</f>
        <v>3000</v>
      </c>
      <c r="S364" s="1208">
        <f>'Rashodi-2021'!R401</f>
        <v>0</v>
      </c>
      <c r="T364" s="1208">
        <f>'Rashodi-2021'!S401</f>
        <v>0</v>
      </c>
      <c r="U364" s="1205">
        <f t="shared" si="11"/>
        <v>23000</v>
      </c>
      <c r="V364" s="1138">
        <f>'Rashodi-2021'!U401</f>
        <v>848000</v>
      </c>
      <c r="W364" s="1261">
        <v>848000</v>
      </c>
      <c r="X364" s="1138">
        <v>848000</v>
      </c>
      <c r="AA364" s="1305"/>
      <c r="AB364" s="1400"/>
    </row>
    <row r="365" spans="2:29" s="1139" customFormat="1" ht="12.75">
      <c r="B365" s="1286"/>
      <c r="C365" s="1245"/>
      <c r="D365" s="1248"/>
      <c r="E365" s="1245"/>
      <c r="F365" s="1254">
        <v>281</v>
      </c>
      <c r="G365" s="1255">
        <v>424</v>
      </c>
      <c r="H365" s="1256" t="s">
        <v>36</v>
      </c>
      <c r="I365" s="1257"/>
      <c r="J365" s="1263"/>
      <c r="K365" s="1262">
        <v>630000</v>
      </c>
      <c r="L365" s="1242">
        <v>121400</v>
      </c>
      <c r="M365" s="1112">
        <f>'Rashodi-2021'!M402</f>
        <v>730000</v>
      </c>
      <c r="N365" s="1112" t="e">
        <f>'Rashodi-2021'!#REF!</f>
        <v>#REF!</v>
      </c>
      <c r="O365" s="1215">
        <f>'Rashodi-2021'!N402</f>
        <v>10000</v>
      </c>
      <c r="P365" s="1208">
        <f>'Rashodi-2021'!O402</f>
        <v>0</v>
      </c>
      <c r="Q365" s="1208">
        <f>'Rashodi-2021'!P402</f>
        <v>0</v>
      </c>
      <c r="R365" s="1208">
        <f>'Rashodi-2021'!Q402</f>
        <v>0</v>
      </c>
      <c r="S365" s="1208">
        <f>'Rashodi-2021'!R402</f>
        <v>0</v>
      </c>
      <c r="T365" s="1208">
        <f>'Rashodi-2021'!S402</f>
        <v>0</v>
      </c>
      <c r="U365" s="1205">
        <f t="shared" si="11"/>
        <v>10000</v>
      </c>
      <c r="V365" s="1138">
        <f>'Rashodi-2021'!U402</f>
        <v>740000</v>
      </c>
      <c r="W365" s="1261">
        <v>740000</v>
      </c>
      <c r="X365" s="1138">
        <v>740000</v>
      </c>
      <c r="AA365" s="1305"/>
      <c r="AB365" s="1401"/>
      <c r="AC365" s="1305"/>
    </row>
    <row r="366" spans="2:29" s="1139" customFormat="1" ht="15.75">
      <c r="B366" s="1286"/>
      <c r="C366" s="1245"/>
      <c r="D366" s="1248"/>
      <c r="E366" s="1245"/>
      <c r="F366" s="1254">
        <v>282</v>
      </c>
      <c r="G366" s="1255">
        <v>426</v>
      </c>
      <c r="H366" s="1256" t="s">
        <v>38</v>
      </c>
      <c r="I366" s="1257"/>
      <c r="J366" s="1263"/>
      <c r="K366" s="1262">
        <v>231000</v>
      </c>
      <c r="L366" s="1242">
        <v>33814.03999999999</v>
      </c>
      <c r="M366" s="1112">
        <f>'Rashodi-2021'!M403</f>
        <v>231000</v>
      </c>
      <c r="N366" s="1112" t="e">
        <f>'Rashodi-2021'!#REF!</f>
        <v>#REF!</v>
      </c>
      <c r="O366" s="1215">
        <f>'Rashodi-2021'!N403</f>
        <v>12000</v>
      </c>
      <c r="P366" s="1208">
        <f>'Rashodi-2021'!O403</f>
        <v>0</v>
      </c>
      <c r="Q366" s="1208">
        <f>'Rashodi-2021'!P403</f>
        <v>0</v>
      </c>
      <c r="R366" s="1208">
        <f>'Rashodi-2021'!Q403</f>
        <v>22000</v>
      </c>
      <c r="S366" s="1208">
        <f>'Rashodi-2021'!R403</f>
        <v>0</v>
      </c>
      <c r="T366" s="1208">
        <f>'Rashodi-2021'!S403</f>
        <v>0</v>
      </c>
      <c r="U366" s="1205">
        <f t="shared" si="11"/>
        <v>34000</v>
      </c>
      <c r="V366" s="1138">
        <f>'Rashodi-2021'!U403</f>
        <v>265000</v>
      </c>
      <c r="W366" s="1261">
        <v>265000</v>
      </c>
      <c r="X366" s="1138">
        <v>265000</v>
      </c>
      <c r="AA366" s="1305"/>
      <c r="AB366" s="1399"/>
      <c r="AC366" s="1305"/>
    </row>
    <row r="367" spans="2:28" s="356" customFormat="1" ht="12.75">
      <c r="B367" s="51"/>
      <c r="C367" s="52" t="s">
        <v>1299</v>
      </c>
      <c r="D367" s="53"/>
      <c r="E367" s="282"/>
      <c r="F367" s="527"/>
      <c r="G367" s="528"/>
      <c r="H367" s="1632" t="s">
        <v>117</v>
      </c>
      <c r="I367" s="1633"/>
      <c r="J367" s="1634"/>
      <c r="K367" s="951" t="e">
        <f>#REF!+#REF!+#REF!+#REF!+#REF!+#REF!+#REF!</f>
        <v>#REF!</v>
      </c>
      <c r="L367" s="1084" t="e">
        <f>#REF!+#REF!+#REF!+#REF!+#REF!+#REF!+#REF!</f>
        <v>#REF!</v>
      </c>
      <c r="M367" s="1408">
        <f>'Rashodi-2021'!M404</f>
        <v>17678781</v>
      </c>
      <c r="N367" s="1408" t="e">
        <f>'Rashodi-2021'!#REF!</f>
        <v>#REF!</v>
      </c>
      <c r="O367" s="1409">
        <f>'Rashodi-2021'!N404</f>
        <v>0</v>
      </c>
      <c r="P367" s="1410">
        <f>'Rashodi-2021'!O404</f>
        <v>0</v>
      </c>
      <c r="Q367" s="1410">
        <f>'Rashodi-2021'!P404</f>
        <v>1484366</v>
      </c>
      <c r="R367" s="1410">
        <f>'Rashodi-2021'!Q404</f>
        <v>2200349</v>
      </c>
      <c r="S367" s="1410">
        <f>'Rashodi-2021'!R404</f>
        <v>0</v>
      </c>
      <c r="T367" s="1410">
        <f>'Rashodi-2021'!S404</f>
        <v>0</v>
      </c>
      <c r="U367" s="1411">
        <f t="shared" si="11"/>
        <v>3684715</v>
      </c>
      <c r="V367" s="1412">
        <f>M367+O367+P367+Q367+R367+S367</f>
        <v>21363496</v>
      </c>
      <c r="W367" s="846">
        <v>21363496</v>
      </c>
      <c r="X367" s="1109">
        <v>21363496</v>
      </c>
      <c r="AA367" s="456"/>
      <c r="AB367" s="801"/>
    </row>
    <row r="368" spans="2:24" s="638" customFormat="1" ht="12.75">
      <c r="B368" s="634"/>
      <c r="C368" s="635"/>
      <c r="D368" s="611"/>
      <c r="E368" s="610" t="s">
        <v>284</v>
      </c>
      <c r="F368" s="611"/>
      <c r="G368" s="612"/>
      <c r="H368" s="1529" t="s">
        <v>285</v>
      </c>
      <c r="I368" s="1530"/>
      <c r="J368" s="1531"/>
      <c r="K368" s="933">
        <f>K369</f>
        <v>5123000</v>
      </c>
      <c r="L368" s="1074">
        <f>L369</f>
        <v>2372658.38</v>
      </c>
      <c r="M368" s="957">
        <f>M369</f>
        <v>17064781</v>
      </c>
      <c r="N368" s="957" t="e">
        <f>N369</f>
        <v>#REF!</v>
      </c>
      <c r="O368" s="1213">
        <f>'Rashodi-2021'!N417</f>
        <v>0</v>
      </c>
      <c r="P368" s="1189">
        <f>'Rashodi-2021'!O417</f>
        <v>0</v>
      </c>
      <c r="Q368" s="1189">
        <f>'Rashodi-2021'!P417</f>
        <v>0</v>
      </c>
      <c r="R368" s="1189">
        <f>'Rashodi-2021'!Q417</f>
        <v>751349</v>
      </c>
      <c r="S368" s="1189">
        <f>'Rashodi-2021'!R417</f>
        <v>0</v>
      </c>
      <c r="T368" s="1189">
        <f>'Rashodi-2021'!S417</f>
        <v>0</v>
      </c>
      <c r="U368" s="1190">
        <f t="shared" si="11"/>
        <v>751349</v>
      </c>
      <c r="V368" s="1107">
        <f>V367</f>
        <v>21363496</v>
      </c>
      <c r="W368" s="848">
        <v>21363496</v>
      </c>
      <c r="X368" s="848">
        <v>21363496</v>
      </c>
    </row>
    <row r="369" spans="2:24" ht="12.75" customHeight="1">
      <c r="B369" s="284"/>
      <c r="C369" s="285"/>
      <c r="D369" s="428"/>
      <c r="E369" s="346" t="s">
        <v>302</v>
      </c>
      <c r="F369" s="428"/>
      <c r="G369" s="429"/>
      <c r="H369" s="1537" t="s">
        <v>1337</v>
      </c>
      <c r="I369" s="1538"/>
      <c r="J369" s="1539"/>
      <c r="K369" s="937">
        <f>K370</f>
        <v>5123000</v>
      </c>
      <c r="L369" s="1080">
        <f>L370</f>
        <v>2372658.38</v>
      </c>
      <c r="M369" s="1128">
        <f>M371+M372+M373+M374+M375+M376+M377+M378+M379+M380+M381+M382+M383+M384+M385+M386+M387</f>
        <v>17064781</v>
      </c>
      <c r="N369" s="1128" t="e">
        <f aca="true" t="shared" si="12" ref="N369:T369">N371+N372+N373+N374+N375+N376+N377+N378+N379+N380+N381+N382+N383+N384+N385+N386+N387</f>
        <v>#REF!</v>
      </c>
      <c r="O369" s="1128">
        <f t="shared" si="12"/>
        <v>0</v>
      </c>
      <c r="P369" s="1128">
        <f t="shared" si="12"/>
        <v>0</v>
      </c>
      <c r="Q369" s="1128">
        <f t="shared" si="12"/>
        <v>0</v>
      </c>
      <c r="R369" s="1128">
        <f t="shared" si="12"/>
        <v>751349</v>
      </c>
      <c r="S369" s="1128">
        <f t="shared" si="12"/>
        <v>0</v>
      </c>
      <c r="T369" s="1128">
        <f t="shared" si="12"/>
        <v>0</v>
      </c>
      <c r="U369" s="1195">
        <f t="shared" si="11"/>
        <v>751349</v>
      </c>
      <c r="V369" s="1196">
        <f>V368</f>
        <v>21363496</v>
      </c>
      <c r="W369" s="652">
        <v>21363496</v>
      </c>
      <c r="X369" s="652">
        <v>21363496</v>
      </c>
    </row>
    <row r="370" spans="2:24" s="1139" customFormat="1" ht="12.75" customHeight="1">
      <c r="B370" s="1286"/>
      <c r="C370" s="1245"/>
      <c r="D370" s="1247" t="s">
        <v>278</v>
      </c>
      <c r="E370" s="1247"/>
      <c r="F370" s="1248"/>
      <c r="G370" s="1249"/>
      <c r="H370" s="1694" t="s">
        <v>119</v>
      </c>
      <c r="I370" s="1695"/>
      <c r="J370" s="1258"/>
      <c r="K370" s="1259">
        <f>SUM(K371:K386)</f>
        <v>5123000</v>
      </c>
      <c r="L370" s="1260">
        <f>SUM(L371:L386)</f>
        <v>2372658.38</v>
      </c>
      <c r="M370" s="1130">
        <f>M371+M372+M373+M374+M375+M376+M377+M378+M379+M380+M381+M382+M383+M384+M385+M386+M387</f>
        <v>17064781</v>
      </c>
      <c r="N370" s="1130" t="e">
        <f aca="true" t="shared" si="13" ref="N370:T370">N371+N372+N373+N374+N375+N376+N377+N378+N379+N380+N381+N382+N383+N384+N385+N386+N387</f>
        <v>#REF!</v>
      </c>
      <c r="O370" s="1130">
        <f t="shared" si="13"/>
        <v>0</v>
      </c>
      <c r="P370" s="1130">
        <f t="shared" si="13"/>
        <v>0</v>
      </c>
      <c r="Q370" s="1130">
        <f t="shared" si="13"/>
        <v>0</v>
      </c>
      <c r="R370" s="1130">
        <f t="shared" si="13"/>
        <v>751349</v>
      </c>
      <c r="S370" s="1130">
        <f t="shared" si="13"/>
        <v>0</v>
      </c>
      <c r="T370" s="1130">
        <f t="shared" si="13"/>
        <v>0</v>
      </c>
      <c r="U370" s="1204">
        <f t="shared" si="11"/>
        <v>751349</v>
      </c>
      <c r="V370" s="1138">
        <f>T370+S370+R370+Q370+P370+O370+M370</f>
        <v>17816130</v>
      </c>
      <c r="W370" s="1203">
        <v>17816130</v>
      </c>
      <c r="X370" s="1138">
        <v>17816130</v>
      </c>
    </row>
    <row r="371" spans="2:24" s="1139" customFormat="1" ht="12.75">
      <c r="B371" s="1286"/>
      <c r="C371" s="1245"/>
      <c r="D371" s="1248"/>
      <c r="E371" s="1245"/>
      <c r="F371" s="1254">
        <v>290</v>
      </c>
      <c r="G371" s="1255">
        <v>411</v>
      </c>
      <c r="H371" s="1682" t="s">
        <v>27</v>
      </c>
      <c r="I371" s="1683"/>
      <c r="J371" s="1684"/>
      <c r="K371" s="1262">
        <v>570000</v>
      </c>
      <c r="L371" s="1242">
        <v>354824.32</v>
      </c>
      <c r="M371" s="1112">
        <f>'Rashodi-2021'!M420+'Rashodi-2021'!M438+'Rashodi-2021'!M451+'Rashodi-2021'!M497</f>
        <v>2219700</v>
      </c>
      <c r="N371" s="1112" t="e">
        <f>'Rashodi-2021'!#REF!+'Rashodi-2021'!#REF!+'Rashodi-2021'!#REF!+'Rashodi-2021'!#REF!</f>
        <v>#REF!</v>
      </c>
      <c r="O371" s="1215">
        <f>'Rashodi-2021'!N420</f>
        <v>0</v>
      </c>
      <c r="P371" s="1208">
        <f>'Rashodi-2021'!O420</f>
        <v>0</v>
      </c>
      <c r="Q371" s="1208">
        <f>'Rashodi-2021'!P420</f>
        <v>0</v>
      </c>
      <c r="R371" s="1208">
        <f>'Rashodi-2021'!Q420</f>
        <v>0</v>
      </c>
      <c r="S371" s="1208">
        <f>'Rashodi-2021'!R420</f>
        <v>0</v>
      </c>
      <c r="T371" s="1208">
        <f>'Rashodi-2021'!S420</f>
        <v>0</v>
      </c>
      <c r="U371" s="1205">
        <f t="shared" si="11"/>
        <v>0</v>
      </c>
      <c r="V371" s="1138">
        <f aca="true" t="shared" si="14" ref="V371:V387">T371+S371+R371+Q371+P371+O371+M371</f>
        <v>2219700</v>
      </c>
      <c r="W371" s="1261">
        <v>2219700</v>
      </c>
      <c r="X371" s="1138">
        <v>2219700</v>
      </c>
    </row>
    <row r="372" spans="2:24" s="1139" customFormat="1" ht="12.75">
      <c r="B372" s="1286"/>
      <c r="C372" s="1245"/>
      <c r="D372" s="1248"/>
      <c r="E372" s="1245"/>
      <c r="F372" s="1254">
        <v>291</v>
      </c>
      <c r="G372" s="1255">
        <v>412</v>
      </c>
      <c r="H372" s="1682" t="s">
        <v>79</v>
      </c>
      <c r="I372" s="1683"/>
      <c r="J372" s="1684"/>
      <c r="K372" s="1262">
        <v>98000</v>
      </c>
      <c r="L372" s="1242">
        <v>59078.25000000001</v>
      </c>
      <c r="M372" s="1112">
        <f>'Rashodi-2021'!M498+'Rashodi-2021'!M452+'Rashodi-2021'!M439+'Rashodi-2021'!M421</f>
        <v>381464</v>
      </c>
      <c r="N372" s="1112" t="e">
        <f>'Rashodi-2021'!#REF!+'Rashodi-2021'!#REF!+'Rashodi-2021'!#REF!+'Rashodi-2021'!#REF!</f>
        <v>#REF!</v>
      </c>
      <c r="O372" s="1215">
        <f>'Rashodi-2021'!N421</f>
        <v>0</v>
      </c>
      <c r="P372" s="1208">
        <f>'Rashodi-2021'!O421</f>
        <v>0</v>
      </c>
      <c r="Q372" s="1208">
        <f>'Rashodi-2021'!P421</f>
        <v>0</v>
      </c>
      <c r="R372" s="1208">
        <f>'Rashodi-2021'!Q421</f>
        <v>0</v>
      </c>
      <c r="S372" s="1208">
        <f>'Rashodi-2021'!R421</f>
        <v>0</v>
      </c>
      <c r="T372" s="1208">
        <f>'Rashodi-2021'!S421</f>
        <v>0</v>
      </c>
      <c r="U372" s="1205">
        <f t="shared" si="11"/>
        <v>0</v>
      </c>
      <c r="V372" s="1138">
        <f t="shared" si="14"/>
        <v>381464</v>
      </c>
      <c r="W372" s="1261">
        <v>381464</v>
      </c>
      <c r="X372" s="1138">
        <v>381464</v>
      </c>
    </row>
    <row r="373" spans="2:24" s="1139" customFormat="1" ht="12.75">
      <c r="B373" s="1286"/>
      <c r="C373" s="1245"/>
      <c r="D373" s="1248"/>
      <c r="E373" s="1245"/>
      <c r="F373" s="1254">
        <v>292</v>
      </c>
      <c r="G373" s="1255">
        <v>416</v>
      </c>
      <c r="H373" s="1256" t="s">
        <v>200</v>
      </c>
      <c r="I373" s="1257"/>
      <c r="J373" s="1263"/>
      <c r="K373" s="1262"/>
      <c r="L373" s="1242"/>
      <c r="M373" s="1112">
        <f>'Rashodi-2021'!M422</f>
        <v>100000</v>
      </c>
      <c r="N373" s="1112" t="e">
        <f>'Rashodi-2021'!#REF!</f>
        <v>#REF!</v>
      </c>
      <c r="O373" s="1215">
        <f>'Rashodi-2021'!N422</f>
        <v>0</v>
      </c>
      <c r="P373" s="1208">
        <f>'Rashodi-2021'!O422</f>
        <v>0</v>
      </c>
      <c r="Q373" s="1208">
        <f>'Rashodi-2021'!P422</f>
        <v>0</v>
      </c>
      <c r="R373" s="1208">
        <f>'Rashodi-2021'!Q422</f>
        <v>0</v>
      </c>
      <c r="S373" s="1208">
        <f>'Rashodi-2021'!R422</f>
        <v>0</v>
      </c>
      <c r="T373" s="1208">
        <f>'Rashodi-2021'!S422</f>
        <v>0</v>
      </c>
      <c r="U373" s="1205"/>
      <c r="V373" s="1138">
        <f t="shared" si="14"/>
        <v>100000</v>
      </c>
      <c r="W373" s="1261">
        <v>100000</v>
      </c>
      <c r="X373" s="1138">
        <v>100000</v>
      </c>
    </row>
    <row r="374" spans="2:24" s="1139" customFormat="1" ht="12.75">
      <c r="B374" s="1286"/>
      <c r="C374" s="1245"/>
      <c r="D374" s="1248"/>
      <c r="E374" s="1245"/>
      <c r="F374" s="1254">
        <v>293</v>
      </c>
      <c r="G374" s="1255">
        <v>421</v>
      </c>
      <c r="H374" s="1685" t="s">
        <v>33</v>
      </c>
      <c r="I374" s="1686"/>
      <c r="J374" s="1687"/>
      <c r="K374" s="1262">
        <v>340000</v>
      </c>
      <c r="L374" s="1242">
        <v>163745.63</v>
      </c>
      <c r="M374" s="1112">
        <f>'Rashodi-2021'!M499+'Rashodi-2021'!M484+'Rashodi-2021'!M467+'Rashodi-2021'!M453+'Rashodi-2021'!M440+'Rashodi-2021'!M423+'Rashodi-2021'!M409</f>
        <v>1713500</v>
      </c>
      <c r="N374" s="1112" t="e">
        <f>'Rashodi-2021'!#REF!+'Rashodi-2021'!#REF!+'Rashodi-2021'!#REF!+'Rashodi-2021'!#REF!+'Rashodi-2021'!#REF!+'Rashodi-2021'!#REF!+'Rashodi-2021'!#REF!</f>
        <v>#REF!</v>
      </c>
      <c r="O374" s="1215">
        <f>'Rashodi-2021'!N423</f>
        <v>0</v>
      </c>
      <c r="P374" s="1208">
        <f>'Rashodi-2021'!O423</f>
        <v>0</v>
      </c>
      <c r="Q374" s="1208">
        <f>'Rashodi-2021'!P423</f>
        <v>0</v>
      </c>
      <c r="R374" s="1208">
        <f>'Rashodi-2021'!Q423</f>
        <v>0</v>
      </c>
      <c r="S374" s="1208">
        <f>'Rashodi-2021'!R423</f>
        <v>0</v>
      </c>
      <c r="T374" s="1208">
        <f>'Rashodi-2021'!S423</f>
        <v>0</v>
      </c>
      <c r="U374" s="1205">
        <f t="shared" si="11"/>
        <v>0</v>
      </c>
      <c r="V374" s="1138">
        <f t="shared" si="14"/>
        <v>1713500</v>
      </c>
      <c r="W374" s="1261">
        <v>1713500</v>
      </c>
      <c r="X374" s="1138">
        <v>1713500</v>
      </c>
    </row>
    <row r="375" spans="2:24" s="1139" customFormat="1" ht="12.75">
      <c r="B375" s="1286"/>
      <c r="C375" s="1245"/>
      <c r="D375" s="1248"/>
      <c r="E375" s="1245"/>
      <c r="F375" s="1254">
        <v>294</v>
      </c>
      <c r="G375" s="1255">
        <v>422</v>
      </c>
      <c r="H375" s="1685" t="s">
        <v>34</v>
      </c>
      <c r="I375" s="1686"/>
      <c r="J375" s="1687"/>
      <c r="K375" s="1262">
        <v>100000</v>
      </c>
      <c r="L375" s="1242">
        <v>0</v>
      </c>
      <c r="M375" s="1112">
        <f>'Rashodi-2021'!M485+'Rashodi-2021'!M468+'Rashodi-2021'!M424</f>
        <v>89000</v>
      </c>
      <c r="N375" s="1112" t="e">
        <f>'Rashodi-2021'!#REF!+'Rashodi-2021'!#REF!+'Rashodi-2021'!#REF!</f>
        <v>#REF!</v>
      </c>
      <c r="O375" s="1215">
        <f>'Rashodi-2021'!N424</f>
        <v>0</v>
      </c>
      <c r="P375" s="1208">
        <f>'Rashodi-2021'!O424</f>
        <v>0</v>
      </c>
      <c r="Q375" s="1208">
        <f>'Rashodi-2021'!P424</f>
        <v>0</v>
      </c>
      <c r="R375" s="1208">
        <f>'Rashodi-2021'!Q424</f>
        <v>0</v>
      </c>
      <c r="S375" s="1208">
        <f>'Rashodi-2021'!R424</f>
        <v>0</v>
      </c>
      <c r="T375" s="1208">
        <f>'Rashodi-2021'!S424</f>
        <v>0</v>
      </c>
      <c r="U375" s="1205">
        <f t="shared" si="11"/>
        <v>0</v>
      </c>
      <c r="V375" s="1138">
        <f t="shared" si="14"/>
        <v>89000</v>
      </c>
      <c r="W375" s="1261">
        <v>89000</v>
      </c>
      <c r="X375" s="1138">
        <v>89000</v>
      </c>
    </row>
    <row r="376" spans="2:24" s="1139" customFormat="1" ht="12.75">
      <c r="B376" s="1286"/>
      <c r="C376" s="1245"/>
      <c r="D376" s="1248"/>
      <c r="E376" s="1245"/>
      <c r="F376" s="1254">
        <v>295</v>
      </c>
      <c r="G376" s="1255">
        <v>423</v>
      </c>
      <c r="H376" s="1685" t="s">
        <v>35</v>
      </c>
      <c r="I376" s="1686"/>
      <c r="J376" s="1687"/>
      <c r="K376" s="1262">
        <v>910000</v>
      </c>
      <c r="L376" s="1242">
        <v>467293.94000000006</v>
      </c>
      <c r="M376" s="1112">
        <f>'Rashodi-2021'!M410+'Rashodi-2021'!M425+'Rashodi-2021'!M441+'Rashodi-2021'!M454+'Rashodi-2021'!M469+'Rashodi-2021'!M486+'Rashodi-2021'!M500</f>
        <v>3070010</v>
      </c>
      <c r="N376" s="1112" t="e">
        <f>'Rashodi-2021'!#REF!+'Rashodi-2021'!#REF!+'Rashodi-2021'!#REF!+'Rashodi-2021'!#REF!+'Rashodi-2021'!#REF!+'Rashodi-2021'!#REF!+'Rashodi-2021'!#REF!</f>
        <v>#REF!</v>
      </c>
      <c r="O376" s="1215">
        <f>'Rashodi-2021'!N425</f>
        <v>0</v>
      </c>
      <c r="P376" s="1208">
        <f>'Rashodi-2021'!O425</f>
        <v>0</v>
      </c>
      <c r="Q376" s="1208">
        <f>'Rashodi-2021'!P425</f>
        <v>0</v>
      </c>
      <c r="R376" s="1208">
        <f>'Rashodi-2021'!Q425</f>
        <v>538560</v>
      </c>
      <c r="S376" s="1208">
        <f>'Rashodi-2021'!R425</f>
        <v>0</v>
      </c>
      <c r="T376" s="1208">
        <f>'Rashodi-2021'!S425</f>
        <v>0</v>
      </c>
      <c r="U376" s="1205">
        <f t="shared" si="11"/>
        <v>538560</v>
      </c>
      <c r="V376" s="1138">
        <f t="shared" si="14"/>
        <v>3608570</v>
      </c>
      <c r="W376" s="1261">
        <v>3608570</v>
      </c>
      <c r="X376" s="1138">
        <v>3608570</v>
      </c>
    </row>
    <row r="377" spans="2:24" s="1139" customFormat="1" ht="12.75">
      <c r="B377" s="1286"/>
      <c r="C377" s="1245"/>
      <c r="D377" s="1248"/>
      <c r="E377" s="1245"/>
      <c r="F377" s="1254">
        <v>296</v>
      </c>
      <c r="G377" s="1255">
        <v>423</v>
      </c>
      <c r="H377" s="1186" t="s">
        <v>1532</v>
      </c>
      <c r="I377" s="1187"/>
      <c r="J377" s="1188"/>
      <c r="K377" s="1262"/>
      <c r="L377" s="1242"/>
      <c r="M377" s="1112">
        <f>'Rashodi-2021'!M501+'Rashodi-2021'!M487+'Rashodi-2021'!M470+'Rashodi-2021'!M455+'Rashodi-2021'!M442+'Rashodi-2021'!M426+'Rashodi-2021'!M411</f>
        <v>70</v>
      </c>
      <c r="N377" s="1112" t="e">
        <f>'Rashodi-2021'!#REF!+'Rashodi-2021'!#REF!+'Rashodi-2021'!#REF!+'Rashodi-2021'!#REF!+'Rashodi-2021'!#REF!+'Rashodi-2021'!#REF!+'Rashodi-2021'!#REF!</f>
        <v>#REF!</v>
      </c>
      <c r="O377" s="1215">
        <f>'Rashodi-2021'!N426</f>
        <v>0</v>
      </c>
      <c r="P377" s="1208">
        <f>'Rashodi-2021'!O426</f>
        <v>0</v>
      </c>
      <c r="Q377" s="1208">
        <f>'Rashodi-2021'!P426</f>
        <v>0</v>
      </c>
      <c r="R377" s="1208">
        <f>'Rashodi-2021'!Q426</f>
        <v>0</v>
      </c>
      <c r="S377" s="1208">
        <f>'Rashodi-2021'!R426</f>
        <v>0</v>
      </c>
      <c r="T377" s="1208">
        <f>'Rashodi-2021'!S426</f>
        <v>0</v>
      </c>
      <c r="U377" s="1205"/>
      <c r="V377" s="1138">
        <f t="shared" si="14"/>
        <v>70</v>
      </c>
      <c r="W377" s="1261">
        <v>70</v>
      </c>
      <c r="X377" s="1138">
        <v>70</v>
      </c>
    </row>
    <row r="378" spans="2:24" s="1139" customFormat="1" ht="12.75">
      <c r="B378" s="1286"/>
      <c r="C378" s="1245"/>
      <c r="D378" s="1248"/>
      <c r="E378" s="1245"/>
      <c r="F378" s="1254">
        <v>297</v>
      </c>
      <c r="G378" s="1255">
        <v>424</v>
      </c>
      <c r="H378" s="1682" t="s">
        <v>36</v>
      </c>
      <c r="I378" s="1683"/>
      <c r="J378" s="1684"/>
      <c r="K378" s="1262">
        <v>50000</v>
      </c>
      <c r="L378" s="1242">
        <v>0</v>
      </c>
      <c r="M378" s="1112">
        <f>'Rashodi-2021'!M502+'Rashodi-2021'!M471+'Rashodi-2021'!M427</f>
        <v>407000</v>
      </c>
      <c r="N378" s="1112" t="e">
        <f>'Rashodi-2021'!#REF!+'Rashodi-2021'!#REF!+'Rashodi-2021'!#REF!</f>
        <v>#REF!</v>
      </c>
      <c r="O378" s="1215">
        <f>'Rashodi-2021'!N427</f>
        <v>0</v>
      </c>
      <c r="P378" s="1208">
        <f>'Rashodi-2021'!O427</f>
        <v>0</v>
      </c>
      <c r="Q378" s="1208">
        <f>'Rashodi-2021'!P427</f>
        <v>0</v>
      </c>
      <c r="R378" s="1208">
        <f>'Rashodi-2021'!Q427</f>
        <v>0</v>
      </c>
      <c r="S378" s="1208">
        <f>'Rashodi-2021'!R427</f>
        <v>0</v>
      </c>
      <c r="T378" s="1208">
        <f>'Rashodi-2021'!S427</f>
        <v>0</v>
      </c>
      <c r="U378" s="1205">
        <f t="shared" si="11"/>
        <v>0</v>
      </c>
      <c r="V378" s="1138">
        <f t="shared" si="14"/>
        <v>407000</v>
      </c>
      <c r="W378" s="1261">
        <v>407000</v>
      </c>
      <c r="X378" s="1138">
        <v>407000</v>
      </c>
    </row>
    <row r="379" spans="2:24" s="1139" customFormat="1" ht="12.75">
      <c r="B379" s="1286"/>
      <c r="C379" s="1245"/>
      <c r="D379" s="1248"/>
      <c r="E379" s="1245"/>
      <c r="F379" s="1303">
        <v>298</v>
      </c>
      <c r="G379" s="1255">
        <v>425</v>
      </c>
      <c r="H379" s="1682" t="s">
        <v>121</v>
      </c>
      <c r="I379" s="1683"/>
      <c r="J379" s="1684"/>
      <c r="K379" s="1262">
        <v>1291500</v>
      </c>
      <c r="L379" s="1242">
        <v>279120</v>
      </c>
      <c r="M379" s="1112">
        <f>'Rashodi-2021'!M412+'Rashodi-2021'!M428+'Rashodi-2021'!M443+'Rashodi-2021'!M456+'Rashodi-2021'!M472+'Rashodi-2021'!M488+'Rashodi-2021'!M503</f>
        <v>4465000</v>
      </c>
      <c r="N379" s="1112" t="e">
        <f>'Rashodi-2021'!#REF!+'Rashodi-2021'!#REF!+'Rashodi-2021'!#REF!+'Rashodi-2021'!#REF!+'Rashodi-2021'!#REF!+'Rashodi-2021'!#REF!+'Rashodi-2021'!#REF!</f>
        <v>#REF!</v>
      </c>
      <c r="O379" s="1215">
        <f>'Rashodi-2021'!N428</f>
        <v>0</v>
      </c>
      <c r="P379" s="1208">
        <f>'Rashodi-2021'!O428</f>
        <v>0</v>
      </c>
      <c r="Q379" s="1208">
        <f>'Rashodi-2021'!P428</f>
        <v>0</v>
      </c>
      <c r="R379" s="1208">
        <f>'Rashodi-2021'!Q428</f>
        <v>212789</v>
      </c>
      <c r="S379" s="1208">
        <f>'Rashodi-2021'!R428</f>
        <v>0</v>
      </c>
      <c r="T379" s="1208">
        <f>'Rashodi-2021'!S428</f>
        <v>0</v>
      </c>
      <c r="U379" s="1205">
        <f t="shared" si="11"/>
        <v>212789</v>
      </c>
      <c r="V379" s="1138">
        <f t="shared" si="14"/>
        <v>4677789</v>
      </c>
      <c r="W379" s="1261">
        <v>4677789</v>
      </c>
      <c r="X379" s="1138">
        <v>4677789</v>
      </c>
    </row>
    <row r="380" spans="2:24" s="1139" customFormat="1" ht="12.75">
      <c r="B380" s="1286"/>
      <c r="C380" s="1245"/>
      <c r="D380" s="1248"/>
      <c r="E380" s="1245"/>
      <c r="F380" s="1303">
        <v>299</v>
      </c>
      <c r="G380" s="1255">
        <v>426</v>
      </c>
      <c r="H380" s="1682" t="s">
        <v>38</v>
      </c>
      <c r="I380" s="1683"/>
      <c r="J380" s="1684"/>
      <c r="K380" s="1262">
        <v>610000</v>
      </c>
      <c r="L380" s="1242">
        <v>176749.5</v>
      </c>
      <c r="M380" s="1112">
        <f>'Rashodi-2021'!M504+'Rashodi-2021'!M489+'Rashodi-2021'!M473+'Rashodi-2021'!M457+'Rashodi-2021'!M444+'Rashodi-2021'!M429+'Rashodi-2021'!M413</f>
        <v>2043967</v>
      </c>
      <c r="N380" s="1112" t="e">
        <f>'Rashodi-2021'!#REF!+'Rashodi-2021'!#REF!+'Rashodi-2021'!#REF!+'Rashodi-2021'!#REF!+'Rashodi-2021'!#REF!+'Rashodi-2021'!#REF!+'Rashodi-2021'!#REF!</f>
        <v>#REF!</v>
      </c>
      <c r="O380" s="1215">
        <f>'Rashodi-2021'!N429</f>
        <v>0</v>
      </c>
      <c r="P380" s="1208">
        <f>'Rashodi-2021'!O429</f>
        <v>0</v>
      </c>
      <c r="Q380" s="1208">
        <f>'Rashodi-2021'!P429</f>
        <v>0</v>
      </c>
      <c r="R380" s="1208">
        <f>'Rashodi-2021'!Q429</f>
        <v>0</v>
      </c>
      <c r="S380" s="1208">
        <f>'Rashodi-2021'!R429</f>
        <v>0</v>
      </c>
      <c r="T380" s="1208">
        <f>'Rashodi-2021'!S429</f>
        <v>0</v>
      </c>
      <c r="U380" s="1205">
        <f t="shared" si="11"/>
        <v>0</v>
      </c>
      <c r="V380" s="1138">
        <f t="shared" si="14"/>
        <v>2043967</v>
      </c>
      <c r="W380" s="1261">
        <v>2043967</v>
      </c>
      <c r="X380" s="1138">
        <v>2043967</v>
      </c>
    </row>
    <row r="381" spans="2:24" s="1139" customFormat="1" ht="12.75">
      <c r="B381" s="1286"/>
      <c r="C381" s="1245"/>
      <c r="D381" s="1248"/>
      <c r="E381" s="1245"/>
      <c r="F381" s="1303">
        <v>300</v>
      </c>
      <c r="G381" s="1255">
        <v>426</v>
      </c>
      <c r="H381" s="1256" t="s">
        <v>1531</v>
      </c>
      <c r="I381" s="1257"/>
      <c r="J381" s="1263"/>
      <c r="K381" s="1262"/>
      <c r="L381" s="1242"/>
      <c r="M381" s="1112">
        <f>'Rashodi-2021'!M414+'Rashodi-2021'!M430+'Rashodi-2021'!M445+'Rashodi-2021'!M458+'Rashodi-2021'!M474+'Rashodi-2021'!M490+'Rashodi-2021'!M505</f>
        <v>70</v>
      </c>
      <c r="N381" s="1112" t="e">
        <f>'Rashodi-2021'!#REF!+'Rashodi-2021'!#REF!+'Rashodi-2021'!#REF!+'Rashodi-2021'!#REF!+'Rashodi-2021'!#REF!+'Rashodi-2021'!#REF!+'Rashodi-2021'!#REF!</f>
        <v>#REF!</v>
      </c>
      <c r="O381" s="1215">
        <f>'Rashodi-2021'!N430</f>
        <v>0</v>
      </c>
      <c r="P381" s="1208">
        <f>'Rashodi-2021'!O430</f>
        <v>0</v>
      </c>
      <c r="Q381" s="1208">
        <f>'Rashodi-2021'!P430</f>
        <v>0</v>
      </c>
      <c r="R381" s="1208">
        <f>'Rashodi-2021'!Q430</f>
        <v>0</v>
      </c>
      <c r="S381" s="1208">
        <f>'Rashodi-2021'!R430</f>
        <v>0</v>
      </c>
      <c r="T381" s="1208">
        <f>'Rashodi-2021'!S430</f>
        <v>0</v>
      </c>
      <c r="U381" s="1205"/>
      <c r="V381" s="1138">
        <f t="shared" si="14"/>
        <v>70</v>
      </c>
      <c r="W381" s="1261">
        <v>70</v>
      </c>
      <c r="X381" s="1138">
        <v>70</v>
      </c>
    </row>
    <row r="382" spans="2:24" s="1139" customFormat="1" ht="12.75">
      <c r="B382" s="1286"/>
      <c r="C382" s="1245"/>
      <c r="D382" s="1248"/>
      <c r="E382" s="1245"/>
      <c r="F382" s="1303">
        <v>301</v>
      </c>
      <c r="G382" s="1255">
        <v>441</v>
      </c>
      <c r="H382" s="1685" t="s">
        <v>1430</v>
      </c>
      <c r="I382" s="1686"/>
      <c r="J382" s="1687"/>
      <c r="K382" s="1262">
        <v>10000</v>
      </c>
      <c r="L382" s="1242">
        <v>246.74</v>
      </c>
      <c r="M382" s="1112">
        <f>'Rashodi-2021'!M431</f>
        <v>5000</v>
      </c>
      <c r="N382" s="1112" t="e">
        <f>'Rashodi-2021'!#REF!</f>
        <v>#REF!</v>
      </c>
      <c r="O382" s="1215">
        <f>'Rashodi-2021'!N431</f>
        <v>0</v>
      </c>
      <c r="P382" s="1208">
        <f>'Rashodi-2021'!O431</f>
        <v>0</v>
      </c>
      <c r="Q382" s="1208">
        <f>'Rashodi-2021'!P431</f>
        <v>0</v>
      </c>
      <c r="R382" s="1208">
        <f>'Rashodi-2021'!Q431</f>
        <v>0</v>
      </c>
      <c r="S382" s="1208">
        <f>'Rashodi-2021'!R431</f>
        <v>0</v>
      </c>
      <c r="T382" s="1208">
        <f>'Rashodi-2021'!S431</f>
        <v>0</v>
      </c>
      <c r="U382" s="1205">
        <f t="shared" si="11"/>
        <v>0</v>
      </c>
      <c r="V382" s="1138">
        <f t="shared" si="14"/>
        <v>5000</v>
      </c>
      <c r="W382" s="1261">
        <v>5000</v>
      </c>
      <c r="X382" s="1138">
        <v>5000</v>
      </c>
    </row>
    <row r="383" spans="2:24" s="1139" customFormat="1" ht="12.75">
      <c r="B383" s="1286"/>
      <c r="C383" s="1245"/>
      <c r="D383" s="1248"/>
      <c r="E383" s="1245"/>
      <c r="F383" s="1303">
        <v>302</v>
      </c>
      <c r="G383" s="1255">
        <v>481</v>
      </c>
      <c r="H383" s="1682" t="s">
        <v>122</v>
      </c>
      <c r="I383" s="1683"/>
      <c r="J383" s="1684"/>
      <c r="K383" s="1262">
        <v>800000</v>
      </c>
      <c r="L383" s="1242">
        <v>550000</v>
      </c>
      <c r="M383" s="1112">
        <f>'Rashodi-2021'!M491+'Rashodi-2021'!M432</f>
        <v>635000</v>
      </c>
      <c r="N383" s="1112" t="e">
        <f>'Rashodi-2021'!#REF!+'Rashodi-2021'!#REF!</f>
        <v>#REF!</v>
      </c>
      <c r="O383" s="1215">
        <f>'Rashodi-2021'!N432</f>
        <v>0</v>
      </c>
      <c r="P383" s="1208">
        <f>'Rashodi-2021'!O432</f>
        <v>0</v>
      </c>
      <c r="Q383" s="1208">
        <f>'Rashodi-2021'!P432</f>
        <v>0</v>
      </c>
      <c r="R383" s="1208">
        <f>'Rashodi-2021'!Q432</f>
        <v>0</v>
      </c>
      <c r="S383" s="1208">
        <f>'Rashodi-2021'!R432</f>
        <v>0</v>
      </c>
      <c r="T383" s="1208">
        <f>'Rashodi-2021'!S432</f>
        <v>0</v>
      </c>
      <c r="U383" s="1205">
        <f t="shared" si="11"/>
        <v>0</v>
      </c>
      <c r="V383" s="1138">
        <f t="shared" si="14"/>
        <v>635000</v>
      </c>
      <c r="W383" s="1261">
        <v>635000</v>
      </c>
      <c r="X383" s="1138">
        <v>635000</v>
      </c>
    </row>
    <row r="384" spans="2:24" s="1139" customFormat="1" ht="12.75">
      <c r="B384" s="1286"/>
      <c r="C384" s="1245"/>
      <c r="D384" s="1248"/>
      <c r="E384" s="1245"/>
      <c r="F384" s="1303">
        <v>303</v>
      </c>
      <c r="G384" s="1255">
        <v>482</v>
      </c>
      <c r="H384" s="1402" t="s">
        <v>82</v>
      </c>
      <c r="I384" s="1403"/>
      <c r="J384" s="1404"/>
      <c r="K384" s="1262"/>
      <c r="L384" s="1242"/>
      <c r="M384" s="1112">
        <f>'Rashodi-2021'!M415+'Rashodi-2021'!M446+'Rashodi-2021'!M459+'Rashodi-2021'!M475+'Rashodi-2021'!M492+'Rashodi-2021'!M506</f>
        <v>1540000</v>
      </c>
      <c r="N384" s="1112" t="e">
        <f>'Rashodi-2021'!#REF!+'Rashodi-2021'!#REF!+'Rashodi-2021'!#REF!+'Rashodi-2021'!#REF!+'Rashodi-2021'!#REF!+'Rashodi-2021'!#REF!</f>
        <v>#REF!</v>
      </c>
      <c r="O384" s="1215">
        <v>0</v>
      </c>
      <c r="P384" s="1208">
        <v>0</v>
      </c>
      <c r="Q384" s="1208">
        <v>0</v>
      </c>
      <c r="R384" s="1208">
        <v>0</v>
      </c>
      <c r="S384" s="1208">
        <v>0</v>
      </c>
      <c r="T384" s="1208">
        <v>0</v>
      </c>
      <c r="U384" s="1205"/>
      <c r="V384" s="1138">
        <f t="shared" si="14"/>
        <v>1540000</v>
      </c>
      <c r="W384" s="1261">
        <v>1540000</v>
      </c>
      <c r="X384" s="1138">
        <v>1540000</v>
      </c>
    </row>
    <row r="385" spans="2:24" s="1139" customFormat="1" ht="12.75">
      <c r="B385" s="1286"/>
      <c r="C385" s="1245"/>
      <c r="D385" s="1248"/>
      <c r="E385" s="1245"/>
      <c r="F385" s="1303">
        <v>304</v>
      </c>
      <c r="G385" s="1255">
        <v>511</v>
      </c>
      <c r="H385" s="1402" t="s">
        <v>1553</v>
      </c>
      <c r="I385" s="1403"/>
      <c r="J385" s="1404"/>
      <c r="K385" s="1262"/>
      <c r="L385" s="1242"/>
      <c r="M385" s="1112">
        <f>'Rashodi-2021'!M476</f>
        <v>30000</v>
      </c>
      <c r="N385" s="1112" t="e">
        <f>'Rashodi-2021'!#REF!</f>
        <v>#REF!</v>
      </c>
      <c r="O385" s="1215">
        <v>0</v>
      </c>
      <c r="P385" s="1208">
        <v>0</v>
      </c>
      <c r="Q385" s="1208">
        <v>0</v>
      </c>
      <c r="R385" s="1208">
        <v>0</v>
      </c>
      <c r="S385" s="1208">
        <v>0</v>
      </c>
      <c r="T385" s="1208">
        <v>0</v>
      </c>
      <c r="U385" s="1205"/>
      <c r="V385" s="1138">
        <f t="shared" si="14"/>
        <v>30000</v>
      </c>
      <c r="W385" s="1261">
        <v>30000</v>
      </c>
      <c r="X385" s="1138">
        <v>30000</v>
      </c>
    </row>
    <row r="386" spans="2:24" s="1139" customFormat="1" ht="12.75">
      <c r="B386" s="1312"/>
      <c r="C386" s="1296"/>
      <c r="D386" s="1295"/>
      <c r="E386" s="1296"/>
      <c r="F386" s="1416">
        <v>305</v>
      </c>
      <c r="G386" s="1268">
        <v>512</v>
      </c>
      <c r="H386" s="1405" t="s">
        <v>83</v>
      </c>
      <c r="I386" s="1406"/>
      <c r="J386" s="1407"/>
      <c r="K386" s="1262">
        <v>343500</v>
      </c>
      <c r="L386" s="1242">
        <v>321600</v>
      </c>
      <c r="M386" s="1334">
        <f>'Rashodi-2021'!M477+'Rashodi-2021'!M433</f>
        <v>165000</v>
      </c>
      <c r="N386" s="1334" t="e">
        <f>'Rashodi-2021'!#REF!+'Rashodi-2021'!#REF!</f>
        <v>#REF!</v>
      </c>
      <c r="O386" s="1417">
        <f>'Rashodi-2021'!N433</f>
        <v>0</v>
      </c>
      <c r="P386" s="1418">
        <f>'Rashodi-2021'!O433</f>
        <v>0</v>
      </c>
      <c r="Q386" s="1418">
        <f>'Rashodi-2021'!P433</f>
        <v>0</v>
      </c>
      <c r="R386" s="1418">
        <f>'Rashodi-2021'!Q433</f>
        <v>0</v>
      </c>
      <c r="S386" s="1418">
        <f>'Rashodi-2021'!R433</f>
        <v>0</v>
      </c>
      <c r="T386" s="1418">
        <f>'Rashodi-2021'!S433</f>
        <v>0</v>
      </c>
      <c r="U386" s="1419">
        <f t="shared" si="11"/>
        <v>0</v>
      </c>
      <c r="V386" s="1138">
        <f t="shared" si="14"/>
        <v>165000</v>
      </c>
      <c r="W386" s="1261">
        <v>165000</v>
      </c>
      <c r="X386" s="1138">
        <v>165000</v>
      </c>
    </row>
    <row r="387" spans="2:24" s="1139" customFormat="1" ht="13.5" thickBot="1">
      <c r="B387" s="1299"/>
      <c r="C387" s="1299"/>
      <c r="D387" s="1298"/>
      <c r="E387" s="1299"/>
      <c r="F387" s="1300">
        <v>306</v>
      </c>
      <c r="G387" s="1300">
        <v>513</v>
      </c>
      <c r="H387" s="1691" t="s">
        <v>1554</v>
      </c>
      <c r="I387" s="1692"/>
      <c r="J387" s="1693"/>
      <c r="K387" s="1327"/>
      <c r="L387" s="1327"/>
      <c r="M387" s="1112">
        <f>'Rashodi-2021'!M460</f>
        <v>200000</v>
      </c>
      <c r="N387" s="1112" t="e">
        <f>'Rashodi-2021'!#REF!</f>
        <v>#REF!</v>
      </c>
      <c r="O387" s="1425">
        <v>0</v>
      </c>
      <c r="P387" s="1425">
        <v>0</v>
      </c>
      <c r="Q387" s="1425">
        <v>0</v>
      </c>
      <c r="R387" s="1425">
        <v>0</v>
      </c>
      <c r="S387" s="1425">
        <v>0</v>
      </c>
      <c r="T387" s="1425">
        <v>0</v>
      </c>
      <c r="U387" s="1426"/>
      <c r="V387" s="1138">
        <f t="shared" si="14"/>
        <v>200000</v>
      </c>
      <c r="W387" s="1414">
        <v>200000</v>
      </c>
      <c r="X387" s="1415">
        <v>200000</v>
      </c>
    </row>
    <row r="388" spans="2:24" ht="13.5" thickBot="1">
      <c r="B388" s="1688" t="s">
        <v>129</v>
      </c>
      <c r="C388" s="1689"/>
      <c r="D388" s="1689"/>
      <c r="E388" s="1689"/>
      <c r="F388" s="1689"/>
      <c r="G388" s="1689"/>
      <c r="H388" s="1689"/>
      <c r="I388" s="1689"/>
      <c r="J388" s="1690"/>
      <c r="K388" s="7" t="e">
        <f>K68+K37+K7+K53+K28</f>
        <v>#REF!</v>
      </c>
      <c r="L388" s="1211" t="e">
        <f>L68+L37+L7+L53+L28</f>
        <v>#REF!</v>
      </c>
      <c r="M388" s="1420">
        <f>'Rashodi-2021'!M507</f>
        <v>453286579</v>
      </c>
      <c r="N388" s="1421" t="e">
        <f>'Rashodi-2021'!#REF!</f>
        <v>#REF!</v>
      </c>
      <c r="O388" s="1422">
        <f>'Rashodi-2021'!N507</f>
        <v>180000</v>
      </c>
      <c r="P388" s="1422">
        <f>'Rashodi-2021'!O507</f>
        <v>400000</v>
      </c>
      <c r="Q388" s="1422">
        <f>'Rashodi-2021'!P507</f>
        <v>92252279.21000001</v>
      </c>
      <c r="R388" s="1422">
        <f>'Rashodi-2021'!Q507</f>
        <v>81581123</v>
      </c>
      <c r="S388" s="1422">
        <f>'Rashodi-2021'!R507</f>
        <v>0</v>
      </c>
      <c r="T388" s="1422">
        <f>'Rashodi-2021'!S507</f>
        <v>427000</v>
      </c>
      <c r="U388" s="1423">
        <f>SUM(O388:T388)</f>
        <v>174840402.21</v>
      </c>
      <c r="V388" s="1424">
        <f>'Rashodi-2021'!U507</f>
        <v>628126981.21</v>
      </c>
      <c r="W388" s="1179">
        <v>628126981.21</v>
      </c>
      <c r="X388" s="72">
        <v>628126981.21</v>
      </c>
    </row>
    <row r="389" spans="2:24" ht="12.75">
      <c r="B389" s="570"/>
      <c r="C389" s="570"/>
      <c r="D389" s="571"/>
      <c r="E389" s="570"/>
      <c r="F389" s="572"/>
      <c r="G389" s="571"/>
      <c r="H389" s="488"/>
      <c r="I389" s="488"/>
      <c r="J389" s="488"/>
      <c r="K389" s="923"/>
      <c r="L389" s="923"/>
      <c r="O389" s="356"/>
      <c r="P389" s="356"/>
      <c r="Q389" s="356"/>
      <c r="R389" s="412"/>
      <c r="S389" s="412"/>
      <c r="T389" s="489"/>
      <c r="U389" s="489"/>
      <c r="V389" s="490"/>
      <c r="W389" s="490"/>
      <c r="X389" s="490"/>
    </row>
    <row r="390" spans="2:24" ht="81.75" customHeight="1">
      <c r="B390" s="1654"/>
      <c r="C390" s="1650"/>
      <c r="D390" s="1650"/>
      <c r="E390" s="1650"/>
      <c r="F390" s="1650"/>
      <c r="G390" s="1650"/>
      <c r="H390" s="1650"/>
      <c r="I390" s="1650"/>
      <c r="J390" s="1650"/>
      <c r="O390" s="356"/>
      <c r="P390" s="356"/>
      <c r="Q390" s="356"/>
      <c r="R390" s="356"/>
      <c r="S390" s="356"/>
      <c r="T390" s="272"/>
      <c r="U390" s="272"/>
      <c r="V390" s="490"/>
      <c r="W390" s="490"/>
      <c r="X390" s="490"/>
    </row>
    <row r="391" spans="2:24" ht="12.75">
      <c r="B391" s="1654"/>
      <c r="C391" s="1650"/>
      <c r="D391" s="1650"/>
      <c r="E391" s="1650"/>
      <c r="F391" s="1650"/>
      <c r="G391" s="1650"/>
      <c r="H391" s="1650"/>
      <c r="I391" s="1650"/>
      <c r="J391" s="1650"/>
      <c r="O391" s="403"/>
      <c r="P391" s="356"/>
      <c r="Q391" s="356"/>
      <c r="R391" s="356"/>
      <c r="S391" s="356"/>
      <c r="T391" s="272"/>
      <c r="U391" s="272"/>
      <c r="V391" s="490"/>
      <c r="W391" s="490"/>
      <c r="X391" s="490"/>
    </row>
    <row r="392" spans="2:24" ht="12.75" hidden="1">
      <c r="B392" s="1654"/>
      <c r="C392" s="1650"/>
      <c r="D392" s="1650"/>
      <c r="E392" s="1650"/>
      <c r="F392" s="1650"/>
      <c r="G392" s="1650"/>
      <c r="H392" s="1650"/>
      <c r="I392" s="1650"/>
      <c r="J392" s="1650"/>
      <c r="O392" s="356"/>
      <c r="P392" s="356"/>
      <c r="Q392" s="356"/>
      <c r="R392" s="356"/>
      <c r="S392" s="356"/>
      <c r="T392" s="272"/>
      <c r="U392" s="272"/>
      <c r="V392" s="490"/>
      <c r="W392" s="490"/>
      <c r="X392" s="490"/>
    </row>
    <row r="393" spans="2:24" ht="12.75" hidden="1">
      <c r="B393" s="1650"/>
      <c r="C393" s="1650"/>
      <c r="D393" s="1650"/>
      <c r="E393" s="1650"/>
      <c r="F393" s="1650"/>
      <c r="G393" s="1650"/>
      <c r="H393" s="1650"/>
      <c r="I393" s="1650"/>
      <c r="J393" s="1650"/>
      <c r="M393" s="554"/>
      <c r="N393" s="554"/>
      <c r="O393" s="555">
        <v>411</v>
      </c>
      <c r="P393" s="356"/>
      <c r="Q393" s="356"/>
      <c r="R393" s="356"/>
      <c r="S393" s="356"/>
      <c r="T393" s="491"/>
      <c r="U393" s="491"/>
      <c r="V393" s="490"/>
      <c r="W393" s="490"/>
      <c r="X393" s="490"/>
    </row>
    <row r="394" spans="2:24" ht="12.75" hidden="1">
      <c r="B394" s="1650"/>
      <c r="C394" s="1650"/>
      <c r="D394" s="1650"/>
      <c r="E394" s="1650"/>
      <c r="F394" s="1650"/>
      <c r="G394" s="1650"/>
      <c r="H394" s="1650"/>
      <c r="I394" s="1650"/>
      <c r="J394" s="1650"/>
      <c r="M394" s="413"/>
      <c r="N394" s="413"/>
      <c r="O394" s="555">
        <v>412</v>
      </c>
      <c r="P394" s="356"/>
      <c r="Q394" s="356"/>
      <c r="R394" s="356"/>
      <c r="S394" s="356"/>
      <c r="T394" s="356"/>
      <c r="U394" s="356"/>
      <c r="V394" s="490"/>
      <c r="W394" s="490"/>
      <c r="X394" s="490"/>
    </row>
    <row r="395" spans="13:24" ht="12.75" hidden="1">
      <c r="M395" s="557"/>
      <c r="N395" s="557"/>
      <c r="O395" s="556" t="s">
        <v>1187</v>
      </c>
      <c r="P395" s="356"/>
      <c r="Q395" s="356"/>
      <c r="R395" s="356"/>
      <c r="S395" s="356"/>
      <c r="T395" s="356"/>
      <c r="U395" s="356"/>
      <c r="V395" s="490"/>
      <c r="W395" s="490"/>
      <c r="X395" s="490"/>
    </row>
    <row r="396" spans="13:24" ht="12.75" hidden="1">
      <c r="M396" s="403"/>
      <c r="N396" s="403"/>
      <c r="O396" s="356"/>
      <c r="P396" s="356"/>
      <c r="Q396" s="356"/>
      <c r="R396" s="356"/>
      <c r="S396" s="356"/>
      <c r="T396" s="272"/>
      <c r="U396" s="272"/>
      <c r="V396" s="492"/>
      <c r="W396" s="492"/>
      <c r="X396" s="492"/>
    </row>
    <row r="397" spans="13:24" ht="12.75">
      <c r="M397" s="63"/>
      <c r="N397" s="63"/>
      <c r="O397" s="356"/>
      <c r="P397" s="356"/>
      <c r="Q397" s="356"/>
      <c r="R397" s="356"/>
      <c r="S397" s="356"/>
      <c r="T397" s="356"/>
      <c r="U397" s="356"/>
      <c r="V397" s="490"/>
      <c r="W397" s="490"/>
      <c r="X397" s="490"/>
    </row>
    <row r="398" spans="13:14" ht="12.75">
      <c r="M398" s="403"/>
      <c r="N398" s="403"/>
    </row>
    <row r="399" spans="13:14" ht="12.75">
      <c r="M399" s="403"/>
      <c r="N399" s="403"/>
    </row>
    <row r="400" spans="13:14" ht="12.75">
      <c r="M400" s="403"/>
      <c r="N400" s="403"/>
    </row>
    <row r="401" spans="2:24" ht="12.75">
      <c r="B401" s="349"/>
      <c r="C401" s="349"/>
      <c r="D401" s="349"/>
      <c r="E401" s="349"/>
      <c r="F401" s="349"/>
      <c r="G401" s="349"/>
      <c r="M401" s="403"/>
      <c r="N401" s="403"/>
      <c r="V401" s="349"/>
      <c r="W401" s="349"/>
      <c r="X401" s="349"/>
    </row>
    <row r="402" spans="2:24" ht="12.75">
      <c r="B402" s="349"/>
      <c r="C402" s="349"/>
      <c r="D402" s="349"/>
      <c r="E402" s="349"/>
      <c r="F402" s="349"/>
      <c r="G402" s="349"/>
      <c r="M402" s="403"/>
      <c r="N402" s="403"/>
      <c r="V402" s="349"/>
      <c r="W402" s="349"/>
      <c r="X402" s="349"/>
    </row>
    <row r="403" spans="2:24" ht="12.75">
      <c r="B403" s="349"/>
      <c r="C403" s="349"/>
      <c r="D403" s="349"/>
      <c r="E403" s="349"/>
      <c r="F403" s="349"/>
      <c r="G403" s="349"/>
      <c r="M403" s="403"/>
      <c r="N403" s="403"/>
      <c r="V403" s="349"/>
      <c r="W403" s="349"/>
      <c r="X403" s="349"/>
    </row>
    <row r="404" spans="2:24" ht="12.75">
      <c r="B404" s="349"/>
      <c r="C404" s="349"/>
      <c r="D404" s="349"/>
      <c r="E404" s="349"/>
      <c r="F404" s="349"/>
      <c r="G404" s="349"/>
      <c r="M404" s="403"/>
      <c r="N404" s="403"/>
      <c r="V404" s="349"/>
      <c r="W404" s="349"/>
      <c r="X404" s="349"/>
    </row>
    <row r="431" spans="2:24" ht="12.75">
      <c r="B431" s="349"/>
      <c r="C431" s="349"/>
      <c r="D431" s="349"/>
      <c r="E431" s="349"/>
      <c r="F431" s="349"/>
      <c r="G431" s="349"/>
      <c r="M431" s="403"/>
      <c r="N431" s="403"/>
      <c r="V431" s="349"/>
      <c r="W431" s="349"/>
      <c r="X431" s="349"/>
    </row>
    <row r="432" spans="2:24" ht="12.75">
      <c r="B432" s="349"/>
      <c r="C432" s="349"/>
      <c r="D432" s="349"/>
      <c r="E432" s="349"/>
      <c r="F432" s="349"/>
      <c r="G432" s="349"/>
      <c r="M432" s="403"/>
      <c r="N432" s="403"/>
      <c r="V432" s="349"/>
      <c r="W432" s="349"/>
      <c r="X432" s="349"/>
    </row>
    <row r="434" spans="2:24" ht="12.75">
      <c r="B434" s="349"/>
      <c r="C434" s="349"/>
      <c r="D434" s="349"/>
      <c r="E434" s="349"/>
      <c r="F434" s="349"/>
      <c r="G434" s="349"/>
      <c r="M434" s="403"/>
      <c r="N434" s="403"/>
      <c r="V434" s="349"/>
      <c r="W434" s="349"/>
      <c r="X434" s="349"/>
    </row>
    <row r="442" spans="2:24" ht="12.75">
      <c r="B442" s="349"/>
      <c r="C442" s="349"/>
      <c r="D442" s="349"/>
      <c r="E442" s="349"/>
      <c r="F442" s="349"/>
      <c r="G442" s="349"/>
      <c r="O442" s="377"/>
      <c r="V442" s="349"/>
      <c r="W442" s="349"/>
      <c r="X442" s="349"/>
    </row>
  </sheetData>
  <sheetProtection/>
  <mergeCells count="337">
    <mergeCell ref="I2:Q2"/>
    <mergeCell ref="M4:V4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6:J16"/>
    <mergeCell ref="H15:J15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I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4:J134"/>
    <mergeCell ref="H135:J135"/>
    <mergeCell ref="H136:J136"/>
    <mergeCell ref="H137:J137"/>
    <mergeCell ref="H139:J139"/>
    <mergeCell ref="H140:J140"/>
    <mergeCell ref="H141:J141"/>
    <mergeCell ref="H143:J143"/>
    <mergeCell ref="H144:J144"/>
    <mergeCell ref="H147:J147"/>
    <mergeCell ref="H148:J148"/>
    <mergeCell ref="H149:J149"/>
    <mergeCell ref="H150:J150"/>
    <mergeCell ref="H153:J153"/>
    <mergeCell ref="H155:J155"/>
    <mergeCell ref="H158:J158"/>
    <mergeCell ref="H159:J159"/>
    <mergeCell ref="H160:J160"/>
    <mergeCell ref="H154:J154"/>
    <mergeCell ref="H161:J161"/>
    <mergeCell ref="H162:J162"/>
    <mergeCell ref="H164:J164"/>
    <mergeCell ref="H165:J165"/>
    <mergeCell ref="H166:J166"/>
    <mergeCell ref="H168:J168"/>
    <mergeCell ref="H169:J169"/>
    <mergeCell ref="H170:J170"/>
    <mergeCell ref="H172:J172"/>
    <mergeCell ref="H173:J173"/>
    <mergeCell ref="H174:J174"/>
    <mergeCell ref="H175:J175"/>
    <mergeCell ref="H176:J176"/>
    <mergeCell ref="H178:J178"/>
    <mergeCell ref="H179:J179"/>
    <mergeCell ref="H180:J180"/>
    <mergeCell ref="H181:J181"/>
    <mergeCell ref="H182:J182"/>
    <mergeCell ref="H183:J183"/>
    <mergeCell ref="H184:J184"/>
    <mergeCell ref="H185:J185"/>
    <mergeCell ref="H186:J186"/>
    <mergeCell ref="H188:J188"/>
    <mergeCell ref="H190:J190"/>
    <mergeCell ref="H191:J191"/>
    <mergeCell ref="H193:J193"/>
    <mergeCell ref="H194:J194"/>
    <mergeCell ref="H196:J196"/>
    <mergeCell ref="H197:J197"/>
    <mergeCell ref="H198:J198"/>
    <mergeCell ref="H199:J199"/>
    <mergeCell ref="H200:I200"/>
    <mergeCell ref="H202:J202"/>
    <mergeCell ref="H203:J203"/>
    <mergeCell ref="H204:J204"/>
    <mergeCell ref="H205:J205"/>
    <mergeCell ref="H206:J206"/>
    <mergeCell ref="H207:J207"/>
    <mergeCell ref="H208:J208"/>
    <mergeCell ref="H209:J209"/>
    <mergeCell ref="H210:J210"/>
    <mergeCell ref="H211:J211"/>
    <mergeCell ref="H212:J212"/>
    <mergeCell ref="H213:J213"/>
    <mergeCell ref="H214:J214"/>
    <mergeCell ref="H215:J215"/>
    <mergeCell ref="H216:J216"/>
    <mergeCell ref="H221:J221"/>
    <mergeCell ref="H223:J223"/>
    <mergeCell ref="H224:J224"/>
    <mergeCell ref="H225:J225"/>
    <mergeCell ref="H227:J227"/>
    <mergeCell ref="H228:J228"/>
    <mergeCell ref="H229:J229"/>
    <mergeCell ref="H230:J230"/>
    <mergeCell ref="H231:J231"/>
    <mergeCell ref="H232:J232"/>
    <mergeCell ref="H233:J233"/>
    <mergeCell ref="H234:J234"/>
    <mergeCell ref="H235:J235"/>
    <mergeCell ref="H236:J236"/>
    <mergeCell ref="H237:J237"/>
    <mergeCell ref="H238:J238"/>
    <mergeCell ref="H239:I239"/>
    <mergeCell ref="H240:J240"/>
    <mergeCell ref="H241:J241"/>
    <mergeCell ref="H242:J242"/>
    <mergeCell ref="H243:J243"/>
    <mergeCell ref="H244:J244"/>
    <mergeCell ref="H245:J245"/>
    <mergeCell ref="H246:J246"/>
    <mergeCell ref="H247:J247"/>
    <mergeCell ref="H248:J248"/>
    <mergeCell ref="H250:J250"/>
    <mergeCell ref="H251:J251"/>
    <mergeCell ref="H252:J252"/>
    <mergeCell ref="H253:J253"/>
    <mergeCell ref="H254:J254"/>
    <mergeCell ref="H255:J255"/>
    <mergeCell ref="H256:J256"/>
    <mergeCell ref="H257:J257"/>
    <mergeCell ref="H258:J258"/>
    <mergeCell ref="H260:J260"/>
    <mergeCell ref="H262:J262"/>
    <mergeCell ref="H263:J263"/>
    <mergeCell ref="H264:J264"/>
    <mergeCell ref="H265:J265"/>
    <mergeCell ref="H266:I266"/>
    <mergeCell ref="H269:J269"/>
    <mergeCell ref="H270:J270"/>
    <mergeCell ref="H272:J272"/>
    <mergeCell ref="H273:J273"/>
    <mergeCell ref="H274:J274"/>
    <mergeCell ref="H275:J275"/>
    <mergeCell ref="H278:J278"/>
    <mergeCell ref="H279:J279"/>
    <mergeCell ref="H280:I280"/>
    <mergeCell ref="H281:J281"/>
    <mergeCell ref="H282:J282"/>
    <mergeCell ref="H284:J284"/>
    <mergeCell ref="H286:J286"/>
    <mergeCell ref="H287:J287"/>
    <mergeCell ref="H288:I288"/>
    <mergeCell ref="H289:J289"/>
    <mergeCell ref="H290:J290"/>
    <mergeCell ref="H291:J291"/>
    <mergeCell ref="H292:J292"/>
    <mergeCell ref="H293:J293"/>
    <mergeCell ref="H294:J294"/>
    <mergeCell ref="H295:J295"/>
    <mergeCell ref="H296:J296"/>
    <mergeCell ref="H297:J297"/>
    <mergeCell ref="H298:J298"/>
    <mergeCell ref="H299:J299"/>
    <mergeCell ref="H300:J300"/>
    <mergeCell ref="H301:J301"/>
    <mergeCell ref="H302:J302"/>
    <mergeCell ref="H303:J303"/>
    <mergeCell ref="H304:J304"/>
    <mergeCell ref="H305:J305"/>
    <mergeCell ref="H306:J306"/>
    <mergeCell ref="H307:J307"/>
    <mergeCell ref="H308:J308"/>
    <mergeCell ref="H309:J309"/>
    <mergeCell ref="H310:J310"/>
    <mergeCell ref="H311:J311"/>
    <mergeCell ref="H312:J312"/>
    <mergeCell ref="H313:J313"/>
    <mergeCell ref="H314:J314"/>
    <mergeCell ref="H315:J315"/>
    <mergeCell ref="H316:J316"/>
    <mergeCell ref="H317:J317"/>
    <mergeCell ref="H318:J318"/>
    <mergeCell ref="H319:J319"/>
    <mergeCell ref="H320:J320"/>
    <mergeCell ref="H321:J321"/>
    <mergeCell ref="H322:J322"/>
    <mergeCell ref="H323:J323"/>
    <mergeCell ref="H324:J324"/>
    <mergeCell ref="H325:J325"/>
    <mergeCell ref="H326:J326"/>
    <mergeCell ref="H328:J328"/>
    <mergeCell ref="H329:J329"/>
    <mergeCell ref="H330:J330"/>
    <mergeCell ref="H331:J331"/>
    <mergeCell ref="H332:J332"/>
    <mergeCell ref="H333:J333"/>
    <mergeCell ref="H334:J334"/>
    <mergeCell ref="H335:J335"/>
    <mergeCell ref="H336:J336"/>
    <mergeCell ref="H337:J337"/>
    <mergeCell ref="H338:J338"/>
    <mergeCell ref="H339:J339"/>
    <mergeCell ref="H341:J341"/>
    <mergeCell ref="H342:J342"/>
    <mergeCell ref="H343:J343"/>
    <mergeCell ref="H344:J344"/>
    <mergeCell ref="H345:J345"/>
    <mergeCell ref="H346:J346"/>
    <mergeCell ref="H347:J347"/>
    <mergeCell ref="H348:J348"/>
    <mergeCell ref="H349:J349"/>
    <mergeCell ref="H350:J350"/>
    <mergeCell ref="H352:J352"/>
    <mergeCell ref="H353:J353"/>
    <mergeCell ref="H354:J354"/>
    <mergeCell ref="H355:J355"/>
    <mergeCell ref="H356:J356"/>
    <mergeCell ref="H357:J357"/>
    <mergeCell ref="H358:J358"/>
    <mergeCell ref="H359:J359"/>
    <mergeCell ref="H360:J360"/>
    <mergeCell ref="H361:J361"/>
    <mergeCell ref="H362:J362"/>
    <mergeCell ref="H364:J364"/>
    <mergeCell ref="H367:J367"/>
    <mergeCell ref="H368:J368"/>
    <mergeCell ref="H369:J369"/>
    <mergeCell ref="H370:I370"/>
    <mergeCell ref="H371:J371"/>
    <mergeCell ref="H372:J372"/>
    <mergeCell ref="H374:J374"/>
    <mergeCell ref="H375:J375"/>
    <mergeCell ref="H376:J376"/>
    <mergeCell ref="H378:J378"/>
    <mergeCell ref="H379:J379"/>
    <mergeCell ref="H380:J380"/>
    <mergeCell ref="H382:J382"/>
    <mergeCell ref="H383:J383"/>
    <mergeCell ref="B388:J388"/>
    <mergeCell ref="B390:J394"/>
    <mergeCell ref="H387:J387"/>
  </mergeCells>
  <printOptions/>
  <pageMargins left="0.1968503937007874" right="0.1968503937007874" top="0.15748031496062992" bottom="0.3937007874015748" header="0.15748031496062992" footer="0.2755905511811024"/>
  <pageSetup horizontalDpi="600" verticalDpi="600" orientation="landscape" paperSize="9" scale="70" r:id="rId1"/>
  <headerFooter scaleWithDoc="0"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89"/>
  <sheetViews>
    <sheetView zoomScalePageLayoutView="0" workbookViewId="0" topLeftCell="A1">
      <pane xSplit="6" ySplit="6" topLeftCell="G13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Q142" sqref="Q142"/>
    </sheetView>
  </sheetViews>
  <sheetFormatPr defaultColWidth="9.140625" defaultRowHeight="12.75"/>
  <cols>
    <col min="1" max="1" width="7.00390625" style="22" customWidth="1"/>
    <col min="2" max="3" width="7.57421875" style="22" customWidth="1"/>
    <col min="4" max="4" width="5.57421875" style="22" customWidth="1"/>
    <col min="5" max="5" width="7.140625" style="865" customWidth="1"/>
    <col min="6" max="6" width="1.421875" style="22" hidden="1" customWidth="1"/>
    <col min="7" max="7" width="9.140625" style="22" customWidth="1"/>
    <col min="8" max="10" width="14.421875" style="22" customWidth="1"/>
    <col min="11" max="11" width="14.421875" style="179" hidden="1" customWidth="1"/>
    <col min="12" max="12" width="14.421875" style="26" hidden="1" customWidth="1"/>
    <col min="13" max="15" width="14.421875" style="26" customWidth="1"/>
    <col min="16" max="18" width="14.421875" style="22" customWidth="1"/>
    <col min="19" max="19" width="14.421875" style="26" customWidth="1"/>
    <col min="20" max="28" width="14.421875" style="22" customWidth="1"/>
    <col min="29" max="31" width="9.140625" style="22" customWidth="1"/>
    <col min="32" max="16384" width="9.140625" style="22" customWidth="1"/>
  </cols>
  <sheetData>
    <row r="1" spans="1:11" ht="12.75">
      <c r="A1" s="25"/>
      <c r="B1" s="80" t="s">
        <v>134</v>
      </c>
      <c r="C1" s="25"/>
      <c r="D1" s="25"/>
      <c r="E1" s="849"/>
      <c r="F1" s="25"/>
      <c r="G1" s="401"/>
      <c r="H1" s="25"/>
      <c r="I1" s="25"/>
      <c r="J1" s="25"/>
      <c r="K1" s="386"/>
    </row>
    <row r="2" spans="1:15" ht="12.75">
      <c r="A2" s="25"/>
      <c r="B2" s="81" t="s">
        <v>135</v>
      </c>
      <c r="C2" s="25"/>
      <c r="D2" s="25"/>
      <c r="E2" s="849"/>
      <c r="F2" s="25"/>
      <c r="G2" s="401"/>
      <c r="H2" s="25"/>
      <c r="I2" s="25"/>
      <c r="J2" s="25"/>
      <c r="K2" s="386"/>
      <c r="M2" s="28"/>
      <c r="N2" s="28"/>
      <c r="O2" s="28"/>
    </row>
    <row r="3" spans="1:15" ht="12.75">
      <c r="A3" s="25"/>
      <c r="B3" s="81"/>
      <c r="C3" s="25"/>
      <c r="D3" s="25"/>
      <c r="E3" s="849"/>
      <c r="F3" s="25"/>
      <c r="G3" s="401"/>
      <c r="H3" s="25"/>
      <c r="I3" s="25"/>
      <c r="J3" s="25"/>
      <c r="K3" s="386"/>
      <c r="M3" s="28"/>
      <c r="N3" s="28"/>
      <c r="O3" s="28"/>
    </row>
    <row r="4" spans="1:15" ht="12.75">
      <c r="A4" s="25"/>
      <c r="B4" s="1785" t="s">
        <v>1528</v>
      </c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716"/>
      <c r="O4" s="716"/>
    </row>
    <row r="5" spans="1:15" ht="15.75" thickBot="1">
      <c r="A5" s="25"/>
      <c r="B5" s="29"/>
      <c r="C5" s="29"/>
      <c r="D5" s="29"/>
      <c r="E5" s="850"/>
      <c r="F5" s="82"/>
      <c r="G5" s="29"/>
      <c r="H5" s="29"/>
      <c r="I5" s="29"/>
      <c r="J5" s="29"/>
      <c r="K5" s="387"/>
      <c r="M5" s="715"/>
      <c r="N5" s="715"/>
      <c r="O5" s="349" t="s">
        <v>1506</v>
      </c>
    </row>
    <row r="6" spans="1:15" ht="63.75" thickBot="1">
      <c r="A6" s="83" t="s">
        <v>136</v>
      </c>
      <c r="B6" s="84" t="s">
        <v>137</v>
      </c>
      <c r="C6" s="84" t="s">
        <v>138</v>
      </c>
      <c r="D6" s="84" t="s">
        <v>139</v>
      </c>
      <c r="E6" s="851" t="s">
        <v>140</v>
      </c>
      <c r="F6" s="84" t="s">
        <v>141</v>
      </c>
      <c r="G6" s="1786" t="s">
        <v>142</v>
      </c>
      <c r="H6" s="1787"/>
      <c r="I6" s="1787"/>
      <c r="J6" s="1788"/>
      <c r="K6" s="85" t="s">
        <v>1319</v>
      </c>
      <c r="L6" s="85" t="s">
        <v>1319</v>
      </c>
      <c r="M6" s="960" t="s">
        <v>1339</v>
      </c>
      <c r="N6" s="960" t="s">
        <v>1498</v>
      </c>
      <c r="O6" s="960" t="s">
        <v>1529</v>
      </c>
    </row>
    <row r="7" spans="1:15" ht="12.75">
      <c r="A7" s="86" t="s">
        <v>16</v>
      </c>
      <c r="B7" s="30"/>
      <c r="C7" s="30"/>
      <c r="D7" s="30"/>
      <c r="E7" s="168"/>
      <c r="F7" s="30"/>
      <c r="G7" s="1789" t="s">
        <v>143</v>
      </c>
      <c r="H7" s="1790"/>
      <c r="I7" s="1790"/>
      <c r="J7" s="1791"/>
      <c r="K7" s="75" t="e">
        <f>K8+K102</f>
        <v>#REF!</v>
      </c>
      <c r="L7" s="75" t="e">
        <f>L8+L102</f>
        <v>#REF!</v>
      </c>
      <c r="M7" s="866">
        <f>M8+M102</f>
        <v>453286579</v>
      </c>
      <c r="N7" s="866">
        <v>432305340</v>
      </c>
      <c r="O7" s="866">
        <v>432305340</v>
      </c>
    </row>
    <row r="8" spans="1:19" s="32" customFormat="1" ht="12.75">
      <c r="A8" s="31"/>
      <c r="B8" s="87">
        <v>7</v>
      </c>
      <c r="C8" s="88"/>
      <c r="D8" s="88"/>
      <c r="E8" s="140"/>
      <c r="F8" s="89"/>
      <c r="G8" s="1740" t="s">
        <v>144</v>
      </c>
      <c r="H8" s="1741"/>
      <c r="I8" s="1741"/>
      <c r="J8" s="1784"/>
      <c r="K8" s="91" t="e">
        <f>K9+K22+K29+K39+K51+K55+K58+K75+K88+K92+K97</f>
        <v>#REF!</v>
      </c>
      <c r="L8" s="91" t="e">
        <f>L9+L22+L29+L39+L51+L55+L58+L75+L88+L92+L97</f>
        <v>#REF!</v>
      </c>
      <c r="M8" s="867">
        <f>M9+M22+M29+M39+M51+M55+M58+M75+M88+M92+M97+M26</f>
        <v>453218579</v>
      </c>
      <c r="N8" s="867">
        <f>N9+N22+N29+N39+N51+N55+N58+N75+N88+N92+N97+N26</f>
        <v>437248340</v>
      </c>
      <c r="O8" s="867">
        <f>O9+O22+O29+O39+O51+O55+O58+O75+O88+O92+O97+O26</f>
        <v>437248340</v>
      </c>
      <c r="P8" s="520"/>
      <c r="Q8" s="347"/>
      <c r="S8" s="156"/>
    </row>
    <row r="9" spans="1:17" s="26" customFormat="1" ht="12.75">
      <c r="A9" s="163"/>
      <c r="B9" s="92"/>
      <c r="C9" s="92">
        <v>711</v>
      </c>
      <c r="D9" s="92"/>
      <c r="E9" s="852"/>
      <c r="F9" s="92"/>
      <c r="G9" s="92" t="s">
        <v>145</v>
      </c>
      <c r="H9" s="92"/>
      <c r="I9" s="92"/>
      <c r="J9" s="92"/>
      <c r="K9" s="384">
        <f>K10</f>
        <v>120550000</v>
      </c>
      <c r="L9" s="384">
        <f>L10</f>
        <v>120550000</v>
      </c>
      <c r="M9" s="868">
        <f>M10</f>
        <v>137243000</v>
      </c>
      <c r="N9" s="868">
        <v>136943000</v>
      </c>
      <c r="O9" s="868">
        <v>136943000</v>
      </c>
      <c r="P9" s="558"/>
      <c r="Q9" s="347"/>
    </row>
    <row r="10" spans="1:17" ht="12.75">
      <c r="A10" s="34"/>
      <c r="B10" s="97"/>
      <c r="C10" s="97"/>
      <c r="D10" s="98">
        <v>7111</v>
      </c>
      <c r="E10" s="853"/>
      <c r="F10" s="99"/>
      <c r="G10" s="1748" t="s">
        <v>146</v>
      </c>
      <c r="H10" s="1749"/>
      <c r="I10" s="1749"/>
      <c r="J10" s="1750"/>
      <c r="K10" s="103">
        <f>SUM(K11:K25)</f>
        <v>120550000</v>
      </c>
      <c r="L10" s="103">
        <f>SUM(L11:L25)</f>
        <v>120550000</v>
      </c>
      <c r="M10" s="869">
        <f>SUM(M11:M25)</f>
        <v>137243000</v>
      </c>
      <c r="N10" s="869">
        <v>136943000</v>
      </c>
      <c r="O10" s="869">
        <v>136943000</v>
      </c>
      <c r="P10" s="343"/>
      <c r="Q10" s="347"/>
    </row>
    <row r="11" spans="1:16" ht="12.75">
      <c r="A11" s="35"/>
      <c r="B11" s="104"/>
      <c r="C11" s="104"/>
      <c r="D11" s="104"/>
      <c r="E11" s="854">
        <v>711111</v>
      </c>
      <c r="F11" s="105"/>
      <c r="G11" s="1751" t="s">
        <v>147</v>
      </c>
      <c r="H11" s="1752"/>
      <c r="I11" s="64"/>
      <c r="J11" s="108"/>
      <c r="K11" s="388">
        <v>90000000</v>
      </c>
      <c r="L11" s="109">
        <v>90000000</v>
      </c>
      <c r="M11" s="870">
        <v>109000000</v>
      </c>
      <c r="N11" s="870">
        <v>109000000</v>
      </c>
      <c r="O11" s="870">
        <v>109000000</v>
      </c>
      <c r="P11" s="559"/>
    </row>
    <row r="12" spans="1:17" ht="12.75">
      <c r="A12" s="35"/>
      <c r="B12" s="104"/>
      <c r="C12" s="104"/>
      <c r="D12" s="104"/>
      <c r="E12" s="854">
        <v>711121</v>
      </c>
      <c r="F12" s="105"/>
      <c r="G12" s="1751" t="s">
        <v>1445</v>
      </c>
      <c r="H12" s="1752"/>
      <c r="I12" s="1752"/>
      <c r="J12" s="1753"/>
      <c r="K12" s="389">
        <v>100000</v>
      </c>
      <c r="L12" s="109">
        <v>100000</v>
      </c>
      <c r="M12" s="870">
        <v>100000</v>
      </c>
      <c r="N12" s="870">
        <v>100000</v>
      </c>
      <c r="O12" s="870">
        <v>100000</v>
      </c>
      <c r="Q12" s="1"/>
    </row>
    <row r="13" spans="1:17" ht="12.75">
      <c r="A13" s="35"/>
      <c r="B13" s="104"/>
      <c r="C13" s="104"/>
      <c r="D13" s="104"/>
      <c r="E13" s="855">
        <v>711122</v>
      </c>
      <c r="F13" s="105"/>
      <c r="G13" s="106" t="s">
        <v>1446</v>
      </c>
      <c r="H13" s="107"/>
      <c r="I13" s="107"/>
      <c r="J13" s="110"/>
      <c r="K13" s="389">
        <v>1000000</v>
      </c>
      <c r="L13" s="109">
        <v>1000000</v>
      </c>
      <c r="M13" s="870">
        <v>4500000</v>
      </c>
      <c r="N13" s="870">
        <v>4500000</v>
      </c>
      <c r="O13" s="870">
        <v>4500000</v>
      </c>
      <c r="Q13" s="1"/>
    </row>
    <row r="14" spans="1:17" ht="12.75">
      <c r="A14" s="35"/>
      <c r="B14" s="104"/>
      <c r="C14" s="104"/>
      <c r="D14" s="104"/>
      <c r="E14" s="855">
        <v>711123</v>
      </c>
      <c r="F14" s="105"/>
      <c r="G14" s="106" t="s">
        <v>1447</v>
      </c>
      <c r="H14" s="107"/>
      <c r="I14" s="107"/>
      <c r="J14" s="110"/>
      <c r="K14" s="389">
        <v>6500000</v>
      </c>
      <c r="L14" s="109">
        <v>6500000</v>
      </c>
      <c r="M14" s="870">
        <v>6500000</v>
      </c>
      <c r="N14" s="870">
        <v>6500000</v>
      </c>
      <c r="O14" s="870">
        <v>6500000</v>
      </c>
      <c r="Q14" s="1"/>
    </row>
    <row r="15" spans="1:15" ht="12.75">
      <c r="A15" s="35"/>
      <c r="B15" s="104"/>
      <c r="C15" s="104"/>
      <c r="D15" s="104"/>
      <c r="E15" s="855">
        <v>711145</v>
      </c>
      <c r="F15" s="105"/>
      <c r="G15" s="1751" t="s">
        <v>1448</v>
      </c>
      <c r="H15" s="1752"/>
      <c r="I15" s="1752"/>
      <c r="J15" s="108"/>
      <c r="K15" s="388">
        <v>450000</v>
      </c>
      <c r="L15" s="111">
        <v>450000</v>
      </c>
      <c r="M15" s="870">
        <v>450000</v>
      </c>
      <c r="N15" s="870">
        <v>450000</v>
      </c>
      <c r="O15" s="870">
        <v>450000</v>
      </c>
    </row>
    <row r="16" spans="1:17" ht="12.75" hidden="1">
      <c r="A16" s="35"/>
      <c r="B16" s="104"/>
      <c r="C16" s="104"/>
      <c r="D16" s="104"/>
      <c r="E16" s="855">
        <v>71116</v>
      </c>
      <c r="F16" s="105"/>
      <c r="G16" s="106" t="s">
        <v>205</v>
      </c>
      <c r="H16" s="107"/>
      <c r="I16" s="107"/>
      <c r="J16" s="108"/>
      <c r="K16" s="388">
        <v>0</v>
      </c>
      <c r="L16" s="111">
        <v>0</v>
      </c>
      <c r="M16" s="870">
        <v>0</v>
      </c>
      <c r="N16" s="870">
        <v>0</v>
      </c>
      <c r="O16" s="870">
        <v>0</v>
      </c>
      <c r="Q16" s="1"/>
    </row>
    <row r="17" spans="1:17" ht="12.75">
      <c r="A17" s="35"/>
      <c r="B17" s="104"/>
      <c r="C17" s="104"/>
      <c r="D17" s="104"/>
      <c r="E17" s="855">
        <v>711147</v>
      </c>
      <c r="F17" s="105"/>
      <c r="G17" s="106" t="s">
        <v>1449</v>
      </c>
      <c r="H17" s="107"/>
      <c r="I17" s="107"/>
      <c r="J17" s="108"/>
      <c r="K17" s="388">
        <v>500000</v>
      </c>
      <c r="L17" s="111">
        <v>500000</v>
      </c>
      <c r="M17" s="870">
        <v>500000</v>
      </c>
      <c r="N17" s="870">
        <v>500000</v>
      </c>
      <c r="O17" s="870">
        <v>500000</v>
      </c>
      <c r="Q17" s="1"/>
    </row>
    <row r="18" spans="1:15" ht="12.75">
      <c r="A18" s="35"/>
      <c r="B18" s="104"/>
      <c r="C18" s="104"/>
      <c r="D18" s="104"/>
      <c r="E18" s="855">
        <v>711181</v>
      </c>
      <c r="F18" s="105"/>
      <c r="G18" s="1751" t="s">
        <v>1450</v>
      </c>
      <c r="H18" s="1752"/>
      <c r="I18" s="64"/>
      <c r="J18" s="108"/>
      <c r="K18" s="388">
        <v>4500000</v>
      </c>
      <c r="L18" s="109">
        <v>4500000</v>
      </c>
      <c r="M18" s="870">
        <v>3000000</v>
      </c>
      <c r="N18" s="870">
        <v>3000000</v>
      </c>
      <c r="O18" s="870">
        <v>3000000</v>
      </c>
    </row>
    <row r="19" spans="1:15" ht="12.75">
      <c r="A19" s="35"/>
      <c r="B19" s="104"/>
      <c r="C19" s="104"/>
      <c r="D19" s="104"/>
      <c r="E19" s="855">
        <v>711183</v>
      </c>
      <c r="F19" s="105"/>
      <c r="G19" s="106" t="s">
        <v>1451</v>
      </c>
      <c r="H19" s="107"/>
      <c r="I19" s="64"/>
      <c r="J19" s="108"/>
      <c r="K19" s="388">
        <v>1000000</v>
      </c>
      <c r="L19" s="109">
        <v>1000000</v>
      </c>
      <c r="M19" s="870">
        <v>1000000</v>
      </c>
      <c r="N19" s="870">
        <v>1000000</v>
      </c>
      <c r="O19" s="870">
        <v>1000000</v>
      </c>
    </row>
    <row r="20" spans="1:15" ht="12.75">
      <c r="A20" s="35"/>
      <c r="B20" s="104"/>
      <c r="C20" s="104"/>
      <c r="D20" s="104"/>
      <c r="E20" s="855">
        <v>711184</v>
      </c>
      <c r="F20" s="105"/>
      <c r="G20" s="106" t="s">
        <v>1452</v>
      </c>
      <c r="H20" s="107"/>
      <c r="I20" s="64"/>
      <c r="J20" s="108"/>
      <c r="K20" s="388">
        <v>500000</v>
      </c>
      <c r="L20" s="109">
        <v>500000</v>
      </c>
      <c r="M20" s="870">
        <v>893000</v>
      </c>
      <c r="N20" s="870">
        <v>893000</v>
      </c>
      <c r="O20" s="870">
        <v>893000</v>
      </c>
    </row>
    <row r="21" spans="1:15" ht="12.75">
      <c r="A21" s="35"/>
      <c r="B21" s="104"/>
      <c r="C21" s="104"/>
      <c r="D21" s="104"/>
      <c r="E21" s="855">
        <v>711191</v>
      </c>
      <c r="F21" s="105"/>
      <c r="G21" s="1751" t="s">
        <v>1453</v>
      </c>
      <c r="H21" s="1752"/>
      <c r="I21" s="1752"/>
      <c r="J21" s="1753"/>
      <c r="K21" s="389">
        <v>15800000</v>
      </c>
      <c r="L21" s="109">
        <v>15800000</v>
      </c>
      <c r="M21" s="870">
        <v>10100000</v>
      </c>
      <c r="N21" s="870">
        <v>10100000</v>
      </c>
      <c r="O21" s="870">
        <v>10100000</v>
      </c>
    </row>
    <row r="22" spans="1:15" ht="12.75" hidden="1">
      <c r="A22" s="33"/>
      <c r="B22" s="92"/>
      <c r="C22" s="93">
        <v>712</v>
      </c>
      <c r="D22" s="92"/>
      <c r="E22" s="157"/>
      <c r="F22" s="94"/>
      <c r="G22" s="1745" t="s">
        <v>148</v>
      </c>
      <c r="H22" s="1746"/>
      <c r="I22" s="1746"/>
      <c r="J22" s="112"/>
      <c r="K22" s="113">
        <f aca="true" t="shared" si="0" ref="K22:M23">SUM(K23)</f>
        <v>0</v>
      </c>
      <c r="L22" s="113">
        <f t="shared" si="0"/>
        <v>0</v>
      </c>
      <c r="M22" s="871">
        <f t="shared" si="0"/>
        <v>0</v>
      </c>
      <c r="N22" s="871">
        <v>0</v>
      </c>
      <c r="O22" s="871">
        <v>0</v>
      </c>
    </row>
    <row r="23" spans="1:15" ht="12.75" hidden="1">
      <c r="A23" s="34"/>
      <c r="B23" s="97"/>
      <c r="C23" s="97"/>
      <c r="D23" s="98">
        <v>7121</v>
      </c>
      <c r="E23" s="856"/>
      <c r="F23" s="99"/>
      <c r="G23" s="100" t="s">
        <v>149</v>
      </c>
      <c r="H23" s="101"/>
      <c r="I23" s="114"/>
      <c r="J23" s="115"/>
      <c r="K23" s="117">
        <f t="shared" si="0"/>
        <v>0</v>
      </c>
      <c r="L23" s="117">
        <f t="shared" si="0"/>
        <v>0</v>
      </c>
      <c r="M23" s="872">
        <f t="shared" si="0"/>
        <v>0</v>
      </c>
      <c r="N23" s="872">
        <v>0</v>
      </c>
      <c r="O23" s="872">
        <v>0</v>
      </c>
    </row>
    <row r="24" spans="1:15" ht="12.75" hidden="1">
      <c r="A24" s="35"/>
      <c r="B24" s="104"/>
      <c r="C24" s="104"/>
      <c r="D24" s="104"/>
      <c r="E24" s="855">
        <v>71211</v>
      </c>
      <c r="F24" s="105"/>
      <c r="G24" s="1751" t="s">
        <v>149</v>
      </c>
      <c r="H24" s="1752"/>
      <c r="I24" s="64"/>
      <c r="J24" s="115"/>
      <c r="K24" s="390">
        <v>0</v>
      </c>
      <c r="L24" s="118">
        <v>0</v>
      </c>
      <c r="M24" s="873">
        <v>0</v>
      </c>
      <c r="N24" s="873">
        <v>0</v>
      </c>
      <c r="O24" s="873">
        <v>0</v>
      </c>
    </row>
    <row r="25" spans="1:15" ht="12.75">
      <c r="A25" s="35"/>
      <c r="B25" s="104"/>
      <c r="C25" s="104"/>
      <c r="D25" s="104"/>
      <c r="E25" s="855">
        <v>711193</v>
      </c>
      <c r="F25" s="105"/>
      <c r="G25" s="106" t="s">
        <v>1454</v>
      </c>
      <c r="H25" s="107"/>
      <c r="I25" s="64"/>
      <c r="J25" s="115"/>
      <c r="K25" s="390">
        <v>200000</v>
      </c>
      <c r="L25" s="118">
        <v>200000</v>
      </c>
      <c r="M25" s="873">
        <v>1200000</v>
      </c>
      <c r="N25" s="873">
        <v>1200000</v>
      </c>
      <c r="O25" s="873">
        <v>1200000</v>
      </c>
    </row>
    <row r="26" spans="1:15" ht="12.75">
      <c r="A26" s="35"/>
      <c r="B26" s="1474"/>
      <c r="C26" s="1474">
        <v>712</v>
      </c>
      <c r="D26" s="1474"/>
      <c r="E26" s="1475"/>
      <c r="F26" s="1476"/>
      <c r="G26" s="1477" t="s">
        <v>148</v>
      </c>
      <c r="H26" s="1478"/>
      <c r="I26" s="1479"/>
      <c r="J26" s="1480"/>
      <c r="K26" s="1481"/>
      <c r="L26" s="1482"/>
      <c r="M26" s="1483">
        <f aca="true" t="shared" si="1" ref="M26:O27">M27</f>
        <v>8000</v>
      </c>
      <c r="N26" s="1483">
        <f t="shared" si="1"/>
        <v>8000</v>
      </c>
      <c r="O26" s="1483">
        <f t="shared" si="1"/>
        <v>8000</v>
      </c>
    </row>
    <row r="27" spans="1:15" ht="12.75">
      <c r="A27" s="35"/>
      <c r="B27" s="104"/>
      <c r="C27" s="104"/>
      <c r="D27" s="104">
        <v>7121</v>
      </c>
      <c r="E27" s="855"/>
      <c r="F27" s="105"/>
      <c r="G27" s="100" t="s">
        <v>149</v>
      </c>
      <c r="H27" s="101"/>
      <c r="I27" s="64"/>
      <c r="J27" s="115"/>
      <c r="K27" s="390"/>
      <c r="L27" s="118"/>
      <c r="M27" s="873">
        <f t="shared" si="1"/>
        <v>8000</v>
      </c>
      <c r="N27" s="873">
        <f t="shared" si="1"/>
        <v>8000</v>
      </c>
      <c r="O27" s="873">
        <f t="shared" si="1"/>
        <v>8000</v>
      </c>
    </row>
    <row r="28" spans="1:15" ht="12.75">
      <c r="A28" s="35"/>
      <c r="B28" s="104"/>
      <c r="C28" s="104"/>
      <c r="D28" s="104"/>
      <c r="E28" s="855">
        <v>712112</v>
      </c>
      <c r="F28" s="105"/>
      <c r="G28" s="106" t="s">
        <v>149</v>
      </c>
      <c r="H28" s="107"/>
      <c r="I28" s="64"/>
      <c r="J28" s="115"/>
      <c r="K28" s="390"/>
      <c r="L28" s="118"/>
      <c r="M28" s="873">
        <v>8000</v>
      </c>
      <c r="N28" s="873">
        <v>8000</v>
      </c>
      <c r="O28" s="873">
        <v>8000</v>
      </c>
    </row>
    <row r="29" spans="1:19" ht="12.75">
      <c r="A29" s="33"/>
      <c r="B29" s="92"/>
      <c r="C29" s="93">
        <v>713</v>
      </c>
      <c r="D29" s="92"/>
      <c r="E29" s="852"/>
      <c r="F29" s="94"/>
      <c r="G29" s="1745" t="s">
        <v>150</v>
      </c>
      <c r="H29" s="1746"/>
      <c r="I29" s="119"/>
      <c r="J29" s="112"/>
      <c r="K29" s="96" t="e">
        <f>K30+K33+K35+#REF!</f>
        <v>#REF!</v>
      </c>
      <c r="L29" s="96" t="e">
        <f>L30+L33+L35+#REF!</f>
        <v>#REF!</v>
      </c>
      <c r="M29" s="874">
        <f>M30+M33+M35</f>
        <v>52442472</v>
      </c>
      <c r="N29" s="874">
        <v>49242472</v>
      </c>
      <c r="O29" s="874">
        <v>49242472</v>
      </c>
      <c r="Q29" s="560" t="s">
        <v>1188</v>
      </c>
      <c r="R29" s="561">
        <f>M9+M22+M29+M39+M51</f>
        <v>204770472</v>
      </c>
      <c r="S29" s="272"/>
    </row>
    <row r="30" spans="1:19" ht="12.75">
      <c r="A30" s="34"/>
      <c r="B30" s="97"/>
      <c r="C30" s="97"/>
      <c r="D30" s="98">
        <v>7131</v>
      </c>
      <c r="E30" s="853"/>
      <c r="F30" s="99"/>
      <c r="G30" s="1748" t="s">
        <v>151</v>
      </c>
      <c r="H30" s="1749"/>
      <c r="I30" s="1749"/>
      <c r="J30" s="115"/>
      <c r="K30" s="120">
        <f>SUM(K31:K32)</f>
        <v>34500000</v>
      </c>
      <c r="L30" s="120">
        <f>SUM(L31:L32)</f>
        <v>34500000</v>
      </c>
      <c r="M30" s="875">
        <f>SUM(M31:M32)</f>
        <v>43420000</v>
      </c>
      <c r="N30" s="875">
        <v>43420000</v>
      </c>
      <c r="O30" s="875">
        <v>43420000</v>
      </c>
      <c r="R30" s="668">
        <v>0.00105</v>
      </c>
      <c r="S30" s="757"/>
    </row>
    <row r="31" spans="1:19" ht="12.75">
      <c r="A31" s="35"/>
      <c r="B31" s="104"/>
      <c r="C31" s="104"/>
      <c r="D31" s="104"/>
      <c r="E31" s="855">
        <v>713121</v>
      </c>
      <c r="F31" s="105"/>
      <c r="G31" s="106" t="s">
        <v>1455</v>
      </c>
      <c r="H31" s="107"/>
      <c r="I31" s="64"/>
      <c r="J31" s="108"/>
      <c r="K31" s="388">
        <v>20000000</v>
      </c>
      <c r="L31" s="121">
        <v>20000000</v>
      </c>
      <c r="M31" s="876">
        <v>20920000</v>
      </c>
      <c r="N31" s="876">
        <v>20920000</v>
      </c>
      <c r="O31" s="876">
        <v>20920000</v>
      </c>
      <c r="Q31" s="349" t="s">
        <v>1189</v>
      </c>
      <c r="R31" s="562">
        <f>R29*R30</f>
        <v>215008.9956</v>
      </c>
      <c r="S31" s="272"/>
    </row>
    <row r="32" spans="1:19" ht="12.75">
      <c r="A32" s="35"/>
      <c r="B32" s="104"/>
      <c r="C32" s="104"/>
      <c r="D32" s="104"/>
      <c r="E32" s="855">
        <v>713122</v>
      </c>
      <c r="F32" s="105"/>
      <c r="G32" s="106" t="s">
        <v>1456</v>
      </c>
      <c r="H32" s="107"/>
      <c r="I32" s="64"/>
      <c r="J32" s="108"/>
      <c r="K32" s="388">
        <v>14500000</v>
      </c>
      <c r="L32" s="121">
        <v>14500000</v>
      </c>
      <c r="M32" s="876">
        <v>22500000</v>
      </c>
      <c r="N32" s="876">
        <v>22500000</v>
      </c>
      <c r="O32" s="876">
        <v>22500000</v>
      </c>
      <c r="Q32" s="349"/>
      <c r="R32" s="562"/>
      <c r="S32" s="272"/>
    </row>
    <row r="33" spans="1:15" ht="12.75">
      <c r="A33" s="34"/>
      <c r="B33" s="97"/>
      <c r="C33" s="97"/>
      <c r="D33" s="98">
        <v>7133</v>
      </c>
      <c r="E33" s="853"/>
      <c r="F33" s="99"/>
      <c r="G33" s="1748" t="s">
        <v>152</v>
      </c>
      <c r="H33" s="1749"/>
      <c r="I33" s="1749"/>
      <c r="J33" s="115"/>
      <c r="K33" s="116">
        <f>K34</f>
        <v>920000</v>
      </c>
      <c r="L33" s="116">
        <f>L34</f>
        <v>920000</v>
      </c>
      <c r="M33" s="877">
        <f>M34</f>
        <v>1000000</v>
      </c>
      <c r="N33" s="877">
        <v>1000000</v>
      </c>
      <c r="O33" s="877">
        <v>1000000</v>
      </c>
    </row>
    <row r="34" spans="1:15" ht="12.75">
      <c r="A34" s="35"/>
      <c r="B34" s="104"/>
      <c r="C34" s="104"/>
      <c r="D34" s="104"/>
      <c r="E34" s="855">
        <v>713311</v>
      </c>
      <c r="F34" s="105"/>
      <c r="G34" s="106" t="s">
        <v>153</v>
      </c>
      <c r="H34" s="107"/>
      <c r="I34" s="64"/>
      <c r="J34" s="108"/>
      <c r="K34" s="388">
        <v>920000</v>
      </c>
      <c r="L34" s="121">
        <v>920000</v>
      </c>
      <c r="M34" s="876">
        <v>1000000</v>
      </c>
      <c r="N34" s="876">
        <v>1000000</v>
      </c>
      <c r="O34" s="876">
        <v>1000000</v>
      </c>
    </row>
    <row r="35" spans="1:19" ht="12.75">
      <c r="A35" s="34"/>
      <c r="B35" s="97"/>
      <c r="C35" s="97"/>
      <c r="D35" s="98">
        <v>7134</v>
      </c>
      <c r="E35" s="853"/>
      <c r="F35" s="99"/>
      <c r="G35" s="1748" t="s">
        <v>154</v>
      </c>
      <c r="H35" s="1749"/>
      <c r="I35" s="1749"/>
      <c r="J35" s="1750"/>
      <c r="K35" s="120">
        <f>SUM(K36:K38)</f>
        <v>38722472</v>
      </c>
      <c r="L35" s="120">
        <f>SUM(L36:L38)</f>
        <v>38722472</v>
      </c>
      <c r="M35" s="875">
        <f>SUM(M36:M38)</f>
        <v>8022472</v>
      </c>
      <c r="N35" s="875">
        <v>4822472</v>
      </c>
      <c r="O35" s="875">
        <v>4822472</v>
      </c>
      <c r="R35" s="27"/>
      <c r="S35" s="758"/>
    </row>
    <row r="36" spans="1:19" ht="12.75">
      <c r="A36" s="35"/>
      <c r="B36" s="104"/>
      <c r="C36" s="104"/>
      <c r="D36" s="104"/>
      <c r="E36" s="855">
        <v>713421</v>
      </c>
      <c r="F36" s="105"/>
      <c r="G36" s="106" t="s">
        <v>1494</v>
      </c>
      <c r="H36" s="107"/>
      <c r="I36" s="64"/>
      <c r="J36" s="108"/>
      <c r="K36" s="388">
        <v>36900000</v>
      </c>
      <c r="L36" s="121">
        <v>36900000</v>
      </c>
      <c r="M36" s="876">
        <v>7500000</v>
      </c>
      <c r="N36" s="876">
        <v>7500000</v>
      </c>
      <c r="O36" s="876">
        <v>7500000</v>
      </c>
      <c r="Q36" s="349" t="s">
        <v>1190</v>
      </c>
      <c r="R36" s="562">
        <f>R29*R35</f>
        <v>0</v>
      </c>
      <c r="S36" s="272"/>
    </row>
    <row r="37" spans="1:15" ht="12.75">
      <c r="A37" s="35"/>
      <c r="B37" s="104"/>
      <c r="C37" s="104"/>
      <c r="D37" s="104"/>
      <c r="E37" s="855">
        <v>713423</v>
      </c>
      <c r="F37" s="105"/>
      <c r="G37" s="106" t="s">
        <v>1495</v>
      </c>
      <c r="H37" s="107"/>
      <c r="I37" s="64"/>
      <c r="J37" s="108"/>
      <c r="K37" s="388">
        <v>1722472</v>
      </c>
      <c r="L37" s="122">
        <v>1722472</v>
      </c>
      <c r="M37" s="878">
        <v>422472</v>
      </c>
      <c r="N37" s="878">
        <v>422472</v>
      </c>
      <c r="O37" s="878">
        <v>422472</v>
      </c>
    </row>
    <row r="38" spans="1:15" ht="12.75">
      <c r="A38" s="35"/>
      <c r="B38" s="104"/>
      <c r="C38" s="104"/>
      <c r="D38" s="104"/>
      <c r="E38" s="855">
        <v>713426</v>
      </c>
      <c r="F38" s="105"/>
      <c r="G38" s="106" t="s">
        <v>1457</v>
      </c>
      <c r="H38" s="107"/>
      <c r="I38" s="64"/>
      <c r="J38" s="108"/>
      <c r="K38" s="388">
        <v>100000</v>
      </c>
      <c r="L38" s="122">
        <v>100000</v>
      </c>
      <c r="M38" s="878">
        <v>100000</v>
      </c>
      <c r="N38" s="878">
        <v>100000</v>
      </c>
      <c r="O38" s="878">
        <v>100000</v>
      </c>
    </row>
    <row r="39" spans="1:15" ht="12.75">
      <c r="A39" s="33"/>
      <c r="B39" s="92"/>
      <c r="C39" s="93">
        <v>714</v>
      </c>
      <c r="D39" s="92"/>
      <c r="E39" s="852"/>
      <c r="F39" s="94"/>
      <c r="G39" s="1745" t="s">
        <v>155</v>
      </c>
      <c r="H39" s="1746"/>
      <c r="I39" s="1746"/>
      <c r="J39" s="112"/>
      <c r="K39" s="123">
        <f>K40+K43</f>
        <v>3810000</v>
      </c>
      <c r="L39" s="123">
        <f>L40+L43</f>
        <v>3810000</v>
      </c>
      <c r="M39" s="879">
        <f>M40+M43</f>
        <v>7160000</v>
      </c>
      <c r="N39" s="879">
        <v>7160000</v>
      </c>
      <c r="O39" s="879">
        <v>7160000</v>
      </c>
    </row>
    <row r="40" spans="1:19" ht="12.75">
      <c r="A40" s="34"/>
      <c r="B40" s="97"/>
      <c r="C40" s="97"/>
      <c r="D40" s="98">
        <v>7144</v>
      </c>
      <c r="E40" s="853"/>
      <c r="F40" s="99"/>
      <c r="G40" s="1748" t="s">
        <v>156</v>
      </c>
      <c r="H40" s="1749"/>
      <c r="I40" s="1749"/>
      <c r="J40" s="115"/>
      <c r="K40" s="124">
        <f>SUM(K41:K42)</f>
        <v>10000</v>
      </c>
      <c r="L40" s="124">
        <f>SUM(L41:L42)</f>
        <v>10000</v>
      </c>
      <c r="M40" s="880">
        <f>SUM(M41:M42)</f>
        <v>50000</v>
      </c>
      <c r="N40" s="880">
        <v>50000</v>
      </c>
      <c r="O40" s="880">
        <v>50000</v>
      </c>
      <c r="P40" s="1794" t="s">
        <v>1191</v>
      </c>
      <c r="Q40" s="1650"/>
      <c r="R40" s="562">
        <f>R31+R36</f>
        <v>215008.9956</v>
      </c>
      <c r="S40" s="272"/>
    </row>
    <row r="41" spans="1:15" ht="12.75">
      <c r="A41" s="35"/>
      <c r="B41" s="104"/>
      <c r="C41" s="104"/>
      <c r="D41" s="104"/>
      <c r="E41" s="855">
        <v>714431</v>
      </c>
      <c r="F41" s="105"/>
      <c r="G41" s="1751" t="s">
        <v>157</v>
      </c>
      <c r="H41" s="1752"/>
      <c r="I41" s="1752"/>
      <c r="J41" s="1753"/>
      <c r="K41" s="389">
        <v>10000</v>
      </c>
      <c r="L41" s="125">
        <v>10000</v>
      </c>
      <c r="M41" s="881">
        <v>50000</v>
      </c>
      <c r="N41" s="881">
        <v>50000</v>
      </c>
      <c r="O41" s="881">
        <v>50000</v>
      </c>
    </row>
    <row r="42" spans="1:15" ht="12.75" hidden="1">
      <c r="A42" s="35"/>
      <c r="B42" s="104"/>
      <c r="C42" s="104"/>
      <c r="D42" s="104"/>
      <c r="E42" s="854">
        <v>71444</v>
      </c>
      <c r="F42" s="105"/>
      <c r="G42" s="1754" t="s">
        <v>158</v>
      </c>
      <c r="H42" s="1755"/>
      <c r="I42" s="1755"/>
      <c r="J42" s="1756"/>
      <c r="K42" s="389">
        <v>0</v>
      </c>
      <c r="L42" s="122">
        <v>0</v>
      </c>
      <c r="M42" s="881">
        <v>0</v>
      </c>
      <c r="N42" s="881">
        <v>0</v>
      </c>
      <c r="O42" s="881">
        <v>0</v>
      </c>
    </row>
    <row r="43" spans="1:15" ht="12.75">
      <c r="A43" s="34"/>
      <c r="B43" s="97"/>
      <c r="C43" s="97"/>
      <c r="D43" s="98">
        <v>7145</v>
      </c>
      <c r="E43" s="853"/>
      <c r="F43" s="99"/>
      <c r="G43" s="1748" t="s">
        <v>159</v>
      </c>
      <c r="H43" s="1749"/>
      <c r="I43" s="1749"/>
      <c r="J43" s="1750"/>
      <c r="K43" s="120">
        <f>SUM(K44:K49)</f>
        <v>3800000</v>
      </c>
      <c r="L43" s="120">
        <f>SUM(L44:L49)</f>
        <v>3800000</v>
      </c>
      <c r="M43" s="875">
        <f>SUM(M44:M50)</f>
        <v>7110000</v>
      </c>
      <c r="N43" s="875">
        <v>7110000</v>
      </c>
      <c r="O43" s="875">
        <v>7110000</v>
      </c>
    </row>
    <row r="44" spans="1:15" ht="12.75">
      <c r="A44" s="35"/>
      <c r="B44" s="104"/>
      <c r="C44" s="104"/>
      <c r="D44" s="104"/>
      <c r="E44" s="855">
        <v>714513</v>
      </c>
      <c r="F44" s="105"/>
      <c r="G44" s="1751" t="s">
        <v>1493</v>
      </c>
      <c r="H44" s="1752"/>
      <c r="I44" s="1781"/>
      <c r="J44" s="1782"/>
      <c r="K44" s="388">
        <v>3000000</v>
      </c>
      <c r="L44" s="121">
        <v>3000000</v>
      </c>
      <c r="M44" s="876">
        <v>4000000</v>
      </c>
      <c r="N44" s="876">
        <v>4000000</v>
      </c>
      <c r="O44" s="876">
        <v>4000000</v>
      </c>
    </row>
    <row r="45" spans="1:15" ht="12.75" hidden="1">
      <c r="A45" s="35"/>
      <c r="B45" s="104"/>
      <c r="C45" s="104"/>
      <c r="D45" s="104"/>
      <c r="E45" s="854">
        <v>71454</v>
      </c>
      <c r="F45" s="105"/>
      <c r="G45" s="1751" t="s">
        <v>160</v>
      </c>
      <c r="H45" s="1752"/>
      <c r="I45" s="1752"/>
      <c r="J45" s="1753"/>
      <c r="K45" s="389">
        <v>0</v>
      </c>
      <c r="L45" s="126">
        <v>0</v>
      </c>
      <c r="M45" s="882">
        <v>0</v>
      </c>
      <c r="N45" s="882">
        <v>0</v>
      </c>
      <c r="O45" s="882">
        <v>0</v>
      </c>
    </row>
    <row r="46" spans="1:15" ht="12.75">
      <c r="A46" s="35"/>
      <c r="B46" s="104"/>
      <c r="C46" s="104"/>
      <c r="D46" s="104"/>
      <c r="E46" s="854">
        <v>714543</v>
      </c>
      <c r="F46" s="105"/>
      <c r="G46" s="106" t="s">
        <v>1516</v>
      </c>
      <c r="H46" s="107"/>
      <c r="I46" s="107"/>
      <c r="J46" s="110"/>
      <c r="K46" s="389"/>
      <c r="L46" s="126"/>
      <c r="M46" s="882">
        <v>10000</v>
      </c>
      <c r="N46" s="882">
        <v>10000</v>
      </c>
      <c r="O46" s="882">
        <v>10000</v>
      </c>
    </row>
    <row r="47" spans="1:15" ht="12.75">
      <c r="A47" s="35"/>
      <c r="B47" s="104"/>
      <c r="C47" s="104"/>
      <c r="D47" s="104"/>
      <c r="E47" s="854">
        <v>714549</v>
      </c>
      <c r="F47" s="105"/>
      <c r="G47" s="106" t="s">
        <v>1517</v>
      </c>
      <c r="H47" s="107"/>
      <c r="I47" s="107"/>
      <c r="J47" s="110"/>
      <c r="K47" s="389"/>
      <c r="L47" s="126"/>
      <c r="M47" s="882">
        <v>400000</v>
      </c>
      <c r="N47" s="882">
        <v>400000</v>
      </c>
      <c r="O47" s="882">
        <v>400000</v>
      </c>
    </row>
    <row r="48" spans="1:15" ht="12.75">
      <c r="A48" s="35"/>
      <c r="B48" s="104"/>
      <c r="C48" s="104"/>
      <c r="D48" s="104"/>
      <c r="E48" s="855">
        <v>714552</v>
      </c>
      <c r="F48" s="105"/>
      <c r="G48" s="1760" t="s">
        <v>1458</v>
      </c>
      <c r="H48" s="1761"/>
      <c r="I48" s="1761"/>
      <c r="J48" s="1762"/>
      <c r="K48" s="389">
        <v>500000</v>
      </c>
      <c r="L48" s="121">
        <v>500000</v>
      </c>
      <c r="M48" s="876">
        <v>400000</v>
      </c>
      <c r="N48" s="876">
        <v>400000</v>
      </c>
      <c r="O48" s="876">
        <v>400000</v>
      </c>
    </row>
    <row r="49" spans="1:15" ht="12.75">
      <c r="A49" s="35"/>
      <c r="B49" s="104"/>
      <c r="C49" s="104"/>
      <c r="D49" s="104"/>
      <c r="E49" s="855">
        <v>714562</v>
      </c>
      <c r="F49" s="812"/>
      <c r="G49" s="1754" t="s">
        <v>1459</v>
      </c>
      <c r="H49" s="1755"/>
      <c r="I49" s="1755"/>
      <c r="J49" s="1756"/>
      <c r="K49" s="389">
        <v>300000</v>
      </c>
      <c r="L49" s="126">
        <v>300000</v>
      </c>
      <c r="M49" s="882">
        <v>2000000</v>
      </c>
      <c r="N49" s="882">
        <v>2000000</v>
      </c>
      <c r="O49" s="882">
        <v>2000000</v>
      </c>
    </row>
    <row r="50" spans="1:15" ht="12.75">
      <c r="A50" s="35"/>
      <c r="B50" s="104"/>
      <c r="C50" s="104"/>
      <c r="D50" s="104"/>
      <c r="E50" s="855">
        <v>714565</v>
      </c>
      <c r="F50" s="812"/>
      <c r="G50" s="382" t="s">
        <v>1518</v>
      </c>
      <c r="H50" s="267"/>
      <c r="I50" s="267"/>
      <c r="J50" s="383"/>
      <c r="K50" s="389"/>
      <c r="L50" s="126"/>
      <c r="M50" s="882">
        <v>300000</v>
      </c>
      <c r="N50" s="882">
        <v>300000</v>
      </c>
      <c r="O50" s="882">
        <v>300000</v>
      </c>
    </row>
    <row r="51" spans="1:15" ht="12.75">
      <c r="A51" s="33"/>
      <c r="B51" s="92"/>
      <c r="C51" s="93">
        <v>716</v>
      </c>
      <c r="D51" s="92"/>
      <c r="E51" s="852"/>
      <c r="F51" s="94"/>
      <c r="G51" s="1745" t="s">
        <v>161</v>
      </c>
      <c r="H51" s="1746"/>
      <c r="I51" s="119"/>
      <c r="J51" s="112"/>
      <c r="K51" s="123">
        <f>K52</f>
        <v>1500000</v>
      </c>
      <c r="L51" s="123">
        <f>L52</f>
        <v>1500000</v>
      </c>
      <c r="M51" s="879">
        <f>M52</f>
        <v>7925000</v>
      </c>
      <c r="N51" s="879">
        <v>7925000</v>
      </c>
      <c r="O51" s="879">
        <v>7925000</v>
      </c>
    </row>
    <row r="52" spans="1:15" ht="12.75">
      <c r="A52" s="34"/>
      <c r="B52" s="97"/>
      <c r="C52" s="97"/>
      <c r="D52" s="98">
        <v>7161</v>
      </c>
      <c r="E52" s="853"/>
      <c r="F52" s="99"/>
      <c r="G52" s="1763" t="s">
        <v>162</v>
      </c>
      <c r="H52" s="1764"/>
      <c r="I52" s="1764"/>
      <c r="J52" s="1765"/>
      <c r="K52" s="120">
        <f>SUM(K53:K54)</f>
        <v>1500000</v>
      </c>
      <c r="L52" s="120">
        <f>SUM(L53:L54)</f>
        <v>1500000</v>
      </c>
      <c r="M52" s="875">
        <f>SUM(M53:M54)</f>
        <v>7925000</v>
      </c>
      <c r="N52" s="875">
        <v>7925000</v>
      </c>
      <c r="O52" s="875">
        <v>7925000</v>
      </c>
    </row>
    <row r="53" spans="1:15" ht="12.75">
      <c r="A53" s="35"/>
      <c r="B53" s="104"/>
      <c r="C53" s="104"/>
      <c r="D53" s="104"/>
      <c r="E53" s="855">
        <v>716111</v>
      </c>
      <c r="F53" s="105"/>
      <c r="G53" s="1754" t="s">
        <v>1460</v>
      </c>
      <c r="H53" s="1755"/>
      <c r="I53" s="1755"/>
      <c r="J53" s="1756"/>
      <c r="K53" s="389">
        <v>1450000</v>
      </c>
      <c r="L53" s="121">
        <v>1450000</v>
      </c>
      <c r="M53" s="883">
        <v>6925000</v>
      </c>
      <c r="N53" s="883">
        <v>6925000</v>
      </c>
      <c r="O53" s="883">
        <v>6925000</v>
      </c>
    </row>
    <row r="54" spans="1:15" ht="26.25" customHeight="1">
      <c r="A54" s="35"/>
      <c r="B54" s="104"/>
      <c r="C54" s="104"/>
      <c r="D54" s="104"/>
      <c r="E54" s="855">
        <v>716112</v>
      </c>
      <c r="F54" s="105"/>
      <c r="G54" s="1783" t="s">
        <v>1492</v>
      </c>
      <c r="H54" s="1755"/>
      <c r="I54" s="1755"/>
      <c r="J54" s="1756"/>
      <c r="K54" s="389">
        <v>50000</v>
      </c>
      <c r="L54" s="121">
        <v>50000</v>
      </c>
      <c r="M54" s="883">
        <v>1000000</v>
      </c>
      <c r="N54" s="883">
        <v>1000000</v>
      </c>
      <c r="O54" s="883">
        <v>1000000</v>
      </c>
    </row>
    <row r="55" spans="1:15" ht="12.75">
      <c r="A55" s="33"/>
      <c r="B55" s="92"/>
      <c r="C55" s="93">
        <v>733</v>
      </c>
      <c r="D55" s="92"/>
      <c r="E55" s="852"/>
      <c r="F55" s="94"/>
      <c r="G55" s="95" t="s">
        <v>163</v>
      </c>
      <c r="H55" s="77"/>
      <c r="I55" s="119"/>
      <c r="J55" s="112"/>
      <c r="K55" s="96">
        <f>K56</f>
        <v>160771510</v>
      </c>
      <c r="L55" s="96">
        <f>L56</f>
        <v>160771510</v>
      </c>
      <c r="M55" s="874">
        <f>M56</f>
        <v>160771510</v>
      </c>
      <c r="N55" s="874">
        <v>160771510</v>
      </c>
      <c r="O55" s="874">
        <v>160771510</v>
      </c>
    </row>
    <row r="56" spans="1:15" ht="12.75">
      <c r="A56" s="34"/>
      <c r="B56" s="97"/>
      <c r="C56" s="97"/>
      <c r="D56" s="98">
        <v>7331</v>
      </c>
      <c r="E56" s="853"/>
      <c r="F56" s="99"/>
      <c r="G56" s="1763" t="s">
        <v>164</v>
      </c>
      <c r="H56" s="1764"/>
      <c r="I56" s="1764"/>
      <c r="J56" s="1765"/>
      <c r="K56" s="103">
        <f>SUM(K57:K57)</f>
        <v>160771510</v>
      </c>
      <c r="L56" s="103">
        <f>SUM(L57:L57)</f>
        <v>160771510</v>
      </c>
      <c r="M56" s="869">
        <f>SUM(M57:M57)</f>
        <v>160771510</v>
      </c>
      <c r="N56" s="869">
        <v>160771510</v>
      </c>
      <c r="O56" s="869">
        <v>160771510</v>
      </c>
    </row>
    <row r="57" spans="1:15" s="26" customFormat="1" ht="12.75">
      <c r="A57" s="36"/>
      <c r="B57" s="127"/>
      <c r="C57" s="127"/>
      <c r="D57" s="127"/>
      <c r="E57" s="857">
        <v>733158</v>
      </c>
      <c r="F57" s="128"/>
      <c r="G57" s="1751" t="s">
        <v>173</v>
      </c>
      <c r="H57" s="1752"/>
      <c r="I57" s="1752"/>
      <c r="J57" s="1753"/>
      <c r="K57" s="389">
        <v>160771510</v>
      </c>
      <c r="L57" s="111">
        <v>160771510</v>
      </c>
      <c r="M57" s="884">
        <v>160771510</v>
      </c>
      <c r="N57" s="884">
        <v>160771510</v>
      </c>
      <c r="O57" s="884">
        <v>160771510</v>
      </c>
    </row>
    <row r="58" spans="1:15" ht="12.75">
      <c r="A58" s="33"/>
      <c r="B58" s="92"/>
      <c r="C58" s="93">
        <v>741</v>
      </c>
      <c r="D58" s="92"/>
      <c r="E58" s="852"/>
      <c r="F58" s="94"/>
      <c r="G58" s="1745" t="s">
        <v>174</v>
      </c>
      <c r="H58" s="1746"/>
      <c r="I58" s="119"/>
      <c r="J58" s="112"/>
      <c r="K58" s="123">
        <f>K59+K66+K64</f>
        <v>49825806</v>
      </c>
      <c r="L58" s="123">
        <f>L59+L66+L64</f>
        <v>49825806</v>
      </c>
      <c r="M58" s="879">
        <f>M59+M66+M64</f>
        <v>49370239</v>
      </c>
      <c r="N58" s="879">
        <v>36900000</v>
      </c>
      <c r="O58" s="879">
        <v>36900000</v>
      </c>
    </row>
    <row r="59" spans="1:17" ht="12.75">
      <c r="A59" s="34"/>
      <c r="B59" s="97"/>
      <c r="C59" s="97"/>
      <c r="D59" s="98">
        <v>7411</v>
      </c>
      <c r="E59" s="853"/>
      <c r="F59" s="99"/>
      <c r="G59" s="100" t="s">
        <v>175</v>
      </c>
      <c r="H59" s="101"/>
      <c r="I59" s="114"/>
      <c r="J59" s="115"/>
      <c r="K59" s="117">
        <f>K60</f>
        <v>5806751</v>
      </c>
      <c r="L59" s="117">
        <f>L60</f>
        <v>5806751</v>
      </c>
      <c r="M59" s="872">
        <f>M60</f>
        <v>3300000</v>
      </c>
      <c r="N59" s="872">
        <v>3300000</v>
      </c>
      <c r="O59" s="872">
        <v>3300000</v>
      </c>
      <c r="Q59" s="519"/>
    </row>
    <row r="60" spans="1:15" ht="12.75">
      <c r="A60" s="35"/>
      <c r="B60" s="104"/>
      <c r="C60" s="104"/>
      <c r="D60" s="104"/>
      <c r="E60" s="854">
        <v>741151</v>
      </c>
      <c r="F60" s="105"/>
      <c r="G60" s="1754" t="s">
        <v>1465</v>
      </c>
      <c r="H60" s="1755"/>
      <c r="I60" s="1755"/>
      <c r="J60" s="1756"/>
      <c r="K60" s="389">
        <v>5806751</v>
      </c>
      <c r="L60" s="130">
        <v>5806751</v>
      </c>
      <c r="M60" s="885">
        <v>3300000</v>
      </c>
      <c r="N60" s="885">
        <v>3300000</v>
      </c>
      <c r="O60" s="885">
        <v>3300000</v>
      </c>
    </row>
    <row r="61" spans="1:15" ht="12.75" hidden="1">
      <c r="A61" s="35"/>
      <c r="B61" s="104"/>
      <c r="C61" s="104"/>
      <c r="D61" s="133">
        <v>7414</v>
      </c>
      <c r="E61" s="854"/>
      <c r="F61" s="105"/>
      <c r="G61" s="381" t="s">
        <v>1175</v>
      </c>
      <c r="H61" s="267"/>
      <c r="I61" s="267"/>
      <c r="J61" s="383"/>
      <c r="K61" s="395">
        <f>K62</f>
        <v>0</v>
      </c>
      <c r="L61" s="395">
        <f>L62</f>
        <v>0</v>
      </c>
      <c r="M61" s="886">
        <f>M62</f>
        <v>0</v>
      </c>
      <c r="N61" s="886">
        <v>0</v>
      </c>
      <c r="O61" s="886">
        <v>0</v>
      </c>
    </row>
    <row r="62" spans="1:15" ht="12.75" hidden="1">
      <c r="A62" s="35"/>
      <c r="B62" s="104"/>
      <c r="C62" s="104"/>
      <c r="D62" s="104"/>
      <c r="E62" s="854">
        <v>74141</v>
      </c>
      <c r="F62" s="105"/>
      <c r="G62" s="382" t="s">
        <v>1175</v>
      </c>
      <c r="H62" s="267"/>
      <c r="I62" s="267"/>
      <c r="J62" s="383"/>
      <c r="K62" s="130">
        <v>0</v>
      </c>
      <c r="L62" s="130">
        <v>0</v>
      </c>
      <c r="M62" s="885">
        <v>0</v>
      </c>
      <c r="N62" s="885">
        <v>0</v>
      </c>
      <c r="O62" s="885">
        <v>0</v>
      </c>
    </row>
    <row r="63" spans="1:15" ht="12.75" hidden="1">
      <c r="A63" s="35"/>
      <c r="B63" s="104"/>
      <c r="C63" s="104"/>
      <c r="D63" s="104"/>
      <c r="E63" s="854"/>
      <c r="F63" s="105">
        <v>741414</v>
      </c>
      <c r="G63" s="382" t="s">
        <v>1174</v>
      </c>
      <c r="H63" s="267"/>
      <c r="I63" s="267"/>
      <c r="J63" s="383"/>
      <c r="K63" s="398">
        <v>0</v>
      </c>
      <c r="L63" s="399">
        <v>0</v>
      </c>
      <c r="M63" s="887">
        <v>0</v>
      </c>
      <c r="N63" s="887">
        <v>0</v>
      </c>
      <c r="O63" s="887">
        <v>0</v>
      </c>
    </row>
    <row r="64" spans="1:19" s="712" customFormat="1" ht="12.75">
      <c r="A64" s="34"/>
      <c r="B64" s="97"/>
      <c r="C64" s="97"/>
      <c r="D64" s="98">
        <v>7414</v>
      </c>
      <c r="E64" s="858"/>
      <c r="F64" s="99"/>
      <c r="G64" s="381" t="s">
        <v>1351</v>
      </c>
      <c r="H64" s="727"/>
      <c r="I64" s="727"/>
      <c r="J64" s="811"/>
      <c r="K64" s="755">
        <f>K65</f>
        <v>1100000</v>
      </c>
      <c r="L64" s="814">
        <f>L65</f>
        <v>1100000</v>
      </c>
      <c r="M64" s="888">
        <f>M65</f>
        <v>100000</v>
      </c>
      <c r="N64" s="888">
        <v>100000</v>
      </c>
      <c r="O64" s="888">
        <v>100000</v>
      </c>
      <c r="S64" s="759"/>
    </row>
    <row r="65" spans="1:15" ht="12.75">
      <c r="A65" s="35"/>
      <c r="B65" s="104"/>
      <c r="C65" s="104"/>
      <c r="D65" s="104"/>
      <c r="E65" s="854">
        <v>741414</v>
      </c>
      <c r="F65" s="105"/>
      <c r="G65" s="382" t="s">
        <v>1350</v>
      </c>
      <c r="H65" s="267"/>
      <c r="I65" s="267"/>
      <c r="J65" s="383"/>
      <c r="K65" s="398">
        <v>1100000</v>
      </c>
      <c r="L65" s="399">
        <v>1100000</v>
      </c>
      <c r="M65" s="887">
        <v>100000</v>
      </c>
      <c r="N65" s="887">
        <v>100000</v>
      </c>
      <c r="O65" s="887">
        <v>100000</v>
      </c>
    </row>
    <row r="66" spans="1:15" ht="12.75">
      <c r="A66" s="34"/>
      <c r="B66" s="97"/>
      <c r="C66" s="97"/>
      <c r="D66" s="98">
        <v>7415</v>
      </c>
      <c r="E66" s="853"/>
      <c r="F66" s="99"/>
      <c r="G66" s="1748" t="s">
        <v>176</v>
      </c>
      <c r="H66" s="1749"/>
      <c r="I66" s="1749"/>
      <c r="J66" s="115"/>
      <c r="K66" s="120">
        <f>SUM(K67:K73)</f>
        <v>42919055</v>
      </c>
      <c r="L66" s="120">
        <f>SUM(L67:L73)</f>
        <v>42919055</v>
      </c>
      <c r="M66" s="875">
        <f>SUM(M67:M74)</f>
        <v>45970239</v>
      </c>
      <c r="N66" s="875">
        <v>33500000</v>
      </c>
      <c r="O66" s="875">
        <v>33500000</v>
      </c>
    </row>
    <row r="67" spans="1:17" ht="12.75">
      <c r="A67" s="35"/>
      <c r="B67" s="104"/>
      <c r="C67" s="104"/>
      <c r="D67" s="131"/>
      <c r="E67" s="859">
        <v>741516</v>
      </c>
      <c r="F67" s="105"/>
      <c r="G67" s="1751" t="s">
        <v>177</v>
      </c>
      <c r="H67" s="1752"/>
      <c r="I67" s="1752"/>
      <c r="J67" s="1753"/>
      <c r="K67" s="389">
        <v>300000</v>
      </c>
      <c r="L67" s="126">
        <v>300000</v>
      </c>
      <c r="M67" s="876">
        <v>2470239</v>
      </c>
      <c r="N67" s="876">
        <v>2470239</v>
      </c>
      <c r="O67" s="876">
        <v>2470239</v>
      </c>
      <c r="Q67" s="268"/>
    </row>
    <row r="68" spans="1:17" ht="12.75">
      <c r="A68" s="35"/>
      <c r="B68" s="104"/>
      <c r="C68" s="104"/>
      <c r="D68" s="131"/>
      <c r="E68" s="859">
        <v>741522</v>
      </c>
      <c r="F68" s="105"/>
      <c r="G68" s="1751" t="s">
        <v>1466</v>
      </c>
      <c r="H68" s="1752"/>
      <c r="I68" s="1752"/>
      <c r="J68" s="1753"/>
      <c r="K68" s="389">
        <v>32000000</v>
      </c>
      <c r="L68" s="121">
        <v>32000000</v>
      </c>
      <c r="M68" s="876">
        <v>35000000</v>
      </c>
      <c r="N68" s="876">
        <v>35000000</v>
      </c>
      <c r="O68" s="876">
        <v>35000000</v>
      </c>
      <c r="Q68" s="268"/>
    </row>
    <row r="69" spans="1:17" ht="12.75">
      <c r="A69" s="35"/>
      <c r="B69" s="104"/>
      <c r="C69" s="104"/>
      <c r="D69" s="131"/>
      <c r="E69" s="168">
        <v>741526</v>
      </c>
      <c r="F69" s="105"/>
      <c r="G69" s="106" t="s">
        <v>1467</v>
      </c>
      <c r="H69" s="107"/>
      <c r="I69" s="107"/>
      <c r="J69" s="110"/>
      <c r="K69" s="389">
        <v>5619055</v>
      </c>
      <c r="L69" s="121">
        <v>5619055</v>
      </c>
      <c r="M69" s="876">
        <v>2000000</v>
      </c>
      <c r="N69" s="876">
        <v>2000000</v>
      </c>
      <c r="O69" s="876">
        <v>2000000</v>
      </c>
      <c r="Q69" s="268"/>
    </row>
    <row r="70" spans="1:15" ht="12.75">
      <c r="A70" s="35"/>
      <c r="B70" s="104"/>
      <c r="C70" s="104"/>
      <c r="D70" s="104"/>
      <c r="E70" s="854">
        <v>741531</v>
      </c>
      <c r="F70" s="105"/>
      <c r="G70" s="1751" t="s">
        <v>178</v>
      </c>
      <c r="H70" s="1752"/>
      <c r="I70" s="1752"/>
      <c r="J70" s="1753"/>
      <c r="K70" s="389">
        <v>2000000</v>
      </c>
      <c r="L70" s="121">
        <v>2000000</v>
      </c>
      <c r="M70" s="876">
        <v>2000000</v>
      </c>
      <c r="N70" s="876">
        <v>2000000</v>
      </c>
      <c r="O70" s="876">
        <v>2000000</v>
      </c>
    </row>
    <row r="71" spans="1:15" ht="12.75" hidden="1">
      <c r="A71" s="35"/>
      <c r="B71" s="104"/>
      <c r="C71" s="104"/>
      <c r="D71" s="104"/>
      <c r="E71" s="854">
        <v>74155</v>
      </c>
      <c r="F71" s="105"/>
      <c r="G71" s="1751" t="s">
        <v>160</v>
      </c>
      <c r="H71" s="1752"/>
      <c r="I71" s="1752"/>
      <c r="J71" s="1753"/>
      <c r="K71" s="389">
        <v>0</v>
      </c>
      <c r="L71" s="126">
        <v>0</v>
      </c>
      <c r="M71" s="882">
        <v>0</v>
      </c>
      <c r="N71" s="882">
        <v>0</v>
      </c>
      <c r="O71" s="882">
        <v>0</v>
      </c>
    </row>
    <row r="72" spans="1:15" ht="12.75">
      <c r="A72" s="35"/>
      <c r="B72" s="104"/>
      <c r="C72" s="104"/>
      <c r="D72" s="104"/>
      <c r="E72" s="855">
        <v>741534</v>
      </c>
      <c r="F72" s="105"/>
      <c r="G72" s="106" t="s">
        <v>1468</v>
      </c>
      <c r="H72" s="107"/>
      <c r="I72" s="107"/>
      <c r="J72" s="110"/>
      <c r="K72" s="389">
        <v>1500000</v>
      </c>
      <c r="L72" s="126">
        <v>1500000</v>
      </c>
      <c r="M72" s="882">
        <v>2000000</v>
      </c>
      <c r="N72" s="882">
        <v>2000000</v>
      </c>
      <c r="O72" s="882">
        <v>2000000</v>
      </c>
    </row>
    <row r="73" spans="1:15" ht="12.75">
      <c r="A73" s="35"/>
      <c r="B73" s="104"/>
      <c r="C73" s="104"/>
      <c r="D73" s="104"/>
      <c r="E73" s="855">
        <v>741538</v>
      </c>
      <c r="F73" s="105"/>
      <c r="G73" s="106" t="s">
        <v>1469</v>
      </c>
      <c r="H73" s="107"/>
      <c r="I73" s="107"/>
      <c r="J73" s="110"/>
      <c r="K73" s="389">
        <v>1500000</v>
      </c>
      <c r="L73" s="126">
        <v>1500000</v>
      </c>
      <c r="M73" s="882">
        <v>2000000</v>
      </c>
      <c r="N73" s="882">
        <v>2000000</v>
      </c>
      <c r="O73" s="882">
        <v>2000000</v>
      </c>
    </row>
    <row r="74" spans="1:15" ht="12.75">
      <c r="A74" s="35"/>
      <c r="B74" s="104"/>
      <c r="C74" s="104"/>
      <c r="D74" s="104"/>
      <c r="E74" s="855">
        <v>741596</v>
      </c>
      <c r="F74" s="105"/>
      <c r="G74" s="106" t="s">
        <v>1487</v>
      </c>
      <c r="H74" s="107"/>
      <c r="I74" s="107"/>
      <c r="J74" s="110"/>
      <c r="K74" s="389"/>
      <c r="L74" s="126"/>
      <c r="M74" s="882">
        <v>500000</v>
      </c>
      <c r="N74" s="882">
        <v>500000</v>
      </c>
      <c r="O74" s="882">
        <v>500000</v>
      </c>
    </row>
    <row r="75" spans="1:15" ht="12.75">
      <c r="A75" s="33"/>
      <c r="B75" s="92"/>
      <c r="C75" s="93">
        <v>742</v>
      </c>
      <c r="D75" s="92"/>
      <c r="E75" s="852"/>
      <c r="F75" s="94"/>
      <c r="G75" s="1745" t="s">
        <v>179</v>
      </c>
      <c r="H75" s="1746"/>
      <c r="I75" s="1746"/>
      <c r="J75" s="1747"/>
      <c r="K75" s="113">
        <f>K76+K83</f>
        <v>13910000</v>
      </c>
      <c r="L75" s="113">
        <f>L76+L83</f>
        <v>13910000</v>
      </c>
      <c r="M75" s="871">
        <f>M76+M83</f>
        <v>12252370</v>
      </c>
      <c r="N75" s="871">
        <v>12252370</v>
      </c>
      <c r="O75" s="871">
        <v>12252370</v>
      </c>
    </row>
    <row r="76" spans="1:19" s="712" customFormat="1" ht="12.75">
      <c r="A76" s="34"/>
      <c r="B76" s="97"/>
      <c r="C76" s="97"/>
      <c r="D76" s="98">
        <v>7421</v>
      </c>
      <c r="E76" s="853"/>
      <c r="F76" s="99"/>
      <c r="G76" s="100" t="s">
        <v>1311</v>
      </c>
      <c r="H76" s="101"/>
      <c r="I76" s="101"/>
      <c r="J76" s="102"/>
      <c r="K76" s="710">
        <f>SUM(K77:K82)</f>
        <v>10360000</v>
      </c>
      <c r="L76" s="711">
        <f>SUM(L77:L82)</f>
        <v>10360000</v>
      </c>
      <c r="M76" s="889">
        <f>SUM(M77:M82)</f>
        <v>10233055</v>
      </c>
      <c r="N76" s="889">
        <v>10233055</v>
      </c>
      <c r="O76" s="889">
        <v>10233055</v>
      </c>
      <c r="S76" s="759"/>
    </row>
    <row r="77" spans="1:15" ht="12.75">
      <c r="A77" s="35"/>
      <c r="B77" s="104"/>
      <c r="C77" s="104"/>
      <c r="D77" s="98"/>
      <c r="E77" s="860">
        <v>742126</v>
      </c>
      <c r="F77" s="105"/>
      <c r="G77" s="1754" t="s">
        <v>1352</v>
      </c>
      <c r="H77" s="1755"/>
      <c r="I77" s="1755"/>
      <c r="J77" s="1756"/>
      <c r="K77" s="389">
        <v>960000</v>
      </c>
      <c r="L77" s="122">
        <v>960000</v>
      </c>
      <c r="M77" s="890">
        <v>500000</v>
      </c>
      <c r="N77" s="890">
        <v>500000</v>
      </c>
      <c r="O77" s="890">
        <v>500000</v>
      </c>
    </row>
    <row r="78" spans="1:15" ht="12.75">
      <c r="A78" s="35"/>
      <c r="B78" s="104"/>
      <c r="C78" s="104"/>
      <c r="D78" s="104"/>
      <c r="E78" s="854">
        <v>742151</v>
      </c>
      <c r="F78" s="105"/>
      <c r="G78" s="1754" t="s">
        <v>1481</v>
      </c>
      <c r="H78" s="1755"/>
      <c r="I78" s="1755"/>
      <c r="J78" s="1756"/>
      <c r="K78" s="389">
        <v>2000000</v>
      </c>
      <c r="L78" s="122">
        <v>2000000</v>
      </c>
      <c r="M78" s="890">
        <v>1000000</v>
      </c>
      <c r="N78" s="890">
        <v>1000000</v>
      </c>
      <c r="O78" s="890">
        <v>1000000</v>
      </c>
    </row>
    <row r="79" spans="1:15" ht="12.75">
      <c r="A79" s="35"/>
      <c r="B79" s="104"/>
      <c r="C79" s="104"/>
      <c r="D79" s="104"/>
      <c r="E79" s="855">
        <v>742152</v>
      </c>
      <c r="F79" s="105"/>
      <c r="G79" s="382" t="s">
        <v>1470</v>
      </c>
      <c r="H79" s="267"/>
      <c r="I79" s="267"/>
      <c r="J79" s="383"/>
      <c r="K79" s="389">
        <v>1000000</v>
      </c>
      <c r="L79" s="122">
        <v>1000000</v>
      </c>
      <c r="M79" s="890">
        <v>1000000</v>
      </c>
      <c r="N79" s="890">
        <v>1000000</v>
      </c>
      <c r="O79" s="890">
        <v>1000000</v>
      </c>
    </row>
    <row r="80" spans="1:15" ht="12.75">
      <c r="A80" s="35"/>
      <c r="B80" s="104"/>
      <c r="C80" s="104"/>
      <c r="D80" s="104"/>
      <c r="E80" s="855">
        <v>742154</v>
      </c>
      <c r="F80" s="105"/>
      <c r="G80" s="382" t="s">
        <v>1471</v>
      </c>
      <c r="H80" s="267"/>
      <c r="I80" s="267"/>
      <c r="J80" s="383"/>
      <c r="K80" s="389">
        <v>1400000</v>
      </c>
      <c r="L80" s="122">
        <v>1400000</v>
      </c>
      <c r="M80" s="890">
        <v>233055</v>
      </c>
      <c r="N80" s="890">
        <v>233055</v>
      </c>
      <c r="O80" s="890">
        <v>233055</v>
      </c>
    </row>
    <row r="81" spans="1:15" ht="12.75">
      <c r="A81" s="35"/>
      <c r="B81" s="104"/>
      <c r="C81" s="104"/>
      <c r="D81" s="104"/>
      <c r="E81" s="855">
        <v>742155</v>
      </c>
      <c r="F81" s="105"/>
      <c r="G81" s="382" t="s">
        <v>1486</v>
      </c>
      <c r="H81" s="267"/>
      <c r="I81" s="267"/>
      <c r="J81" s="383"/>
      <c r="K81" s="389"/>
      <c r="L81" s="122"/>
      <c r="M81" s="890">
        <v>3500000</v>
      </c>
      <c r="N81" s="890">
        <v>3500000</v>
      </c>
      <c r="O81" s="890">
        <v>3500000</v>
      </c>
    </row>
    <row r="82" spans="1:15" ht="12.75">
      <c r="A82" s="35"/>
      <c r="B82" s="104"/>
      <c r="C82" s="104"/>
      <c r="D82" s="104"/>
      <c r="E82" s="855">
        <v>742156</v>
      </c>
      <c r="F82" s="105"/>
      <c r="G82" s="382" t="s">
        <v>1472</v>
      </c>
      <c r="H82" s="267"/>
      <c r="I82" s="267"/>
      <c r="J82" s="383"/>
      <c r="K82" s="389">
        <v>5000000</v>
      </c>
      <c r="L82" s="122">
        <v>5000000</v>
      </c>
      <c r="M82" s="890">
        <v>4000000</v>
      </c>
      <c r="N82" s="890">
        <v>4000000</v>
      </c>
      <c r="O82" s="890">
        <v>4000000</v>
      </c>
    </row>
    <row r="83" spans="1:15" ht="12.75">
      <c r="A83" s="34"/>
      <c r="B83" s="97"/>
      <c r="C83" s="97"/>
      <c r="D83" s="98">
        <v>7422</v>
      </c>
      <c r="E83" s="853"/>
      <c r="F83" s="99"/>
      <c r="G83" s="100" t="s">
        <v>180</v>
      </c>
      <c r="H83" s="101"/>
      <c r="I83" s="114"/>
      <c r="J83" s="115"/>
      <c r="K83" s="117">
        <f>SUM(K84:K87)</f>
        <v>3550000</v>
      </c>
      <c r="L83" s="117">
        <f>SUM(L84:L87)</f>
        <v>3550000</v>
      </c>
      <c r="M83" s="872">
        <f>SUM(M84:M87)</f>
        <v>2019315</v>
      </c>
      <c r="N83" s="872">
        <v>2019315</v>
      </c>
      <c r="O83" s="872">
        <v>2019315</v>
      </c>
    </row>
    <row r="84" spans="1:15" ht="12.75">
      <c r="A84" s="35"/>
      <c r="B84" s="104"/>
      <c r="C84" s="104"/>
      <c r="D84" s="104"/>
      <c r="E84" s="854">
        <v>742251</v>
      </c>
      <c r="F84" s="105"/>
      <c r="G84" s="1751" t="s">
        <v>1473</v>
      </c>
      <c r="H84" s="1752"/>
      <c r="I84" s="1752"/>
      <c r="J84" s="108"/>
      <c r="K84" s="388">
        <v>550000</v>
      </c>
      <c r="L84" s="118">
        <v>550000</v>
      </c>
      <c r="M84" s="891">
        <v>1000000</v>
      </c>
      <c r="N84" s="891">
        <v>1000000</v>
      </c>
      <c r="O84" s="891">
        <v>1000000</v>
      </c>
    </row>
    <row r="85" spans="1:15" ht="12.75" hidden="1">
      <c r="A85" s="34"/>
      <c r="B85" s="97"/>
      <c r="C85" s="97"/>
      <c r="D85" s="98">
        <v>7423</v>
      </c>
      <c r="E85" s="853"/>
      <c r="F85" s="99"/>
      <c r="G85" s="1763" t="s">
        <v>207</v>
      </c>
      <c r="H85" s="1764"/>
      <c r="I85" s="1764"/>
      <c r="J85" s="1765"/>
      <c r="K85" s="117">
        <f>SUM(K86)</f>
        <v>0</v>
      </c>
      <c r="L85" s="117">
        <f>SUM(L86)</f>
        <v>0</v>
      </c>
      <c r="M85" s="872">
        <f>SUM(M86)</f>
        <v>0</v>
      </c>
      <c r="N85" s="872">
        <v>0</v>
      </c>
      <c r="O85" s="872">
        <v>0</v>
      </c>
    </row>
    <row r="86" spans="1:15" ht="12.75" hidden="1">
      <c r="A86" s="35"/>
      <c r="B86" s="104"/>
      <c r="C86" s="104"/>
      <c r="D86" s="131"/>
      <c r="E86" s="859">
        <v>74235</v>
      </c>
      <c r="F86" s="105"/>
      <c r="G86" s="1754" t="s">
        <v>206</v>
      </c>
      <c r="H86" s="1755"/>
      <c r="I86" s="1755"/>
      <c r="J86" s="1756"/>
      <c r="K86" s="388">
        <v>0</v>
      </c>
      <c r="L86" s="132">
        <v>0</v>
      </c>
      <c r="M86" s="892">
        <v>0</v>
      </c>
      <c r="N86" s="892">
        <v>0</v>
      </c>
      <c r="O86" s="892">
        <v>0</v>
      </c>
    </row>
    <row r="87" spans="1:15" ht="12.75">
      <c r="A87" s="35"/>
      <c r="B87" s="104"/>
      <c r="C87" s="104"/>
      <c r="D87" s="131"/>
      <c r="E87" s="168">
        <v>742255</v>
      </c>
      <c r="F87" s="105"/>
      <c r="G87" s="382" t="s">
        <v>1474</v>
      </c>
      <c r="H87" s="267"/>
      <c r="I87" s="267"/>
      <c r="J87" s="383"/>
      <c r="K87" s="388">
        <v>3000000</v>
      </c>
      <c r="L87" s="132">
        <v>3000000</v>
      </c>
      <c r="M87" s="892">
        <v>1019315</v>
      </c>
      <c r="N87" s="892">
        <v>1019315</v>
      </c>
      <c r="O87" s="892">
        <v>1019315</v>
      </c>
    </row>
    <row r="88" spans="1:15" ht="12.75">
      <c r="A88" s="35"/>
      <c r="B88" s="92"/>
      <c r="C88" s="93">
        <v>743</v>
      </c>
      <c r="D88" s="92"/>
      <c r="E88" s="852"/>
      <c r="F88" s="94"/>
      <c r="G88" s="95" t="s">
        <v>181</v>
      </c>
      <c r="H88" s="77"/>
      <c r="I88" s="77"/>
      <c r="J88" s="78"/>
      <c r="K88" s="113">
        <f>K89</f>
        <v>3500000</v>
      </c>
      <c r="L88" s="113">
        <f>L89</f>
        <v>3500000</v>
      </c>
      <c r="M88" s="871">
        <f>M89</f>
        <v>10589911</v>
      </c>
      <c r="N88" s="871">
        <f>M88</f>
        <v>10589911</v>
      </c>
      <c r="O88" s="871">
        <f>M88</f>
        <v>10589911</v>
      </c>
    </row>
    <row r="89" spans="1:15" ht="12.75">
      <c r="A89" s="35"/>
      <c r="B89" s="104"/>
      <c r="C89" s="104"/>
      <c r="D89" s="98">
        <v>7433</v>
      </c>
      <c r="E89" s="854"/>
      <c r="F89" s="105"/>
      <c r="G89" s="1748" t="s">
        <v>182</v>
      </c>
      <c r="H89" s="1749"/>
      <c r="I89" s="1749"/>
      <c r="J89" s="1750"/>
      <c r="K89" s="117">
        <f>SUM(K90:K91)</f>
        <v>3500000</v>
      </c>
      <c r="L89" s="117">
        <f>SUM(L90:L91)</f>
        <v>3500000</v>
      </c>
      <c r="M89" s="872">
        <f>SUM(M90:M91)</f>
        <v>10589911</v>
      </c>
      <c r="N89" s="872">
        <f>M89</f>
        <v>10589911</v>
      </c>
      <c r="O89" s="872">
        <f>M89</f>
        <v>10589911</v>
      </c>
    </row>
    <row r="90" spans="1:15" ht="12.75">
      <c r="A90" s="35"/>
      <c r="B90" s="104"/>
      <c r="C90" s="104"/>
      <c r="D90" s="98"/>
      <c r="E90" s="854">
        <v>743324</v>
      </c>
      <c r="F90" s="105"/>
      <c r="G90" s="106" t="s">
        <v>208</v>
      </c>
      <c r="H90" s="107"/>
      <c r="I90" s="107"/>
      <c r="J90" s="110"/>
      <c r="K90" s="389">
        <v>3500000</v>
      </c>
      <c r="L90" s="116">
        <v>3500000</v>
      </c>
      <c r="M90" s="893">
        <v>10589911</v>
      </c>
      <c r="N90" s="893">
        <f>M90</f>
        <v>10589911</v>
      </c>
      <c r="O90" s="893">
        <f>M90</f>
        <v>10589911</v>
      </c>
    </row>
    <row r="91" spans="1:15" ht="12.75" hidden="1">
      <c r="A91" s="35"/>
      <c r="B91" s="104"/>
      <c r="C91" s="104"/>
      <c r="D91" s="104"/>
      <c r="E91" s="854">
        <v>74335</v>
      </c>
      <c r="F91" s="105"/>
      <c r="G91" s="1751" t="s">
        <v>183</v>
      </c>
      <c r="H91" s="1752"/>
      <c r="I91" s="1752"/>
      <c r="J91" s="1753"/>
      <c r="K91" s="389">
        <v>0</v>
      </c>
      <c r="L91" s="130">
        <v>0</v>
      </c>
      <c r="M91" s="891">
        <v>0</v>
      </c>
      <c r="N91" s="891">
        <v>0</v>
      </c>
      <c r="O91" s="891">
        <v>0</v>
      </c>
    </row>
    <row r="92" spans="1:15" ht="12.75" hidden="1">
      <c r="A92" s="33"/>
      <c r="B92" s="92"/>
      <c r="C92" s="93">
        <v>744</v>
      </c>
      <c r="D92" s="92"/>
      <c r="E92" s="852"/>
      <c r="F92" s="94"/>
      <c r="G92" s="1745" t="s">
        <v>184</v>
      </c>
      <c r="H92" s="1746"/>
      <c r="I92" s="1746"/>
      <c r="J92" s="1747"/>
      <c r="K92" s="113">
        <f>K93+K95</f>
        <v>0</v>
      </c>
      <c r="L92" s="113">
        <f>L93+L95</f>
        <v>0</v>
      </c>
      <c r="M92" s="871">
        <f>M93+M95</f>
        <v>0</v>
      </c>
      <c r="N92" s="871">
        <v>0</v>
      </c>
      <c r="O92" s="871">
        <v>0</v>
      </c>
    </row>
    <row r="93" spans="1:15" ht="12.75" hidden="1">
      <c r="A93" s="34"/>
      <c r="B93" s="97"/>
      <c r="C93" s="97"/>
      <c r="D93" s="98">
        <v>7441</v>
      </c>
      <c r="E93" s="853"/>
      <c r="F93" s="99"/>
      <c r="G93" s="100" t="s">
        <v>185</v>
      </c>
      <c r="H93" s="101"/>
      <c r="I93" s="114"/>
      <c r="J93" s="115"/>
      <c r="K93" s="117">
        <f>K94</f>
        <v>0</v>
      </c>
      <c r="L93" s="117">
        <f>L94</f>
        <v>0</v>
      </c>
      <c r="M93" s="872">
        <f>M94</f>
        <v>0</v>
      </c>
      <c r="N93" s="872">
        <v>0</v>
      </c>
      <c r="O93" s="872">
        <v>0</v>
      </c>
    </row>
    <row r="94" spans="1:15" ht="12.75" hidden="1">
      <c r="A94" s="35"/>
      <c r="B94" s="104"/>
      <c r="C94" s="104"/>
      <c r="D94" s="104"/>
      <c r="E94" s="854">
        <v>74415</v>
      </c>
      <c r="F94" s="105"/>
      <c r="G94" s="1751" t="s">
        <v>186</v>
      </c>
      <c r="H94" s="1752"/>
      <c r="I94" s="1752"/>
      <c r="J94" s="1753"/>
      <c r="K94" s="389">
        <v>0</v>
      </c>
      <c r="L94" s="118">
        <v>0</v>
      </c>
      <c r="M94" s="894">
        <v>0</v>
      </c>
      <c r="N94" s="894">
        <v>0</v>
      </c>
      <c r="O94" s="894">
        <v>0</v>
      </c>
    </row>
    <row r="95" spans="1:15" ht="12.75" hidden="1">
      <c r="A95" s="35"/>
      <c r="B95" s="104"/>
      <c r="C95" s="104"/>
      <c r="D95" s="133">
        <v>7442</v>
      </c>
      <c r="E95" s="854"/>
      <c r="F95" s="105"/>
      <c r="G95" s="1751" t="s">
        <v>216</v>
      </c>
      <c r="H95" s="1752"/>
      <c r="I95" s="1752"/>
      <c r="J95" s="1753"/>
      <c r="K95" s="117">
        <f>K96</f>
        <v>0</v>
      </c>
      <c r="L95" s="117">
        <f>L96</f>
        <v>0</v>
      </c>
      <c r="M95" s="872">
        <f>M96</f>
        <v>0</v>
      </c>
      <c r="N95" s="872">
        <v>0</v>
      </c>
      <c r="O95" s="872">
        <v>0</v>
      </c>
    </row>
    <row r="96" spans="1:15" ht="12.75" hidden="1">
      <c r="A96" s="35"/>
      <c r="B96" s="104"/>
      <c r="C96" s="104"/>
      <c r="D96" s="104"/>
      <c r="E96" s="854">
        <v>74425</v>
      </c>
      <c r="F96" s="105"/>
      <c r="G96" s="1751" t="s">
        <v>187</v>
      </c>
      <c r="H96" s="1752"/>
      <c r="I96" s="1752"/>
      <c r="J96" s="1753"/>
      <c r="K96" s="389">
        <v>0</v>
      </c>
      <c r="L96" s="130">
        <v>0</v>
      </c>
      <c r="M96" s="891">
        <v>0</v>
      </c>
      <c r="N96" s="891">
        <v>0</v>
      </c>
      <c r="O96" s="891">
        <v>0</v>
      </c>
    </row>
    <row r="97" spans="1:15" ht="12.75">
      <c r="A97" s="33"/>
      <c r="B97" s="92"/>
      <c r="C97" s="93">
        <v>745</v>
      </c>
      <c r="D97" s="92"/>
      <c r="E97" s="852"/>
      <c r="F97" s="94"/>
      <c r="G97" s="1745" t="s">
        <v>188</v>
      </c>
      <c r="H97" s="1746"/>
      <c r="I97" s="1746"/>
      <c r="J97" s="1747"/>
      <c r="K97" s="123">
        <f>K98</f>
        <v>24881500</v>
      </c>
      <c r="L97" s="123">
        <f>L98</f>
        <v>24881500</v>
      </c>
      <c r="M97" s="879">
        <f>M98</f>
        <v>15456077</v>
      </c>
      <c r="N97" s="879">
        <v>15456077</v>
      </c>
      <c r="O97" s="879">
        <v>15456077</v>
      </c>
    </row>
    <row r="98" spans="1:15" ht="12.75">
      <c r="A98" s="34"/>
      <c r="B98" s="97"/>
      <c r="C98" s="97"/>
      <c r="D98" s="98">
        <v>7451</v>
      </c>
      <c r="E98" s="853"/>
      <c r="F98" s="99"/>
      <c r="G98" s="1748" t="s">
        <v>189</v>
      </c>
      <c r="H98" s="1749"/>
      <c r="I98" s="1749"/>
      <c r="J98" s="115"/>
      <c r="K98" s="120">
        <f>SUM(K99:K101)</f>
        <v>24881500</v>
      </c>
      <c r="L98" s="120">
        <f>SUM(L99:L101)</f>
        <v>24881500</v>
      </c>
      <c r="M98" s="875">
        <f>SUM(M99:M101)</f>
        <v>15456077</v>
      </c>
      <c r="N98" s="875">
        <v>15456077</v>
      </c>
      <c r="O98" s="875">
        <v>15456077</v>
      </c>
    </row>
    <row r="99" spans="1:15" ht="12.75">
      <c r="A99" s="35"/>
      <c r="B99" s="104"/>
      <c r="C99" s="104"/>
      <c r="D99" s="104"/>
      <c r="E99" s="854">
        <v>745151</v>
      </c>
      <c r="F99" s="105"/>
      <c r="G99" s="106" t="s">
        <v>1476</v>
      </c>
      <c r="H99" s="107"/>
      <c r="I99" s="64"/>
      <c r="J99" s="108"/>
      <c r="K99" s="388">
        <v>21000000</v>
      </c>
      <c r="L99" s="126">
        <v>21000000</v>
      </c>
      <c r="M99" s="895">
        <v>11575577</v>
      </c>
      <c r="N99" s="895">
        <v>11575577</v>
      </c>
      <c r="O99" s="895">
        <v>11575577</v>
      </c>
    </row>
    <row r="100" spans="1:15" ht="12.75">
      <c r="A100" s="35"/>
      <c r="B100" s="104"/>
      <c r="C100" s="104"/>
      <c r="D100" s="104"/>
      <c r="E100" s="855">
        <v>745153</v>
      </c>
      <c r="F100" s="105"/>
      <c r="G100" s="106" t="s">
        <v>1477</v>
      </c>
      <c r="H100" s="107"/>
      <c r="I100" s="64"/>
      <c r="J100" s="108"/>
      <c r="K100" s="388">
        <v>2500000</v>
      </c>
      <c r="L100" s="126">
        <v>2500000</v>
      </c>
      <c r="M100" s="895">
        <v>2500000</v>
      </c>
      <c r="N100" s="895">
        <v>2500000</v>
      </c>
      <c r="O100" s="895">
        <v>2500000</v>
      </c>
    </row>
    <row r="101" spans="1:15" ht="12.75">
      <c r="A101" s="35"/>
      <c r="B101" s="104"/>
      <c r="C101" s="104"/>
      <c r="D101" s="104"/>
      <c r="E101" s="855">
        <v>745154</v>
      </c>
      <c r="F101" s="105"/>
      <c r="G101" s="106" t="s">
        <v>1478</v>
      </c>
      <c r="H101" s="107"/>
      <c r="I101" s="64"/>
      <c r="J101" s="108"/>
      <c r="K101" s="388">
        <v>1381500</v>
      </c>
      <c r="L101" s="126">
        <v>1381500</v>
      </c>
      <c r="M101" s="895">
        <v>1380500</v>
      </c>
      <c r="N101" s="895">
        <v>1380500</v>
      </c>
      <c r="O101" s="895">
        <v>1380500</v>
      </c>
    </row>
    <row r="102" spans="1:19" s="32" customFormat="1" ht="11.25" customHeight="1">
      <c r="A102" s="31"/>
      <c r="B102" s="87">
        <v>8</v>
      </c>
      <c r="C102" s="88"/>
      <c r="D102" s="88"/>
      <c r="E102" s="140"/>
      <c r="F102" s="89"/>
      <c r="G102" s="1740" t="s">
        <v>1312</v>
      </c>
      <c r="H102" s="1741"/>
      <c r="I102" s="1741"/>
      <c r="J102" s="1784"/>
      <c r="K102" s="134">
        <f>K103+K108</f>
        <v>57000</v>
      </c>
      <c r="L102" s="134">
        <f>L103+L108</f>
        <v>57000</v>
      </c>
      <c r="M102" s="896">
        <f>M103+M108</f>
        <v>68000</v>
      </c>
      <c r="N102" s="896">
        <v>68000</v>
      </c>
      <c r="O102" s="896">
        <v>68000</v>
      </c>
      <c r="S102" s="156"/>
    </row>
    <row r="103" spans="1:15" ht="12.75">
      <c r="A103" s="33"/>
      <c r="B103" s="92"/>
      <c r="C103" s="93">
        <v>811</v>
      </c>
      <c r="D103" s="92"/>
      <c r="E103" s="852"/>
      <c r="F103" s="94"/>
      <c r="G103" s="1745" t="s">
        <v>1312</v>
      </c>
      <c r="H103" s="1746"/>
      <c r="I103" s="1746"/>
      <c r="J103" s="1747"/>
      <c r="K103" s="113">
        <f>K104+K106</f>
        <v>39000</v>
      </c>
      <c r="L103" s="113">
        <f>L104+L106</f>
        <v>39000</v>
      </c>
      <c r="M103" s="871">
        <f>M104+M106</f>
        <v>50000</v>
      </c>
      <c r="N103" s="871">
        <v>50000</v>
      </c>
      <c r="O103" s="871">
        <v>50000</v>
      </c>
    </row>
    <row r="104" spans="1:15" ht="12.75">
      <c r="A104" s="34"/>
      <c r="B104" s="97"/>
      <c r="C104" s="97"/>
      <c r="D104" s="98">
        <v>8111</v>
      </c>
      <c r="E104" s="853"/>
      <c r="F104" s="99"/>
      <c r="G104" s="1748" t="s">
        <v>1313</v>
      </c>
      <c r="H104" s="1749"/>
      <c r="I104" s="1749"/>
      <c r="J104" s="1750"/>
      <c r="K104" s="124">
        <f>K105</f>
        <v>39000</v>
      </c>
      <c r="L104" s="124">
        <f>L105</f>
        <v>39000</v>
      </c>
      <c r="M104" s="880">
        <f>M105</f>
        <v>50000</v>
      </c>
      <c r="N104" s="880">
        <v>50000</v>
      </c>
      <c r="O104" s="880">
        <v>50000</v>
      </c>
    </row>
    <row r="105" spans="1:15" ht="12.75">
      <c r="A105" s="35"/>
      <c r="B105" s="104"/>
      <c r="C105" s="104"/>
      <c r="D105" s="104"/>
      <c r="E105" s="854">
        <v>811153</v>
      </c>
      <c r="F105" s="105"/>
      <c r="G105" s="1751" t="s">
        <v>1479</v>
      </c>
      <c r="H105" s="1752"/>
      <c r="I105" s="1752"/>
      <c r="J105" s="1753"/>
      <c r="K105" s="388">
        <v>39000</v>
      </c>
      <c r="L105" s="125">
        <v>39000</v>
      </c>
      <c r="M105" s="881">
        <v>50000</v>
      </c>
      <c r="N105" s="881">
        <v>50000</v>
      </c>
      <c r="O105" s="881">
        <v>50000</v>
      </c>
    </row>
    <row r="106" spans="1:15" ht="12.75" hidden="1">
      <c r="A106" s="34"/>
      <c r="B106" s="97"/>
      <c r="C106" s="97"/>
      <c r="D106" s="98">
        <v>9219</v>
      </c>
      <c r="E106" s="853"/>
      <c r="F106" s="99"/>
      <c r="G106" s="1748" t="s">
        <v>190</v>
      </c>
      <c r="H106" s="1749"/>
      <c r="I106" s="1749"/>
      <c r="J106" s="1750"/>
      <c r="K106" s="117">
        <f>K107</f>
        <v>0</v>
      </c>
      <c r="L106" s="117">
        <f>L107</f>
        <v>0</v>
      </c>
      <c r="M106" s="872">
        <f>M107</f>
        <v>0</v>
      </c>
      <c r="N106" s="872">
        <v>0</v>
      </c>
      <c r="O106" s="872">
        <v>0</v>
      </c>
    </row>
    <row r="107" spans="1:15" ht="12.75" hidden="1">
      <c r="A107" s="35"/>
      <c r="B107" s="104"/>
      <c r="C107" s="104"/>
      <c r="D107" s="104"/>
      <c r="E107" s="854">
        <v>92195</v>
      </c>
      <c r="F107" s="105"/>
      <c r="G107" s="106" t="s">
        <v>191</v>
      </c>
      <c r="H107" s="107"/>
      <c r="I107" s="64"/>
      <c r="J107" s="108"/>
      <c r="K107" s="388">
        <v>0</v>
      </c>
      <c r="L107" s="118">
        <v>0</v>
      </c>
      <c r="M107" s="897">
        <v>0</v>
      </c>
      <c r="N107" s="897">
        <v>0</v>
      </c>
      <c r="O107" s="897">
        <v>0</v>
      </c>
    </row>
    <row r="108" spans="1:15" ht="12.75">
      <c r="A108" s="33"/>
      <c r="B108" s="92"/>
      <c r="C108" s="93">
        <v>841</v>
      </c>
      <c r="D108" s="92"/>
      <c r="E108" s="852"/>
      <c r="F108" s="94"/>
      <c r="G108" s="1745" t="s">
        <v>1363</v>
      </c>
      <c r="H108" s="1746"/>
      <c r="I108" s="1746"/>
      <c r="J108" s="1747"/>
      <c r="K108" s="113">
        <f>K109+K111</f>
        <v>18000</v>
      </c>
      <c r="L108" s="113">
        <f>L109+L111</f>
        <v>18000</v>
      </c>
      <c r="M108" s="871">
        <f>M109+M111</f>
        <v>18000</v>
      </c>
      <c r="N108" s="871">
        <v>18000</v>
      </c>
      <c r="O108" s="871">
        <v>18000</v>
      </c>
    </row>
    <row r="109" spans="1:15" ht="12.75">
      <c r="A109" s="34"/>
      <c r="B109" s="97"/>
      <c r="C109" s="97"/>
      <c r="D109" s="98">
        <v>8411</v>
      </c>
      <c r="E109" s="853"/>
      <c r="F109" s="99"/>
      <c r="G109" s="1748" t="s">
        <v>1364</v>
      </c>
      <c r="H109" s="1749"/>
      <c r="I109" s="1749"/>
      <c r="J109" s="1750"/>
      <c r="K109" s="124">
        <f>K110</f>
        <v>18000</v>
      </c>
      <c r="L109" s="124">
        <f>L110</f>
        <v>18000</v>
      </c>
      <c r="M109" s="880">
        <f>M110</f>
        <v>18000</v>
      </c>
      <c r="N109" s="880">
        <v>18000</v>
      </c>
      <c r="O109" s="880">
        <v>18000</v>
      </c>
    </row>
    <row r="110" spans="1:15" ht="12.75">
      <c r="A110" s="35"/>
      <c r="B110" s="104"/>
      <c r="C110" s="104"/>
      <c r="D110" s="104"/>
      <c r="E110" s="854">
        <v>841151</v>
      </c>
      <c r="F110" s="105"/>
      <c r="G110" s="1751" t="s">
        <v>1365</v>
      </c>
      <c r="H110" s="1752"/>
      <c r="I110" s="1752"/>
      <c r="J110" s="1753"/>
      <c r="K110" s="388">
        <v>18000</v>
      </c>
      <c r="L110" s="125">
        <v>18000</v>
      </c>
      <c r="M110" s="881">
        <v>18000</v>
      </c>
      <c r="N110" s="881">
        <v>18000</v>
      </c>
      <c r="O110" s="881">
        <v>18000</v>
      </c>
    </row>
    <row r="111" spans="1:15" ht="12.75">
      <c r="A111" s="35"/>
      <c r="B111" s="104"/>
      <c r="C111" s="104"/>
      <c r="D111" s="104"/>
      <c r="E111" s="854"/>
      <c r="F111" s="105"/>
      <c r="G111" s="106"/>
      <c r="H111" s="107"/>
      <c r="I111" s="64"/>
      <c r="J111" s="108"/>
      <c r="K111" s="388"/>
      <c r="L111" s="118"/>
      <c r="M111" s="897"/>
      <c r="N111" s="897"/>
      <c r="O111" s="897"/>
    </row>
    <row r="112" spans="1:15" ht="12.75">
      <c r="A112" s="86" t="s">
        <v>18</v>
      </c>
      <c r="B112" s="135"/>
      <c r="C112" s="136"/>
      <c r="D112" s="136"/>
      <c r="E112" s="136"/>
      <c r="F112" s="137"/>
      <c r="G112" s="1737" t="s">
        <v>192</v>
      </c>
      <c r="H112" s="1738"/>
      <c r="I112" s="1738"/>
      <c r="J112" s="1739"/>
      <c r="K112" s="37">
        <f>K113</f>
        <v>183132623.93</v>
      </c>
      <c r="L112" s="37">
        <f>L113</f>
        <v>453286579</v>
      </c>
      <c r="M112" s="898">
        <f>M113</f>
        <v>180000</v>
      </c>
      <c r="N112" s="898">
        <v>180000</v>
      </c>
      <c r="O112" s="898">
        <v>180000</v>
      </c>
    </row>
    <row r="113" spans="1:19" s="32" customFormat="1" ht="12.75">
      <c r="A113" s="139"/>
      <c r="B113" s="87">
        <v>7</v>
      </c>
      <c r="C113" s="140"/>
      <c r="D113" s="140"/>
      <c r="E113" s="141"/>
      <c r="F113" s="142"/>
      <c r="G113" s="129" t="s">
        <v>144</v>
      </c>
      <c r="H113" s="90"/>
      <c r="I113" s="90"/>
      <c r="J113" s="79"/>
      <c r="K113" s="143">
        <f>K117</f>
        <v>183132623.93</v>
      </c>
      <c r="L113" s="143">
        <f>L117</f>
        <v>453286579</v>
      </c>
      <c r="M113" s="899">
        <f>M117</f>
        <v>180000</v>
      </c>
      <c r="N113" s="899">
        <v>180000</v>
      </c>
      <c r="O113" s="899">
        <v>180000</v>
      </c>
      <c r="S113" s="156"/>
    </row>
    <row r="114" spans="1:15" s="26" customFormat="1" ht="12.75" hidden="1">
      <c r="A114" s="167"/>
      <c r="B114" s="159"/>
      <c r="C114" s="173">
        <v>711</v>
      </c>
      <c r="D114" s="168"/>
      <c r="E114" s="169"/>
      <c r="F114" s="170"/>
      <c r="G114" s="1769" t="s">
        <v>145</v>
      </c>
      <c r="H114" s="1770"/>
      <c r="I114" s="1770"/>
      <c r="J114" s="1771"/>
      <c r="K114" s="392">
        <v>0</v>
      </c>
      <c r="L114" s="158">
        <v>0</v>
      </c>
      <c r="M114" s="900">
        <v>0</v>
      </c>
      <c r="N114" s="900">
        <v>0</v>
      </c>
      <c r="O114" s="900">
        <v>0</v>
      </c>
    </row>
    <row r="115" spans="1:15" s="42" customFormat="1" ht="12.75" hidden="1">
      <c r="A115" s="161"/>
      <c r="B115" s="159"/>
      <c r="C115" s="173">
        <v>733</v>
      </c>
      <c r="D115" s="157"/>
      <c r="E115" s="162"/>
      <c r="F115" s="160"/>
      <c r="G115" s="1775" t="s">
        <v>163</v>
      </c>
      <c r="H115" s="1776"/>
      <c r="I115" s="1776"/>
      <c r="J115" s="1777"/>
      <c r="K115" s="385">
        <v>0</v>
      </c>
      <c r="L115" s="158">
        <v>0</v>
      </c>
      <c r="M115" s="900">
        <v>0</v>
      </c>
      <c r="N115" s="900">
        <v>0</v>
      </c>
      <c r="O115" s="900">
        <v>0</v>
      </c>
    </row>
    <row r="116" spans="1:16" s="156" customFormat="1" ht="12.75" hidden="1">
      <c r="A116" s="151"/>
      <c r="B116" s="152"/>
      <c r="C116" s="93">
        <v>741</v>
      </c>
      <c r="D116" s="153"/>
      <c r="E116" s="154"/>
      <c r="F116" s="155"/>
      <c r="G116" s="1766" t="s">
        <v>174</v>
      </c>
      <c r="H116" s="1767"/>
      <c r="I116" s="1767"/>
      <c r="J116" s="1768"/>
      <c r="K116" s="393">
        <v>0</v>
      </c>
      <c r="L116" s="158">
        <v>0</v>
      </c>
      <c r="M116" s="900">
        <v>0</v>
      </c>
      <c r="N116" s="900">
        <v>0</v>
      </c>
      <c r="O116" s="900">
        <v>0</v>
      </c>
      <c r="P116" s="26"/>
    </row>
    <row r="117" spans="1:15" ht="12.75">
      <c r="A117" s="144"/>
      <c r="B117" s="93"/>
      <c r="C117" s="93">
        <v>742</v>
      </c>
      <c r="D117" s="93"/>
      <c r="E117" s="861"/>
      <c r="F117" s="93"/>
      <c r="G117" s="93" t="s">
        <v>179</v>
      </c>
      <c r="H117" s="93"/>
      <c r="I117" s="93"/>
      <c r="J117" s="93"/>
      <c r="K117" s="113">
        <f>K120</f>
        <v>183132623.93</v>
      </c>
      <c r="L117" s="113">
        <f>L120</f>
        <v>453286579</v>
      </c>
      <c r="M117" s="871">
        <f>M120</f>
        <v>180000</v>
      </c>
      <c r="N117" s="871">
        <v>180000</v>
      </c>
      <c r="O117" s="871">
        <v>180000</v>
      </c>
    </row>
    <row r="118" spans="1:15" ht="12.75" hidden="1">
      <c r="A118" s="144"/>
      <c r="B118" s="135"/>
      <c r="C118" s="93">
        <v>744</v>
      </c>
      <c r="D118" s="136"/>
      <c r="E118" s="145"/>
      <c r="F118" s="146"/>
      <c r="G118" s="1778" t="s">
        <v>217</v>
      </c>
      <c r="H118" s="1779"/>
      <c r="I118" s="1779"/>
      <c r="J118" s="1780"/>
      <c r="K118" s="385">
        <v>0</v>
      </c>
      <c r="L118" s="147">
        <v>0</v>
      </c>
      <c r="M118" s="901">
        <v>0</v>
      </c>
      <c r="N118" s="901">
        <v>0</v>
      </c>
      <c r="O118" s="901">
        <v>0</v>
      </c>
    </row>
    <row r="119" spans="1:15" ht="12.75" hidden="1">
      <c r="A119" s="144"/>
      <c r="B119" s="135"/>
      <c r="C119" s="93">
        <v>745</v>
      </c>
      <c r="D119" s="136"/>
      <c r="E119" s="145"/>
      <c r="F119" s="146"/>
      <c r="G119" s="1775" t="s">
        <v>188</v>
      </c>
      <c r="H119" s="1776"/>
      <c r="I119" s="1776"/>
      <c r="J119" s="1777"/>
      <c r="K119" s="385">
        <v>0</v>
      </c>
      <c r="L119" s="147">
        <v>0</v>
      </c>
      <c r="M119" s="901">
        <v>0</v>
      </c>
      <c r="N119" s="901">
        <v>0</v>
      </c>
      <c r="O119" s="901">
        <v>0</v>
      </c>
    </row>
    <row r="120" spans="1:15" ht="12.75">
      <c r="A120" s="144"/>
      <c r="B120" s="135"/>
      <c r="C120" s="198"/>
      <c r="D120" s="145">
        <v>7421</v>
      </c>
      <c r="E120" s="145"/>
      <c r="F120" s="146"/>
      <c r="G120" s="1754" t="s">
        <v>1286</v>
      </c>
      <c r="H120" s="1755"/>
      <c r="I120" s="1755"/>
      <c r="J120" s="576"/>
      <c r="K120" s="385">
        <f>K121</f>
        <v>183132623.93</v>
      </c>
      <c r="L120" s="147">
        <f>L121</f>
        <v>453286579</v>
      </c>
      <c r="M120" s="902">
        <f>M121</f>
        <v>180000</v>
      </c>
      <c r="N120" s="902">
        <v>180000</v>
      </c>
      <c r="O120" s="902">
        <v>180000</v>
      </c>
    </row>
    <row r="121" spans="1:15" ht="12.75">
      <c r="A121" s="144"/>
      <c r="B121" s="135"/>
      <c r="C121" s="198"/>
      <c r="D121" s="136"/>
      <c r="E121" s="145">
        <v>742151</v>
      </c>
      <c r="F121" s="146"/>
      <c r="G121" s="1754" t="s">
        <v>1287</v>
      </c>
      <c r="H121" s="1755"/>
      <c r="I121" s="1755"/>
      <c r="J121" s="1756"/>
      <c r="K121" s="385">
        <f>'Rashodi-2021'!L507</f>
        <v>183132623.93</v>
      </c>
      <c r="L121" s="147">
        <f>'Rashodi-2021'!M507</f>
        <v>453286579</v>
      </c>
      <c r="M121" s="902">
        <f>'Rashodi-2021'!N507</f>
        <v>180000</v>
      </c>
      <c r="N121" s="902">
        <v>180000</v>
      </c>
      <c r="O121" s="902">
        <v>180000</v>
      </c>
    </row>
    <row r="122" spans="1:15" ht="12.75">
      <c r="A122" s="144"/>
      <c r="B122" s="135"/>
      <c r="C122" s="198"/>
      <c r="D122" s="136"/>
      <c r="E122" s="145"/>
      <c r="F122" s="146"/>
      <c r="G122" s="574"/>
      <c r="H122" s="575"/>
      <c r="I122" s="575"/>
      <c r="J122" s="576"/>
      <c r="K122" s="385"/>
      <c r="L122" s="147"/>
      <c r="M122" s="901"/>
      <c r="N122" s="901"/>
      <c r="O122" s="901"/>
    </row>
    <row r="123" spans="1:15" ht="12.75">
      <c r="A123" s="86" t="s">
        <v>20</v>
      </c>
      <c r="B123" s="135"/>
      <c r="C123" s="136"/>
      <c r="D123" s="136"/>
      <c r="E123" s="136"/>
      <c r="F123" s="137"/>
      <c r="G123" s="1737" t="s">
        <v>193</v>
      </c>
      <c r="H123" s="1738"/>
      <c r="I123" s="1738"/>
      <c r="J123" s="1739"/>
      <c r="K123" s="37">
        <f aca="true" t="shared" si="2" ref="K123:M126">K124</f>
        <v>2980000</v>
      </c>
      <c r="L123" s="37">
        <f t="shared" si="2"/>
        <v>2980000</v>
      </c>
      <c r="M123" s="898">
        <f t="shared" si="2"/>
        <v>400000</v>
      </c>
      <c r="N123" s="898">
        <v>810000</v>
      </c>
      <c r="O123" s="898">
        <v>810000</v>
      </c>
    </row>
    <row r="124" spans="1:19" s="32" customFormat="1" ht="12.75">
      <c r="A124" s="139"/>
      <c r="B124" s="87">
        <v>7</v>
      </c>
      <c r="C124" s="140"/>
      <c r="D124" s="140"/>
      <c r="E124" s="141"/>
      <c r="F124" s="142"/>
      <c r="G124" s="1740" t="s">
        <v>144</v>
      </c>
      <c r="H124" s="1741"/>
      <c r="I124" s="90"/>
      <c r="J124" s="79"/>
      <c r="K124" s="143">
        <f t="shared" si="2"/>
        <v>2980000</v>
      </c>
      <c r="L124" s="143">
        <f t="shared" si="2"/>
        <v>2980000</v>
      </c>
      <c r="M124" s="899">
        <f t="shared" si="2"/>
        <v>400000</v>
      </c>
      <c r="N124" s="899">
        <f>M124</f>
        <v>400000</v>
      </c>
      <c r="O124" s="899">
        <f>N124</f>
        <v>400000</v>
      </c>
      <c r="S124" s="156"/>
    </row>
    <row r="125" spans="1:15" ht="12.75">
      <c r="A125" s="144"/>
      <c r="B125" s="93"/>
      <c r="C125" s="93">
        <v>732</v>
      </c>
      <c r="D125" s="93"/>
      <c r="E125" s="861"/>
      <c r="F125" s="93"/>
      <c r="G125" s="93" t="s">
        <v>194</v>
      </c>
      <c r="H125" s="93"/>
      <c r="I125" s="93"/>
      <c r="J125" s="93"/>
      <c r="K125" s="113">
        <f t="shared" si="2"/>
        <v>2980000</v>
      </c>
      <c r="L125" s="113">
        <f t="shared" si="2"/>
        <v>2980000</v>
      </c>
      <c r="M125" s="871">
        <f t="shared" si="2"/>
        <v>400000</v>
      </c>
      <c r="N125" s="871">
        <f>M125</f>
        <v>400000</v>
      </c>
      <c r="O125" s="871">
        <f>M125</f>
        <v>400000</v>
      </c>
    </row>
    <row r="126" spans="1:15" ht="12.75">
      <c r="A126" s="144"/>
      <c r="B126" s="135"/>
      <c r="C126" s="198"/>
      <c r="D126" s="145">
        <v>7321</v>
      </c>
      <c r="E126" s="145"/>
      <c r="F126" s="137"/>
      <c r="G126" s="1754" t="s">
        <v>1320</v>
      </c>
      <c r="H126" s="1755"/>
      <c r="I126" s="1755"/>
      <c r="J126" s="1756"/>
      <c r="K126" s="385">
        <f t="shared" si="2"/>
        <v>2980000</v>
      </c>
      <c r="L126" s="670">
        <f t="shared" si="2"/>
        <v>2980000</v>
      </c>
      <c r="M126" s="902">
        <f>M127</f>
        <v>400000</v>
      </c>
      <c r="N126" s="902">
        <f>M126</f>
        <v>400000</v>
      </c>
      <c r="O126" s="902">
        <f>N126</f>
        <v>400000</v>
      </c>
    </row>
    <row r="127" spans="1:15" ht="12.75">
      <c r="A127" s="144"/>
      <c r="B127" s="135"/>
      <c r="C127" s="198"/>
      <c r="D127" s="136"/>
      <c r="E127" s="145">
        <v>732151</v>
      </c>
      <c r="F127" s="137"/>
      <c r="G127" s="1754" t="s">
        <v>1321</v>
      </c>
      <c r="H127" s="1755"/>
      <c r="I127" s="1755"/>
      <c r="J127" s="1756"/>
      <c r="K127" s="385">
        <v>2980000</v>
      </c>
      <c r="L127" s="147">
        <v>2980000</v>
      </c>
      <c r="M127" s="903">
        <v>400000</v>
      </c>
      <c r="N127" s="903">
        <v>400000</v>
      </c>
      <c r="O127" s="903">
        <v>400000</v>
      </c>
    </row>
    <row r="128" spans="1:15" ht="12.75" hidden="1">
      <c r="A128" s="144"/>
      <c r="B128" s="135"/>
      <c r="C128" s="198"/>
      <c r="D128" s="136"/>
      <c r="E128" s="145"/>
      <c r="F128" s="137"/>
      <c r="G128" s="574"/>
      <c r="H128" s="575"/>
      <c r="I128" s="575"/>
      <c r="J128" s="576"/>
      <c r="K128" s="385"/>
      <c r="L128" s="147"/>
      <c r="M128" s="901"/>
      <c r="N128" s="901"/>
      <c r="O128" s="901"/>
    </row>
    <row r="129" spans="1:15" ht="12.75">
      <c r="A129" s="86" t="s">
        <v>19</v>
      </c>
      <c r="B129" s="135"/>
      <c r="C129" s="136"/>
      <c r="D129" s="136"/>
      <c r="E129" s="136"/>
      <c r="F129" s="137"/>
      <c r="G129" s="1737" t="s">
        <v>195</v>
      </c>
      <c r="H129" s="1738"/>
      <c r="I129" s="1738"/>
      <c r="J129" s="1739"/>
      <c r="K129" s="37">
        <f aca="true" t="shared" si="3" ref="K129:M130">K130</f>
        <v>40915100.88</v>
      </c>
      <c r="L129" s="37">
        <f t="shared" si="3"/>
        <v>40915100.88</v>
      </c>
      <c r="M129" s="898">
        <f t="shared" si="3"/>
        <v>92252279.21</v>
      </c>
      <c r="N129" s="898">
        <v>4130000</v>
      </c>
      <c r="O129" s="898">
        <v>4130000</v>
      </c>
    </row>
    <row r="130" spans="1:19" s="32" customFormat="1" ht="12.75">
      <c r="A130" s="139"/>
      <c r="B130" s="87">
        <v>7</v>
      </c>
      <c r="C130" s="140"/>
      <c r="D130" s="140"/>
      <c r="E130" s="141"/>
      <c r="F130" s="142"/>
      <c r="G130" s="1740" t="s">
        <v>144</v>
      </c>
      <c r="H130" s="1741"/>
      <c r="I130" s="90"/>
      <c r="J130" s="79"/>
      <c r="K130" s="143">
        <f t="shared" si="3"/>
        <v>40915100.88</v>
      </c>
      <c r="L130" s="143">
        <f t="shared" si="3"/>
        <v>40915100.88</v>
      </c>
      <c r="M130" s="899">
        <f t="shared" si="3"/>
        <v>92252279.21</v>
      </c>
      <c r="N130" s="899">
        <f>M130</f>
        <v>92252279.21</v>
      </c>
      <c r="O130" s="899">
        <f>M130</f>
        <v>92252279.21</v>
      </c>
      <c r="S130" s="156"/>
    </row>
    <row r="131" spans="1:15" ht="12.75">
      <c r="A131" s="144"/>
      <c r="B131" s="93"/>
      <c r="C131" s="93">
        <v>733</v>
      </c>
      <c r="D131" s="93"/>
      <c r="E131" s="861"/>
      <c r="F131" s="93"/>
      <c r="G131" s="93" t="s">
        <v>163</v>
      </c>
      <c r="H131" s="93"/>
      <c r="I131" s="93"/>
      <c r="J131" s="93"/>
      <c r="K131" s="113">
        <f>K135+K132+K138</f>
        <v>40915100.88</v>
      </c>
      <c r="L131" s="113">
        <f>L135+L132+L138</f>
        <v>40915100.88</v>
      </c>
      <c r="M131" s="871">
        <f>M135+M132+M138</f>
        <v>92252279.21</v>
      </c>
      <c r="N131" s="871">
        <f>M131</f>
        <v>92252279.21</v>
      </c>
      <c r="O131" s="871">
        <f>M131</f>
        <v>92252279.21</v>
      </c>
    </row>
    <row r="132" spans="1:19" s="712" customFormat="1" ht="12.75">
      <c r="A132" s="144"/>
      <c r="B132" s="97"/>
      <c r="C132" s="671"/>
      <c r="D132" s="145">
        <v>7331</v>
      </c>
      <c r="E132" s="145"/>
      <c r="F132" s="672"/>
      <c r="G132" s="1772" t="s">
        <v>1366</v>
      </c>
      <c r="H132" s="1773"/>
      <c r="I132" s="1773"/>
      <c r="J132" s="1774"/>
      <c r="K132" s="675">
        <f>SUM(K133:K134)</f>
        <v>5000000</v>
      </c>
      <c r="L132" s="669">
        <f>SUM(L133:L134)</f>
        <v>5000000</v>
      </c>
      <c r="M132" s="904">
        <f>SUM(M133:M134)</f>
        <v>2620000</v>
      </c>
      <c r="N132" s="904">
        <v>2620000</v>
      </c>
      <c r="O132" s="904">
        <v>2620000</v>
      </c>
      <c r="S132" s="759"/>
    </row>
    <row r="133" spans="1:15" ht="12.75">
      <c r="A133" s="144"/>
      <c r="B133" s="135"/>
      <c r="C133" s="198"/>
      <c r="D133" s="136"/>
      <c r="E133" s="145">
        <v>733154</v>
      </c>
      <c r="F133" s="137"/>
      <c r="G133" s="1760" t="s">
        <v>1461</v>
      </c>
      <c r="H133" s="1761"/>
      <c r="I133" s="1761"/>
      <c r="J133" s="1762"/>
      <c r="K133" s="675">
        <v>4000000</v>
      </c>
      <c r="L133" s="669">
        <v>4000000</v>
      </c>
      <c r="M133" s="903">
        <v>500000</v>
      </c>
      <c r="N133" s="903">
        <v>500000</v>
      </c>
      <c r="O133" s="903">
        <v>500000</v>
      </c>
    </row>
    <row r="134" spans="1:15" ht="12.75">
      <c r="A134" s="144"/>
      <c r="B134" s="135"/>
      <c r="C134" s="198"/>
      <c r="D134" s="136"/>
      <c r="E134" s="816">
        <v>733156</v>
      </c>
      <c r="F134" s="137"/>
      <c r="G134" s="676" t="s">
        <v>1462</v>
      </c>
      <c r="H134" s="813"/>
      <c r="I134" s="175"/>
      <c r="J134" s="176"/>
      <c r="K134" s="392">
        <v>1000000</v>
      </c>
      <c r="L134" s="147">
        <v>1000000</v>
      </c>
      <c r="M134" s="902">
        <v>2120000</v>
      </c>
      <c r="N134" s="902">
        <v>2120000</v>
      </c>
      <c r="O134" s="902">
        <v>2120000</v>
      </c>
    </row>
    <row r="135" spans="1:19" s="712" customFormat="1" ht="12.75">
      <c r="A135" s="144"/>
      <c r="B135" s="97"/>
      <c r="C135" s="671"/>
      <c r="D135" s="145">
        <v>7332</v>
      </c>
      <c r="E135" s="145"/>
      <c r="F135" s="672"/>
      <c r="G135" s="815" t="s">
        <v>1288</v>
      </c>
      <c r="H135" s="673"/>
      <c r="I135" s="673"/>
      <c r="J135" s="674"/>
      <c r="K135" s="675">
        <f>K136+K137</f>
        <v>35721600.88</v>
      </c>
      <c r="L135" s="669">
        <f>L136+L137</f>
        <v>35721600.88</v>
      </c>
      <c r="M135" s="904">
        <f>M136+M137</f>
        <v>89622279.21</v>
      </c>
      <c r="N135" s="904">
        <v>1500000</v>
      </c>
      <c r="O135" s="904">
        <v>1500000</v>
      </c>
      <c r="S135" s="759"/>
    </row>
    <row r="136" spans="1:15" ht="12.75">
      <c r="A136" s="144"/>
      <c r="B136" s="135"/>
      <c r="C136" s="198"/>
      <c r="D136" s="136"/>
      <c r="E136" s="145">
        <v>733251</v>
      </c>
      <c r="F136" s="137"/>
      <c r="G136" s="676" t="s">
        <v>1463</v>
      </c>
      <c r="H136" s="175"/>
      <c r="I136" s="175"/>
      <c r="J136" s="176"/>
      <c r="K136" s="756">
        <v>1261758</v>
      </c>
      <c r="L136" s="670">
        <v>1261758</v>
      </c>
      <c r="M136" s="902">
        <v>1000000</v>
      </c>
      <c r="N136" s="902">
        <v>1000000</v>
      </c>
      <c r="O136" s="902">
        <v>1000000</v>
      </c>
    </row>
    <row r="137" spans="1:15" ht="12.75">
      <c r="A137" s="144"/>
      <c r="B137" s="135"/>
      <c r="C137" s="198"/>
      <c r="D137" s="136"/>
      <c r="E137" s="816">
        <v>733252</v>
      </c>
      <c r="F137" s="137"/>
      <c r="G137" s="676" t="s">
        <v>1464</v>
      </c>
      <c r="H137" s="175"/>
      <c r="I137" s="175"/>
      <c r="J137" s="176"/>
      <c r="K137" s="756">
        <v>34459842.88</v>
      </c>
      <c r="L137" s="670">
        <v>34459842.88</v>
      </c>
      <c r="M137" s="902">
        <v>88622279.21</v>
      </c>
      <c r="N137" s="902">
        <f>M137</f>
        <v>88622279.21</v>
      </c>
      <c r="O137" s="902">
        <f>M137</f>
        <v>88622279.21</v>
      </c>
    </row>
    <row r="138" spans="1:19" s="712" customFormat="1" ht="12.75">
      <c r="A138" s="144"/>
      <c r="B138" s="97"/>
      <c r="C138" s="671"/>
      <c r="D138" s="145">
        <v>7721</v>
      </c>
      <c r="E138" s="145"/>
      <c r="F138" s="672"/>
      <c r="G138" s="1772" t="s">
        <v>1367</v>
      </c>
      <c r="H138" s="1773"/>
      <c r="I138" s="1773"/>
      <c r="J138" s="1774"/>
      <c r="K138" s="675">
        <f>K139</f>
        <v>193500</v>
      </c>
      <c r="L138" s="669">
        <f>L139</f>
        <v>193500</v>
      </c>
      <c r="M138" s="904">
        <f>M139</f>
        <v>10000</v>
      </c>
      <c r="N138" s="904">
        <v>10000</v>
      </c>
      <c r="O138" s="904">
        <v>10000</v>
      </c>
      <c r="S138" s="759"/>
    </row>
    <row r="139" spans="1:15" ht="12.75">
      <c r="A139" s="144"/>
      <c r="B139" s="135"/>
      <c r="C139" s="198"/>
      <c r="D139" s="136"/>
      <c r="E139" s="145">
        <v>772114</v>
      </c>
      <c r="F139" s="137"/>
      <c r="G139" s="1760" t="s">
        <v>1367</v>
      </c>
      <c r="H139" s="1761"/>
      <c r="I139" s="1761"/>
      <c r="J139" s="1762"/>
      <c r="K139" s="756">
        <v>193500</v>
      </c>
      <c r="L139" s="670">
        <v>193500</v>
      </c>
      <c r="M139" s="902">
        <v>10000</v>
      </c>
      <c r="N139" s="902">
        <v>10000</v>
      </c>
      <c r="O139" s="902">
        <v>10000</v>
      </c>
    </row>
    <row r="140" spans="1:15" ht="12.75">
      <c r="A140" s="144"/>
      <c r="B140" s="135"/>
      <c r="C140" s="198"/>
      <c r="D140" s="136"/>
      <c r="E140" s="145"/>
      <c r="F140" s="137"/>
      <c r="G140" s="174"/>
      <c r="H140" s="175"/>
      <c r="I140" s="175"/>
      <c r="J140" s="176"/>
      <c r="K140" s="392"/>
      <c r="L140" s="147"/>
      <c r="M140" s="901"/>
      <c r="N140" s="901"/>
      <c r="O140" s="901"/>
    </row>
    <row r="141" spans="1:15" ht="12.75">
      <c r="A141" s="86" t="s">
        <v>1179</v>
      </c>
      <c r="B141" s="135"/>
      <c r="C141" s="136"/>
      <c r="D141" s="136"/>
      <c r="E141" s="136"/>
      <c r="F141" s="137"/>
      <c r="G141" s="1737" t="s">
        <v>1193</v>
      </c>
      <c r="H141" s="1738"/>
      <c r="I141" s="1738"/>
      <c r="J141" s="1739"/>
      <c r="K141" s="37">
        <f>K143</f>
        <v>81581123</v>
      </c>
      <c r="L141" s="37">
        <f>L143</f>
        <v>0</v>
      </c>
      <c r="M141" s="898">
        <f>M143</f>
        <v>427000</v>
      </c>
      <c r="N141" s="898">
        <v>505000</v>
      </c>
      <c r="O141" s="898">
        <v>505000</v>
      </c>
    </row>
    <row r="142" spans="1:19" s="32" customFormat="1" ht="12.75">
      <c r="A142" s="139"/>
      <c r="B142" s="87">
        <v>7</v>
      </c>
      <c r="C142" s="140"/>
      <c r="D142" s="140"/>
      <c r="E142" s="141"/>
      <c r="F142" s="142"/>
      <c r="G142" s="1740" t="s">
        <v>144</v>
      </c>
      <c r="H142" s="1741"/>
      <c r="I142" s="90"/>
      <c r="J142" s="79"/>
      <c r="K142" s="143">
        <f aca="true" t="shared" si="4" ref="K142:L144">K143</f>
        <v>81581123</v>
      </c>
      <c r="L142" s="143">
        <f t="shared" si="4"/>
        <v>0</v>
      </c>
      <c r="M142" s="899">
        <f>M143</f>
        <v>427000</v>
      </c>
      <c r="N142" s="899">
        <v>505000</v>
      </c>
      <c r="O142" s="899">
        <v>505000</v>
      </c>
      <c r="S142" s="156"/>
    </row>
    <row r="143" spans="1:15" ht="12.75">
      <c r="A143" s="144"/>
      <c r="B143" s="93"/>
      <c r="C143" s="93">
        <v>742</v>
      </c>
      <c r="D143" s="93"/>
      <c r="E143" s="861"/>
      <c r="F143" s="93"/>
      <c r="G143" s="93" t="s">
        <v>179</v>
      </c>
      <c r="H143" s="93"/>
      <c r="I143" s="93"/>
      <c r="J143" s="93"/>
      <c r="K143" s="113">
        <f t="shared" si="4"/>
        <v>81581123</v>
      </c>
      <c r="L143" s="113">
        <f t="shared" si="4"/>
        <v>0</v>
      </c>
      <c r="M143" s="871">
        <f>M144</f>
        <v>427000</v>
      </c>
      <c r="N143" s="871">
        <f>N144</f>
        <v>427000</v>
      </c>
      <c r="O143" s="871">
        <f>O144</f>
        <v>427000</v>
      </c>
    </row>
    <row r="144" spans="1:19" s="712" customFormat="1" ht="12.75">
      <c r="A144" s="144"/>
      <c r="B144" s="817"/>
      <c r="C144" s="198"/>
      <c r="D144" s="145">
        <v>7423</v>
      </c>
      <c r="E144" s="145"/>
      <c r="F144" s="137"/>
      <c r="G144" s="1763" t="s">
        <v>1475</v>
      </c>
      <c r="H144" s="1764"/>
      <c r="I144" s="1764"/>
      <c r="J144" s="1765"/>
      <c r="K144" s="385">
        <f t="shared" si="4"/>
        <v>81581123</v>
      </c>
      <c r="L144" s="147">
        <f t="shared" si="4"/>
        <v>0</v>
      </c>
      <c r="M144" s="904">
        <f>M145</f>
        <v>427000</v>
      </c>
      <c r="N144" s="902">
        <v>427000</v>
      </c>
      <c r="O144" s="902">
        <v>427000</v>
      </c>
      <c r="S144" s="759"/>
    </row>
    <row r="145" spans="1:15" ht="12.75">
      <c r="A145" s="144"/>
      <c r="B145" s="135"/>
      <c r="C145" s="198"/>
      <c r="D145" s="136"/>
      <c r="E145" s="145">
        <v>742378</v>
      </c>
      <c r="F145" s="137"/>
      <c r="G145" s="1754" t="s">
        <v>1193</v>
      </c>
      <c r="H145" s="1755"/>
      <c r="I145" s="1755"/>
      <c r="J145" s="1756"/>
      <c r="K145" s="385">
        <f>'Rashodi-2021'!Q507</f>
        <v>81581123</v>
      </c>
      <c r="L145" s="147">
        <f>'Rashodi-2021'!R507</f>
        <v>0</v>
      </c>
      <c r="M145" s="902">
        <f>'Rashodi-2021'!S507</f>
        <v>427000</v>
      </c>
      <c r="N145" s="902">
        <v>427000</v>
      </c>
      <c r="O145" s="902">
        <v>427000</v>
      </c>
    </row>
    <row r="146" spans="1:15" ht="12.75">
      <c r="A146" s="144"/>
      <c r="B146" s="135"/>
      <c r="C146" s="198"/>
      <c r="D146" s="136"/>
      <c r="E146" s="145"/>
      <c r="F146" s="137"/>
      <c r="G146" s="174"/>
      <c r="H146" s="175"/>
      <c r="I146" s="175"/>
      <c r="J146" s="176"/>
      <c r="K146" s="392"/>
      <c r="L146" s="147"/>
      <c r="M146" s="901"/>
      <c r="N146" s="901"/>
      <c r="O146" s="901"/>
    </row>
    <row r="147" spans="1:15" ht="12.75">
      <c r="A147" s="86" t="s">
        <v>223</v>
      </c>
      <c r="B147" s="135"/>
      <c r="C147" s="177">
        <v>321</v>
      </c>
      <c r="D147" s="136"/>
      <c r="E147" s="136"/>
      <c r="F147" s="137"/>
      <c r="G147" s="1737" t="s">
        <v>227</v>
      </c>
      <c r="H147" s="1738"/>
      <c r="I147" s="1738"/>
      <c r="J147" s="1739"/>
      <c r="K147" s="391">
        <f>'Rashodi-2021'!O507</f>
        <v>400000</v>
      </c>
      <c r="L147" s="138">
        <f>'Rashodi-2021'!P507</f>
        <v>92252279.21000001</v>
      </c>
      <c r="M147" s="898">
        <f>'Rashodi-2021'!Q507</f>
        <v>81581123</v>
      </c>
      <c r="N147" s="898">
        <f>O147</f>
        <v>81581123</v>
      </c>
      <c r="O147" s="898">
        <f>M147</f>
        <v>81581123</v>
      </c>
    </row>
    <row r="148" spans="1:15" ht="12.75">
      <c r="A148" s="190"/>
      <c r="B148" s="135"/>
      <c r="C148" s="198"/>
      <c r="D148" s="136"/>
      <c r="E148" s="136"/>
      <c r="F148" s="137"/>
      <c r="G148" s="183"/>
      <c r="H148" s="184"/>
      <c r="I148" s="184"/>
      <c r="J148" s="185"/>
      <c r="K148" s="391"/>
      <c r="L148" s="138"/>
      <c r="M148" s="905"/>
      <c r="N148" s="905"/>
      <c r="O148" s="905"/>
    </row>
    <row r="149" spans="1:15" ht="12.75">
      <c r="A149" s="190"/>
      <c r="B149" s="135"/>
      <c r="C149" s="198"/>
      <c r="D149" s="136"/>
      <c r="E149" s="136"/>
      <c r="F149" s="137"/>
      <c r="G149" s="183"/>
      <c r="H149" s="184"/>
      <c r="I149" s="184"/>
      <c r="J149" s="185"/>
      <c r="K149" s="391"/>
      <c r="L149" s="138"/>
      <c r="M149" s="898"/>
      <c r="N149" s="898"/>
      <c r="O149" s="898"/>
    </row>
    <row r="150" spans="1:15" ht="12.75">
      <c r="A150" s="33"/>
      <c r="B150" s="135"/>
      <c r="C150" s="135"/>
      <c r="D150" s="135"/>
      <c r="E150" s="862"/>
      <c r="F150" s="148"/>
      <c r="G150" s="1757" t="s">
        <v>196</v>
      </c>
      <c r="H150" s="1758"/>
      <c r="I150" s="1758"/>
      <c r="J150" s="1759"/>
      <c r="K150" s="171" t="e">
        <f>K8+K102</f>
        <v>#REF!</v>
      </c>
      <c r="L150" s="171" t="e">
        <f>L8+L102</f>
        <v>#REF!</v>
      </c>
      <c r="M150" s="906">
        <f>M8+M102</f>
        <v>453286579</v>
      </c>
      <c r="N150" s="906">
        <f>M150</f>
        <v>453286579</v>
      </c>
      <c r="O150" s="906">
        <f>M150</f>
        <v>453286579</v>
      </c>
    </row>
    <row r="151" spans="1:15" ht="15" customHeight="1">
      <c r="A151" s="35"/>
      <c r="B151" s="104"/>
      <c r="C151" s="104"/>
      <c r="D151" s="104"/>
      <c r="E151" s="859"/>
      <c r="F151" s="105"/>
      <c r="G151" s="1742" t="s">
        <v>197</v>
      </c>
      <c r="H151" s="1743"/>
      <c r="I151" s="1743"/>
      <c r="J151" s="1744"/>
      <c r="K151" s="394">
        <v>245000</v>
      </c>
      <c r="L151" s="38">
        <v>245000</v>
      </c>
      <c r="M151" s="903">
        <f>M112</f>
        <v>180000</v>
      </c>
      <c r="N151" s="903">
        <v>180000</v>
      </c>
      <c r="O151" s="903">
        <v>180000</v>
      </c>
    </row>
    <row r="152" spans="1:15" ht="12.75">
      <c r="A152" s="35"/>
      <c r="B152" s="104"/>
      <c r="C152" s="104"/>
      <c r="D152" s="104"/>
      <c r="E152" s="859"/>
      <c r="F152" s="105"/>
      <c r="G152" s="1742" t="s">
        <v>198</v>
      </c>
      <c r="H152" s="1743"/>
      <c r="I152" s="1743"/>
      <c r="J152" s="1744"/>
      <c r="K152" s="394">
        <f>K123</f>
        <v>2980000</v>
      </c>
      <c r="L152" s="38">
        <f>L123</f>
        <v>2980000</v>
      </c>
      <c r="M152" s="903">
        <f>M123</f>
        <v>400000</v>
      </c>
      <c r="N152" s="903">
        <f>N124</f>
        <v>400000</v>
      </c>
      <c r="O152" s="903">
        <f>O124</f>
        <v>400000</v>
      </c>
    </row>
    <row r="153" spans="1:16" ht="12.75">
      <c r="A153" s="35"/>
      <c r="B153" s="104"/>
      <c r="C153" s="104"/>
      <c r="D153" s="104"/>
      <c r="E153" s="859"/>
      <c r="F153" s="105"/>
      <c r="G153" s="1742" t="s">
        <v>199</v>
      </c>
      <c r="H153" s="1743"/>
      <c r="I153" s="1743"/>
      <c r="J153" s="1744"/>
      <c r="K153" s="394">
        <f>K129</f>
        <v>40915100.88</v>
      </c>
      <c r="L153" s="38">
        <f>L129</f>
        <v>40915100.88</v>
      </c>
      <c r="M153" s="961">
        <f>M129</f>
        <v>92252279.21</v>
      </c>
      <c r="N153" s="961">
        <f>N131</f>
        <v>92252279.21</v>
      </c>
      <c r="O153" s="961">
        <f>O130</f>
        <v>92252279.21</v>
      </c>
      <c r="P153" s="493"/>
    </row>
    <row r="154" spans="1:15" ht="12.75">
      <c r="A154" s="35"/>
      <c r="B154" s="104"/>
      <c r="C154" s="104"/>
      <c r="D154" s="104"/>
      <c r="E154" s="859"/>
      <c r="F154" s="105"/>
      <c r="G154" s="1742" t="s">
        <v>224</v>
      </c>
      <c r="H154" s="1743"/>
      <c r="I154" s="1743"/>
      <c r="J154" s="1744"/>
      <c r="K154" s="38">
        <f>'Rashodi-2021'!O507</f>
        <v>400000</v>
      </c>
      <c r="L154" s="38">
        <f>'Rashodi-2021'!P507</f>
        <v>92252279.21000001</v>
      </c>
      <c r="M154" s="962">
        <f>M147</f>
        <v>81581123</v>
      </c>
      <c r="N154" s="962">
        <f>N147</f>
        <v>81581123</v>
      </c>
      <c r="O154" s="962">
        <f>O147</f>
        <v>81581123</v>
      </c>
    </row>
    <row r="155" spans="1:15" ht="12.75">
      <c r="A155" s="186"/>
      <c r="B155" s="187"/>
      <c r="C155" s="187"/>
      <c r="D155" s="187"/>
      <c r="E155" s="863"/>
      <c r="F155" s="188"/>
      <c r="G155" s="1795" t="s">
        <v>1180</v>
      </c>
      <c r="H155" s="1796"/>
      <c r="I155" s="1796"/>
      <c r="J155" s="1796"/>
      <c r="K155" s="518">
        <f>K141</f>
        <v>81581123</v>
      </c>
      <c r="L155" s="189">
        <f>L141</f>
        <v>0</v>
      </c>
      <c r="M155" s="907">
        <f>M141</f>
        <v>427000</v>
      </c>
      <c r="N155" s="907">
        <v>427000</v>
      </c>
      <c r="O155" s="907">
        <v>427000</v>
      </c>
    </row>
    <row r="156" spans="1:15" ht="13.5" thickBot="1">
      <c r="A156" s="39"/>
      <c r="B156" s="149"/>
      <c r="C156" s="149"/>
      <c r="D156" s="149"/>
      <c r="E156" s="864"/>
      <c r="F156" s="150"/>
      <c r="G156" s="1734" t="s">
        <v>129</v>
      </c>
      <c r="H156" s="1735"/>
      <c r="I156" s="1735"/>
      <c r="J156" s="1736"/>
      <c r="K156" s="40" t="e">
        <f>SUM(K150:K155)</f>
        <v>#REF!</v>
      </c>
      <c r="L156" s="40" t="e">
        <f>SUM(L150:L155)</f>
        <v>#REF!</v>
      </c>
      <c r="M156" s="908">
        <f>SUM(M150:M155)</f>
        <v>628126981.21</v>
      </c>
      <c r="N156" s="908">
        <f>SUM(N150:N155)</f>
        <v>628126981.21</v>
      </c>
      <c r="O156" s="908">
        <f>SUM(O150:O155)</f>
        <v>628126981.21</v>
      </c>
    </row>
    <row r="157" spans="1:11" ht="12.75" customHeight="1" hidden="1">
      <c r="A157" s="29"/>
      <c r="B157" s="29"/>
      <c r="C157" s="29"/>
      <c r="D157" s="29"/>
      <c r="E157" s="850"/>
      <c r="F157" s="29"/>
      <c r="G157" s="29"/>
      <c r="H157" s="29"/>
      <c r="I157" s="29"/>
      <c r="J157" s="29"/>
      <c r="K157" s="387"/>
    </row>
    <row r="158" spans="1:6" ht="12.75" customHeight="1" hidden="1">
      <c r="A158" s="1733"/>
      <c r="B158" s="1733"/>
      <c r="C158" s="1733"/>
      <c r="D158" s="1733"/>
      <c r="E158" s="1733"/>
      <c r="F158" s="1733"/>
    </row>
    <row r="159" ht="12.75" customHeight="1" hidden="1">
      <c r="H159" s="493"/>
    </row>
    <row r="160" spans="1:11" ht="12.75" customHeight="1" hidden="1">
      <c r="A160" s="1733"/>
      <c r="B160" s="1733"/>
      <c r="C160" s="1733"/>
      <c r="D160" s="1733"/>
      <c r="E160" s="1733"/>
      <c r="F160" s="1733"/>
      <c r="K160" s="400"/>
    </row>
    <row r="161" spans="12:15" ht="12.75" customHeight="1" hidden="1">
      <c r="L161" s="41"/>
      <c r="M161" s="41"/>
      <c r="N161" s="41"/>
      <c r="O161" s="41"/>
    </row>
    <row r="162" spans="8:16" ht="12.75" customHeight="1" hidden="1">
      <c r="H162" s="565" t="s">
        <v>1181</v>
      </c>
      <c r="I162" s="1797">
        <f>M150+M151+M152+M153+M155</f>
        <v>546545858.21</v>
      </c>
      <c r="J162" s="1798"/>
      <c r="K162" s="179">
        <v>0.1</v>
      </c>
      <c r="L162" s="26">
        <v>0.1</v>
      </c>
      <c r="M162" s="552">
        <v>0.1</v>
      </c>
      <c r="N162" s="552"/>
      <c r="O162" s="552"/>
      <c r="P162" s="43"/>
    </row>
    <row r="163" spans="13:16" ht="12.75" customHeight="1" hidden="1">
      <c r="M163" s="76"/>
      <c r="N163" s="76"/>
      <c r="O163" s="76"/>
      <c r="P163" s="555"/>
    </row>
    <row r="164" spans="13:15" ht="12.75" customHeight="1" hidden="1">
      <c r="M164" s="76"/>
      <c r="N164" s="76"/>
      <c r="O164" s="76"/>
    </row>
    <row r="165" spans="9:10" ht="12.75" customHeight="1" hidden="1">
      <c r="I165" s="1792">
        <f>I162*M162</f>
        <v>54654585.82100001</v>
      </c>
      <c r="J165" s="1792"/>
    </row>
    <row r="166" spans="9:10" ht="12.75" customHeight="1" hidden="1">
      <c r="I166" s="1793" t="s">
        <v>1192</v>
      </c>
      <c r="J166" s="1793"/>
    </row>
    <row r="167" spans="9:10" ht="12.75" customHeight="1" hidden="1">
      <c r="I167" s="553"/>
      <c r="J167" s="553"/>
    </row>
    <row r="168" ht="12.75" customHeight="1" hidden="1"/>
    <row r="169" ht="12.75" customHeight="1" hidden="1"/>
    <row r="170" spans="8:15" ht="12.75" customHeight="1" hidden="1">
      <c r="H170" s="1">
        <f>'Rashodi-2021'!M507-'Prihodi-2021'!M150</f>
        <v>0</v>
      </c>
      <c r="K170" s="179" t="e">
        <f>K150+K151+K152+K153+K155</f>
        <v>#REF!</v>
      </c>
      <c r="L170" s="26" t="e">
        <f>L150+L151+L152+L153+L155</f>
        <v>#REF!</v>
      </c>
      <c r="M170" s="43">
        <f>M150+M151+M152+M153+M155</f>
        <v>546545858.21</v>
      </c>
      <c r="N170" s="43"/>
      <c r="O170" s="43"/>
    </row>
    <row r="171" ht="12.75" customHeight="1" hidden="1"/>
    <row r="172" ht="12.75" customHeight="1" hidden="1"/>
    <row r="173" ht="12.75" customHeight="1" hidden="1"/>
    <row r="174" ht="12.75" customHeight="1" hidden="1"/>
    <row r="175" spans="11:13" ht="12.75" customHeight="1" hidden="1">
      <c r="K175" s="179" t="e">
        <f>K150+K151+K152+K153+K155</f>
        <v>#REF!</v>
      </c>
      <c r="L175" s="26" t="e">
        <f>L150+L151+L152+L153+L155</f>
        <v>#REF!</v>
      </c>
      <c r="M175" s="43">
        <f>M150+M151+M152+M153+M155</f>
        <v>546545858.21</v>
      </c>
    </row>
    <row r="176" spans="11:13" ht="12.75" customHeight="1" hidden="1">
      <c r="K176" s="179" t="e">
        <f>K175+K147+#REF!</f>
        <v>#REF!</v>
      </c>
      <c r="L176" s="26" t="e">
        <f>L175+L147+#REF!</f>
        <v>#REF!</v>
      </c>
      <c r="M176" s="43" t="e">
        <f>M175+M147+#REF!</f>
        <v>#REF!</v>
      </c>
    </row>
    <row r="177" spans="11:13" ht="12.75" customHeight="1" hidden="1">
      <c r="K177" s="179" t="e">
        <f>K176-K175</f>
        <v>#REF!</v>
      </c>
      <c r="L177" s="26" t="e">
        <f>L176-L175</f>
        <v>#REF!</v>
      </c>
      <c r="M177" s="43" t="e">
        <f>M176-M175</f>
        <v>#REF!</v>
      </c>
    </row>
    <row r="178" ht="12.75" customHeight="1" hidden="1"/>
    <row r="179" ht="12.75" customHeight="1" hidden="1"/>
    <row r="180" ht="12.75" customHeight="1" hidden="1">
      <c r="M180" s="76">
        <f>M150+M151+M152+M153+M155</f>
        <v>546545858.21</v>
      </c>
    </row>
    <row r="181" ht="12.75" customHeight="1" hidden="1"/>
    <row r="182" ht="12.75" customHeight="1" hidden="1"/>
    <row r="183" ht="12.75" customHeight="1" hidden="1">
      <c r="M183" s="41" t="e">
        <f>#REF!+M154</f>
        <v>#REF!</v>
      </c>
    </row>
    <row r="184" ht="12.75" customHeight="1" hidden="1">
      <c r="H184" s="268"/>
    </row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>
      <c r="M189" s="76"/>
    </row>
  </sheetData>
  <sheetProtection/>
  <mergeCells count="96">
    <mergeCell ref="P40:Q40"/>
    <mergeCell ref="G155:J155"/>
    <mergeCell ref="I162:J162"/>
    <mergeCell ref="G133:J133"/>
    <mergeCell ref="G151:J151"/>
    <mergeCell ref="G127:J127"/>
    <mergeCell ref="G104:J104"/>
    <mergeCell ref="G141:J141"/>
    <mergeCell ref="G145:J145"/>
    <mergeCell ref="G51:H51"/>
    <mergeCell ref="G11:H11"/>
    <mergeCell ref="I165:J165"/>
    <mergeCell ref="I166:J166"/>
    <mergeCell ref="G29:H29"/>
    <mergeCell ref="G106:J106"/>
    <mergeCell ref="G124:H124"/>
    <mergeCell ref="G119:J119"/>
    <mergeCell ref="G138:J138"/>
    <mergeCell ref="G120:I120"/>
    <mergeCell ref="G71:J71"/>
    <mergeCell ref="G48:J48"/>
    <mergeCell ref="G18:H18"/>
    <mergeCell ref="B4:M4"/>
    <mergeCell ref="G112:J112"/>
    <mergeCell ref="G6:J6"/>
    <mergeCell ref="G7:J7"/>
    <mergeCell ref="G8:J8"/>
    <mergeCell ref="G49:J49"/>
    <mergeCell ref="G10:J10"/>
    <mergeCell ref="G22:I22"/>
    <mergeCell ref="G86:J86"/>
    <mergeCell ref="G85:J85"/>
    <mergeCell ref="G12:J12"/>
    <mergeCell ref="G24:H24"/>
    <mergeCell ref="G21:J21"/>
    <mergeCell ref="G30:I30"/>
    <mergeCell ref="G33:I33"/>
    <mergeCell ref="G67:J67"/>
    <mergeCell ref="G41:J41"/>
    <mergeCell ref="G45:J45"/>
    <mergeCell ref="G40:I40"/>
    <mergeCell ref="G42:J42"/>
    <mergeCell ref="G56:J56"/>
    <mergeCell ref="G110:J110"/>
    <mergeCell ref="G98:I98"/>
    <mergeCell ref="G35:J35"/>
    <mergeCell ref="G78:J78"/>
    <mergeCell ref="G75:J75"/>
    <mergeCell ref="G84:I84"/>
    <mergeCell ref="G102:J102"/>
    <mergeCell ref="G43:J43"/>
    <mergeCell ref="G44:J44"/>
    <mergeCell ref="G54:J54"/>
    <mergeCell ref="G94:J94"/>
    <mergeCell ref="G70:J70"/>
    <mergeCell ref="G15:I15"/>
    <mergeCell ref="G39:I39"/>
    <mergeCell ref="G58:H58"/>
    <mergeCell ref="G60:J60"/>
    <mergeCell ref="G53:J53"/>
    <mergeCell ref="G89:J89"/>
    <mergeCell ref="G57:J57"/>
    <mergeCell ref="G52:J52"/>
    <mergeCell ref="G115:J115"/>
    <mergeCell ref="G118:J118"/>
    <mergeCell ref="G68:J68"/>
    <mergeCell ref="G92:J92"/>
    <mergeCell ref="G103:J103"/>
    <mergeCell ref="G77:J77"/>
    <mergeCell ref="G66:I66"/>
    <mergeCell ref="G91:J91"/>
    <mergeCell ref="G126:J126"/>
    <mergeCell ref="G144:J144"/>
    <mergeCell ref="G147:J147"/>
    <mergeCell ref="G116:J116"/>
    <mergeCell ref="G114:J114"/>
    <mergeCell ref="G96:J96"/>
    <mergeCell ref="G95:J95"/>
    <mergeCell ref="G97:J97"/>
    <mergeCell ref="G132:J132"/>
    <mergeCell ref="G108:J108"/>
    <mergeCell ref="G109:J109"/>
    <mergeCell ref="G105:J105"/>
    <mergeCell ref="G152:J152"/>
    <mergeCell ref="G121:J121"/>
    <mergeCell ref="G150:J150"/>
    <mergeCell ref="G139:J139"/>
    <mergeCell ref="G142:H142"/>
    <mergeCell ref="A160:F160"/>
    <mergeCell ref="A158:F158"/>
    <mergeCell ref="G156:J156"/>
    <mergeCell ref="G123:J123"/>
    <mergeCell ref="G129:J129"/>
    <mergeCell ref="G130:H130"/>
    <mergeCell ref="G153:J153"/>
    <mergeCell ref="G154:J154"/>
  </mergeCells>
  <printOptions horizontalCentered="1" verticalCentered="1"/>
  <pageMargins left="0.5118110236220472" right="0.15748031496062992" top="0.2362204724409449" bottom="0.1968503937007874" header="0.2755905511811024" footer="0.15748031496062992"/>
  <pageSetup horizontalDpi="600" verticalDpi="600" orientation="landscape" scale="65" r:id="rId2"/>
  <headerFooter alignWithMargins="0">
    <oddFooter>&amp;CPage &amp;P of &amp;N</oddFooter>
  </headerFooter>
  <rowBreaks count="3" manualBreakCount="3">
    <brk id="75" max="18" man="1"/>
    <brk id="156" max="13" man="1"/>
    <brk id="157" max="255" man="1"/>
  </rowBreaks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29"/>
  <sheetViews>
    <sheetView zoomScalePageLayoutView="0" workbookViewId="0" topLeftCell="A4">
      <selection activeCell="B6" sqref="B6:D29"/>
    </sheetView>
  </sheetViews>
  <sheetFormatPr defaultColWidth="9.140625" defaultRowHeight="12.75"/>
  <cols>
    <col min="1" max="2" width="9.140625" style="1" customWidth="1"/>
    <col min="3" max="3" width="40.57421875" style="1" customWidth="1"/>
    <col min="4" max="4" width="22.140625" style="1" customWidth="1"/>
    <col min="5" max="6" width="9.140625" style="1" customWidth="1"/>
    <col min="7" max="7" width="13.8515625" style="1" bestFit="1" customWidth="1"/>
    <col min="8" max="16384" width="9.140625" style="1" customWidth="1"/>
  </cols>
  <sheetData>
    <row r="5" ht="13.5" thickBot="1"/>
    <row r="6" spans="2:4" ht="26.25" thickBot="1">
      <c r="B6" s="2" t="s">
        <v>54</v>
      </c>
      <c r="C6" s="3" t="s">
        <v>55</v>
      </c>
      <c r="D6" s="4" t="s">
        <v>1558</v>
      </c>
    </row>
    <row r="7" spans="2:6" ht="30.75" customHeight="1" thickBot="1">
      <c r="B7" s="199">
        <v>32</v>
      </c>
      <c r="C7" s="200" t="s">
        <v>225</v>
      </c>
      <c r="D7" s="201">
        <f>'Prihodi-2021'!M147</f>
        <v>81581123</v>
      </c>
      <c r="E7" s="192"/>
      <c r="F7" s="193"/>
    </row>
    <row r="8" spans="2:6" ht="32.25" customHeight="1" thickBot="1">
      <c r="B8" s="199">
        <v>31</v>
      </c>
      <c r="C8" s="200" t="s">
        <v>226</v>
      </c>
      <c r="D8" s="201">
        <v>0</v>
      </c>
      <c r="E8" s="192"/>
      <c r="F8" s="193"/>
    </row>
    <row r="9" spans="2:4" ht="33" customHeight="1" thickBot="1">
      <c r="B9" s="5"/>
      <c r="C9" s="6" t="s">
        <v>56</v>
      </c>
      <c r="D9" s="7">
        <f>SUM(D10:D13)</f>
        <v>453286579</v>
      </c>
    </row>
    <row r="10" spans="2:4" ht="13.5" thickBot="1">
      <c r="B10" s="8">
        <v>71</v>
      </c>
      <c r="C10" s="9" t="s">
        <v>57</v>
      </c>
      <c r="D10" s="10">
        <f>SUM('Prihodi-2021'!M9,'Prihodi-2021'!M22,'Prihodi-2021'!M29,'Prihodi-2021'!M39,'Prihodi-2021'!M51,'Prihodi-2021'!M28)</f>
        <v>204778472</v>
      </c>
    </row>
    <row r="11" spans="2:4" ht="13.5" thickBot="1">
      <c r="B11" s="8">
        <v>73</v>
      </c>
      <c r="C11" s="9" t="s">
        <v>58</v>
      </c>
      <c r="D11" s="10">
        <f>SUM('Prihodi-2021'!M55)</f>
        <v>160771510</v>
      </c>
    </row>
    <row r="12" spans="2:4" ht="13.5" thickBot="1">
      <c r="B12" s="8">
        <v>74</v>
      </c>
      <c r="C12" s="9" t="s">
        <v>59</v>
      </c>
      <c r="D12" s="10">
        <f>SUM('Prihodi-2021'!M58,'Prihodi-2021'!M75,'Prihodi-2021'!M88,'Prihodi-2021'!M92,'Prihodi-2021'!M97)</f>
        <v>87668597</v>
      </c>
    </row>
    <row r="13" spans="2:4" ht="13.5" customHeight="1" thickBot="1">
      <c r="B13" s="713" t="s">
        <v>1314</v>
      </c>
      <c r="C13" s="714" t="s">
        <v>1315</v>
      </c>
      <c r="D13" s="11">
        <f>'Prihodi-2021'!M102</f>
        <v>68000</v>
      </c>
    </row>
    <row r="14" spans="2:4" ht="33" customHeight="1" thickBot="1">
      <c r="B14" s="12"/>
      <c r="C14" s="2" t="s">
        <v>60</v>
      </c>
      <c r="D14" s="13">
        <f>SUM(D15:D15)</f>
        <v>180000</v>
      </c>
    </row>
    <row r="15" spans="2:4" ht="13.5" thickBot="1">
      <c r="B15" s="8">
        <v>74</v>
      </c>
      <c r="C15" s="9" t="s">
        <v>59</v>
      </c>
      <c r="D15" s="10">
        <f>SUM('Prihodi-2021'!M116:M119)</f>
        <v>180000</v>
      </c>
    </row>
    <row r="16" spans="2:4" ht="38.25" customHeight="1" thickBot="1">
      <c r="B16" s="14"/>
      <c r="C16" s="6" t="s">
        <v>61</v>
      </c>
      <c r="D16" s="7">
        <f>D17</f>
        <v>400000</v>
      </c>
    </row>
    <row r="17" spans="2:4" ht="12.75">
      <c r="B17" s="15">
        <v>73</v>
      </c>
      <c r="C17" s="16" t="s">
        <v>58</v>
      </c>
      <c r="D17" s="17">
        <f>SUM('Prihodi-2021'!M125)</f>
        <v>400000</v>
      </c>
    </row>
    <row r="18" spans="2:4" ht="33" customHeight="1" thickBot="1">
      <c r="B18" s="164"/>
      <c r="C18" s="165" t="s">
        <v>62</v>
      </c>
      <c r="D18" s="166">
        <f>SUM(D19:D19)</f>
        <v>92252279.21</v>
      </c>
    </row>
    <row r="19" spans="2:4" ht="13.5" thickBot="1">
      <c r="B19" s="8">
        <v>73</v>
      </c>
      <c r="C19" s="9" t="s">
        <v>63</v>
      </c>
      <c r="D19" s="10">
        <f>SUM('Prihodi-2021'!M131)</f>
        <v>92252279.21</v>
      </c>
    </row>
    <row r="20" spans="2:6" ht="33" customHeight="1" thickBot="1">
      <c r="B20" s="5"/>
      <c r="C20" s="566" t="s">
        <v>1194</v>
      </c>
      <c r="D20" s="569">
        <f>D21</f>
        <v>427000</v>
      </c>
      <c r="E20" s="567"/>
      <c r="F20" s="568"/>
    </row>
    <row r="21" spans="2:4" ht="13.5" thickBot="1">
      <c r="B21" s="396" t="s">
        <v>1195</v>
      </c>
      <c r="C21" s="9" t="s">
        <v>59</v>
      </c>
      <c r="D21" s="10">
        <f>'Prihodi-2021'!M141</f>
        <v>427000</v>
      </c>
    </row>
    <row r="22" spans="2:4" ht="13.5" thickBot="1">
      <c r="B22" s="18"/>
      <c r="C22" s="19"/>
      <c r="D22" s="13"/>
    </row>
    <row r="23" spans="2:4" ht="13.5" thickBot="1">
      <c r="B23" s="20"/>
      <c r="C23" s="21" t="s">
        <v>64</v>
      </c>
      <c r="D23" s="7">
        <f>D9</f>
        <v>453286579</v>
      </c>
    </row>
    <row r="24" spans="2:4" ht="13.5" thickBot="1">
      <c r="B24" s="20"/>
      <c r="C24" s="21" t="s">
        <v>65</v>
      </c>
      <c r="D24" s="7">
        <f>D14</f>
        <v>180000</v>
      </c>
    </row>
    <row r="25" spans="2:4" ht="13.5" thickBot="1">
      <c r="B25" s="20"/>
      <c r="C25" s="21" t="s">
        <v>66</v>
      </c>
      <c r="D25" s="7">
        <f>'Prihodi-2021'!M152</f>
        <v>400000</v>
      </c>
    </row>
    <row r="26" spans="2:4" ht="13.5" thickBot="1">
      <c r="B26" s="20"/>
      <c r="C26" s="21" t="s">
        <v>67</v>
      </c>
      <c r="D26" s="7">
        <f>'Prihodi-2021'!M153</f>
        <v>92252279.21</v>
      </c>
    </row>
    <row r="27" spans="2:7" ht="13.5" thickBot="1">
      <c r="B27" s="18"/>
      <c r="C27" s="196" t="s">
        <v>1316</v>
      </c>
      <c r="D27" s="197">
        <f>'Prihodi-2021'!M154</f>
        <v>81581123</v>
      </c>
      <c r="E27" s="194"/>
      <c r="F27" s="194"/>
      <c r="G27" s="195"/>
    </row>
    <row r="28" spans="2:7" ht="13.5" thickBot="1">
      <c r="B28" s="20"/>
      <c r="C28" s="196" t="s">
        <v>1317</v>
      </c>
      <c r="D28" s="191">
        <f>'Prihodi-2021'!M155</f>
        <v>427000</v>
      </c>
      <c r="E28" s="194"/>
      <c r="F28" s="194"/>
      <c r="G28" s="194"/>
    </row>
    <row r="29" spans="2:4" ht="13.5" thickBot="1">
      <c r="B29" s="20"/>
      <c r="C29" s="21" t="s">
        <v>1557</v>
      </c>
      <c r="D29" s="7">
        <f>SUM(D23:D28)</f>
        <v>628126981.21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0"/>
  <sheetViews>
    <sheetView zoomScalePageLayoutView="0" workbookViewId="0" topLeftCell="A16">
      <selection activeCell="F30" sqref="F30"/>
    </sheetView>
  </sheetViews>
  <sheetFormatPr defaultColWidth="7.7109375" defaultRowHeight="12.75"/>
  <cols>
    <col min="1" max="1" width="7.140625" style="202" customWidth="1"/>
    <col min="2" max="2" width="7.140625" style="238" customWidth="1"/>
    <col min="3" max="3" width="54.28125" style="202" customWidth="1"/>
    <col min="4" max="4" width="20.421875" style="247" customWidth="1"/>
    <col min="5" max="5" width="22.28125" style="202" customWidth="1"/>
    <col min="6" max="6" width="18.7109375" style="202" customWidth="1"/>
    <col min="7" max="27" width="7.7109375" style="205" customWidth="1"/>
    <col min="28" max="16384" width="7.7109375" style="202" customWidth="1"/>
  </cols>
  <sheetData>
    <row r="1" spans="2:6" ht="16.5">
      <c r="B1" s="234" t="s">
        <v>228</v>
      </c>
      <c r="C1" s="203"/>
      <c r="E1" s="203"/>
      <c r="F1" s="204"/>
    </row>
    <row r="2" spans="2:6" ht="15">
      <c r="B2" s="235"/>
      <c r="C2" s="203"/>
      <c r="E2" s="204" t="s">
        <v>229</v>
      </c>
      <c r="F2" s="206"/>
    </row>
    <row r="3" spans="1:5" ht="36" customHeight="1" thickBot="1">
      <c r="A3" s="207"/>
      <c r="B3" s="236"/>
      <c r="C3" s="210" t="s">
        <v>230</v>
      </c>
      <c r="D3" s="248" t="s">
        <v>246</v>
      </c>
      <c r="E3" s="211" t="s">
        <v>231</v>
      </c>
    </row>
    <row r="4" spans="1:5" ht="33">
      <c r="A4" s="208"/>
      <c r="B4" s="239"/>
      <c r="C4" s="223" t="s">
        <v>232</v>
      </c>
      <c r="D4" s="249"/>
      <c r="E4" s="224"/>
    </row>
    <row r="5" spans="1:27" s="203" customFormat="1" ht="30">
      <c r="A5" s="209"/>
      <c r="B5" s="242"/>
      <c r="C5" s="212" t="s">
        <v>233</v>
      </c>
      <c r="D5" s="250" t="s">
        <v>273</v>
      </c>
      <c r="E5" s="225">
        <f>E6+E16</f>
        <v>546537858.21</v>
      </c>
      <c r="F5" s="261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</row>
    <row r="6" spans="1:27" s="203" customFormat="1" ht="15">
      <c r="A6" s="209"/>
      <c r="B6" s="243"/>
      <c r="C6" s="213" t="s">
        <v>234</v>
      </c>
      <c r="D6" s="251">
        <v>7</v>
      </c>
      <c r="E6" s="226">
        <f>E7+E12+E14+E15</f>
        <v>546469858.21</v>
      </c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</row>
    <row r="7" spans="1:27" s="203" customFormat="1" ht="15">
      <c r="A7" s="209"/>
      <c r="B7" s="244" t="s">
        <v>248</v>
      </c>
      <c r="C7" s="214" t="s">
        <v>247</v>
      </c>
      <c r="D7" s="252">
        <v>71</v>
      </c>
      <c r="E7" s="227">
        <f>'Prihodi-2021'!M10+'Prihodi-2021'!M29+'Prihodi-2021'!M39+'Prihodi-2021'!M51</f>
        <v>204770472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</row>
    <row r="8" spans="1:27" s="203" customFormat="1" ht="15">
      <c r="A8" s="209"/>
      <c r="B8" s="245" t="s">
        <v>73</v>
      </c>
      <c r="C8" s="215" t="s">
        <v>249</v>
      </c>
      <c r="D8" s="253">
        <v>711</v>
      </c>
      <c r="E8" s="228">
        <f>'Prihodi-2021'!M9</f>
        <v>137243000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</row>
    <row r="9" spans="1:27" s="203" customFormat="1" ht="15.75">
      <c r="A9" s="209"/>
      <c r="B9" s="245" t="s">
        <v>251</v>
      </c>
      <c r="C9" s="216" t="s">
        <v>250</v>
      </c>
      <c r="D9" s="254">
        <v>713</v>
      </c>
      <c r="E9" s="228">
        <f>'Prihodi-2021'!M29</f>
        <v>52442472</v>
      </c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</row>
    <row r="10" spans="1:27" s="203" customFormat="1" ht="15.75">
      <c r="A10" s="209"/>
      <c r="B10" s="245" t="s">
        <v>253</v>
      </c>
      <c r="C10" s="216" t="s">
        <v>252</v>
      </c>
      <c r="D10" s="254">
        <v>714</v>
      </c>
      <c r="E10" s="228">
        <f>'Prihodi-2021'!M39</f>
        <v>7160000</v>
      </c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</row>
    <row r="11" spans="1:27" s="203" customFormat="1" ht="15.75">
      <c r="A11" s="209"/>
      <c r="B11" s="245" t="s">
        <v>1171</v>
      </c>
      <c r="C11" s="216" t="s">
        <v>254</v>
      </c>
      <c r="D11" s="254">
        <v>716</v>
      </c>
      <c r="E11" s="228">
        <f>'Prihodi-2021'!M51</f>
        <v>7925000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</row>
    <row r="12" spans="1:27" s="203" customFormat="1" ht="15.75">
      <c r="A12" s="209"/>
      <c r="B12" s="245" t="s">
        <v>255</v>
      </c>
      <c r="C12" s="216" t="s">
        <v>256</v>
      </c>
      <c r="D12" s="254">
        <v>74</v>
      </c>
      <c r="E12" s="228">
        <f>'Prihodi-2021'!M58+'Prihodi-2021'!M75+'Prihodi-2021'!M88+'Prihodi-2021'!M97+'Prihodi-2021'!M117+'Prihodi-2021'!M143</f>
        <v>88275597</v>
      </c>
      <c r="F12" s="261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</row>
    <row r="13" spans="1:27" s="203" customFormat="1" ht="15.75">
      <c r="A13" s="209"/>
      <c r="B13" s="245"/>
      <c r="C13" s="216" t="s">
        <v>257</v>
      </c>
      <c r="D13" s="254">
        <v>7411</v>
      </c>
      <c r="E13" s="228">
        <f>'Prihodi-2021'!M93+'Prihodi-2021'!M59</f>
        <v>3300000</v>
      </c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</row>
    <row r="14" spans="1:27" s="203" customFormat="1" ht="15.75">
      <c r="A14" s="209"/>
      <c r="B14" s="245" t="s">
        <v>258</v>
      </c>
      <c r="C14" s="216" t="s">
        <v>259</v>
      </c>
      <c r="D14" s="254" t="s">
        <v>52</v>
      </c>
      <c r="E14" s="228">
        <f>'Prihodi-2021'!M125</f>
        <v>400000</v>
      </c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</row>
    <row r="15" spans="1:27" s="203" customFormat="1" ht="15.75">
      <c r="A15" s="209"/>
      <c r="B15" s="245" t="s">
        <v>260</v>
      </c>
      <c r="C15" s="216" t="s">
        <v>261</v>
      </c>
      <c r="D15" s="254">
        <v>733</v>
      </c>
      <c r="E15" s="228">
        <f>'Prihodi-2021'!M55+'Prihodi-2021'!M131</f>
        <v>253023789.20999998</v>
      </c>
      <c r="F15" s="261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</row>
    <row r="16" spans="1:27" s="203" customFormat="1" ht="30">
      <c r="A16" s="209"/>
      <c r="B16" s="243"/>
      <c r="C16" s="217" t="s">
        <v>235</v>
      </c>
      <c r="D16" s="262">
        <v>8</v>
      </c>
      <c r="E16" s="263">
        <f>'Prihodi-2021'!M102</f>
        <v>68000</v>
      </c>
      <c r="F16" s="261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</row>
    <row r="17" spans="1:27" s="203" customFormat="1" ht="30">
      <c r="A17" s="209"/>
      <c r="B17" s="240"/>
      <c r="C17" s="212" t="s">
        <v>236</v>
      </c>
      <c r="D17" s="250" t="s">
        <v>274</v>
      </c>
      <c r="E17" s="229">
        <f>E18+E30</f>
        <v>627126981.21</v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</row>
    <row r="18" spans="1:27" s="203" customFormat="1" ht="15">
      <c r="A18" s="209"/>
      <c r="B18" s="243"/>
      <c r="C18" s="217" t="s">
        <v>237</v>
      </c>
      <c r="D18" s="255">
        <v>4</v>
      </c>
      <c r="E18" s="230">
        <f>E19+E20+E22+E23+E24+E25+E26+E27+E28</f>
        <v>546191166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</row>
    <row r="19" spans="1:27" s="203" customFormat="1" ht="15.75">
      <c r="A19" s="209"/>
      <c r="B19" s="245" t="s">
        <v>248</v>
      </c>
      <c r="C19" s="216" t="s">
        <v>262</v>
      </c>
      <c r="D19" s="254">
        <v>41</v>
      </c>
      <c r="E19" s="228">
        <f>'rash.po nam.'!J5</f>
        <v>127557272</v>
      </c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</row>
    <row r="20" spans="1:27" s="203" customFormat="1" ht="15.75">
      <c r="A20" s="209"/>
      <c r="B20" s="245" t="s">
        <v>255</v>
      </c>
      <c r="C20" s="216" t="s">
        <v>263</v>
      </c>
      <c r="D20" s="254">
        <v>42</v>
      </c>
      <c r="E20" s="228">
        <f>'rash.po nam.'!J12</f>
        <v>233237301.5</v>
      </c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</row>
    <row r="21" spans="1:27" s="203" customFormat="1" ht="15.75">
      <c r="A21" s="209"/>
      <c r="B21" s="245" t="s">
        <v>258</v>
      </c>
      <c r="C21" s="216" t="s">
        <v>39</v>
      </c>
      <c r="D21" s="254">
        <v>43</v>
      </c>
      <c r="E21" s="228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</row>
    <row r="22" spans="1:27" s="203" customFormat="1" ht="15.75">
      <c r="A22" s="209"/>
      <c r="B22" s="245" t="s">
        <v>265</v>
      </c>
      <c r="C22" s="216" t="s">
        <v>264</v>
      </c>
      <c r="D22" s="254">
        <v>44</v>
      </c>
      <c r="E22" s="228">
        <f>'rash.po nam.'!J19</f>
        <v>6000</v>
      </c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</row>
    <row r="23" spans="1:27" s="203" customFormat="1" ht="15.75">
      <c r="A23" s="209"/>
      <c r="B23" s="245" t="s">
        <v>267</v>
      </c>
      <c r="C23" s="216" t="s">
        <v>266</v>
      </c>
      <c r="D23" s="254">
        <v>45</v>
      </c>
      <c r="E23" s="228">
        <f>'rash.po nam.'!J22</f>
        <v>30900000</v>
      </c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</row>
    <row r="24" spans="1:27" s="203" customFormat="1" ht="15.75">
      <c r="A24" s="209"/>
      <c r="B24" s="245" t="s">
        <v>267</v>
      </c>
      <c r="C24" s="216" t="s">
        <v>268</v>
      </c>
      <c r="D24" s="254">
        <v>47</v>
      </c>
      <c r="E24" s="228">
        <f>'rash.po nam.'!J29</f>
        <v>28270994.5</v>
      </c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</row>
    <row r="25" spans="1:27" s="203" customFormat="1" ht="15.75">
      <c r="A25" s="209"/>
      <c r="B25" s="245" t="s">
        <v>269</v>
      </c>
      <c r="C25" s="216" t="s">
        <v>270</v>
      </c>
      <c r="D25" s="254" t="s">
        <v>53</v>
      </c>
      <c r="E25" s="228">
        <f>'rash.po nam.'!J31</f>
        <v>24728939</v>
      </c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</row>
    <row r="26" spans="1:27" s="203" customFormat="1" ht="15.75">
      <c r="A26" s="209"/>
      <c r="B26" s="245" t="s">
        <v>271</v>
      </c>
      <c r="C26" s="273" t="s">
        <v>43</v>
      </c>
      <c r="D26" s="254">
        <v>463</v>
      </c>
      <c r="E26" s="228">
        <f>'rash.po nam.'!J26</f>
        <v>83670659</v>
      </c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</row>
    <row r="27" spans="1:27" s="203" customFormat="1" ht="15.75">
      <c r="A27" s="209"/>
      <c r="B27" s="245" t="s">
        <v>272</v>
      </c>
      <c r="C27" s="688" t="s">
        <v>1285</v>
      </c>
      <c r="D27" s="254">
        <v>464</v>
      </c>
      <c r="E27" s="228">
        <f>'rash.po nam.'!J27</f>
        <v>16420000</v>
      </c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</row>
    <row r="28" spans="1:27" s="203" customFormat="1" ht="15.75">
      <c r="A28" s="209"/>
      <c r="B28" s="245" t="s">
        <v>1172</v>
      </c>
      <c r="C28" s="274" t="s">
        <v>213</v>
      </c>
      <c r="D28" s="254">
        <v>465</v>
      </c>
      <c r="E28" s="228">
        <f>'rash.po nam.'!J28</f>
        <v>1400000</v>
      </c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</row>
    <row r="29" spans="1:27" s="203" customFormat="1" ht="15.75">
      <c r="A29" s="209"/>
      <c r="B29" s="245"/>
      <c r="C29" s="216"/>
      <c r="D29" s="254"/>
      <c r="E29" s="228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</row>
    <row r="30" spans="1:27" s="203" customFormat="1" ht="30">
      <c r="A30" s="209"/>
      <c r="B30" s="243"/>
      <c r="C30" s="218" t="s">
        <v>238</v>
      </c>
      <c r="D30" s="256">
        <v>5</v>
      </c>
      <c r="E30" s="230">
        <f>'rash.po nam.'!J38</f>
        <v>80935815.21000001</v>
      </c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</row>
    <row r="31" spans="1:27" s="203" customFormat="1" ht="15">
      <c r="A31" s="209"/>
      <c r="B31" s="240"/>
      <c r="C31" s="219" t="s">
        <v>239</v>
      </c>
      <c r="D31" s="257"/>
      <c r="E31" s="231">
        <f>E5-E17</f>
        <v>-80589123</v>
      </c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</row>
    <row r="32" spans="1:27" s="203" customFormat="1" ht="30">
      <c r="A32" s="209"/>
      <c r="B32" s="245"/>
      <c r="C32" s="216" t="s">
        <v>240</v>
      </c>
      <c r="D32" s="254">
        <v>62</v>
      </c>
      <c r="E32" s="228">
        <f>'rash.po nam.'!J45</f>
        <v>0</v>
      </c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</row>
    <row r="33" spans="1:27" s="203" customFormat="1" ht="30">
      <c r="A33" s="209"/>
      <c r="B33" s="244"/>
      <c r="C33" s="220" t="s">
        <v>241</v>
      </c>
      <c r="D33" s="258">
        <v>92</v>
      </c>
      <c r="E33" s="228">
        <v>0</v>
      </c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</row>
    <row r="34" spans="1:27" s="203" customFormat="1" ht="30">
      <c r="A34" s="209"/>
      <c r="B34" s="240"/>
      <c r="C34" s="219" t="s">
        <v>242</v>
      </c>
      <c r="D34" s="257"/>
      <c r="E34" s="231">
        <f>E31+E33-E32</f>
        <v>-80589123</v>
      </c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</row>
    <row r="35" spans="1:27" s="203" customFormat="1" ht="16.5">
      <c r="A35" s="209"/>
      <c r="B35" s="246"/>
      <c r="C35" s="221" t="s">
        <v>243</v>
      </c>
      <c r="D35" s="259"/>
      <c r="E35" s="232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</row>
    <row r="36" spans="1:27" s="203" customFormat="1" ht="15.75">
      <c r="A36" s="209"/>
      <c r="B36" s="245"/>
      <c r="C36" s="216" t="s">
        <v>275</v>
      </c>
      <c r="D36" s="254">
        <v>91</v>
      </c>
      <c r="E36" s="228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</row>
    <row r="37" spans="1:27" s="203" customFormat="1" ht="15.75">
      <c r="A37" s="209"/>
      <c r="B37" s="245"/>
      <c r="C37" s="216" t="s">
        <v>244</v>
      </c>
      <c r="D37" s="254">
        <v>3</v>
      </c>
      <c r="E37" s="228">
        <f>'Prihodi-2021'!M147</f>
        <v>81581123</v>
      </c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</row>
    <row r="38" spans="1:27" s="203" customFormat="1" ht="15.75">
      <c r="A38" s="209"/>
      <c r="B38" s="245"/>
      <c r="C38" s="216" t="s">
        <v>276</v>
      </c>
      <c r="D38" s="254">
        <v>61</v>
      </c>
      <c r="E38" s="228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</row>
    <row r="39" spans="1:27" s="203" customFormat="1" ht="16.5">
      <c r="A39" s="209"/>
      <c r="B39" s="241"/>
      <c r="C39" s="222" t="s">
        <v>245</v>
      </c>
      <c r="D39" s="260"/>
      <c r="E39" s="233">
        <f>E36+E37-E38</f>
        <v>81581123</v>
      </c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</row>
    <row r="40" spans="2:27" s="203" customFormat="1" ht="15">
      <c r="B40" s="237"/>
      <c r="D40" s="247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</row>
    <row r="41" spans="2:27" s="203" customFormat="1" ht="15" hidden="1">
      <c r="B41" s="237"/>
      <c r="D41" s="247"/>
      <c r="E41" s="261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</row>
    <row r="42" spans="2:27" s="203" customFormat="1" ht="15" hidden="1">
      <c r="B42" s="237"/>
      <c r="D42" s="247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</row>
    <row r="43" spans="2:27" s="203" customFormat="1" ht="15" hidden="1">
      <c r="B43" s="237"/>
      <c r="C43" s="521" t="s">
        <v>1177</v>
      </c>
      <c r="D43" s="522">
        <f>E17+E32</f>
        <v>627126981.21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</row>
    <row r="44" spans="2:27" s="203" customFormat="1" ht="15" hidden="1">
      <c r="B44" s="237"/>
      <c r="C44" s="521" t="s">
        <v>1178</v>
      </c>
      <c r="D44" s="522">
        <f>E5+E37</f>
        <v>628118981.21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</row>
    <row r="45" spans="2:27" s="203" customFormat="1" ht="15" hidden="1">
      <c r="B45" s="237"/>
      <c r="D45" s="551">
        <f>D43-D44</f>
        <v>-992000</v>
      </c>
      <c r="E45" s="261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</row>
    <row r="46" spans="2:27" s="203" customFormat="1" ht="15" hidden="1">
      <c r="B46" s="237"/>
      <c r="D46" s="247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</row>
    <row r="47" spans="2:27" s="203" customFormat="1" ht="15" hidden="1">
      <c r="B47" s="237"/>
      <c r="D47" s="247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</row>
    <row r="48" spans="2:27" s="203" customFormat="1" ht="15">
      <c r="B48" s="237"/>
      <c r="D48" s="247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</row>
    <row r="49" spans="2:27" s="203" customFormat="1" ht="15">
      <c r="B49" s="237"/>
      <c r="D49" s="247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</row>
    <row r="50" spans="2:27" s="203" customFormat="1" ht="15">
      <c r="B50" s="237"/>
      <c r="D50" s="247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</row>
    <row r="51" spans="2:27" s="203" customFormat="1" ht="15">
      <c r="B51" s="237"/>
      <c r="D51" s="247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</row>
    <row r="52" spans="2:27" s="203" customFormat="1" ht="15">
      <c r="B52" s="237"/>
      <c r="D52" s="247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</row>
    <row r="53" spans="2:27" s="203" customFormat="1" ht="15">
      <c r="B53" s="237"/>
      <c r="D53" s="247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</row>
    <row r="54" spans="2:27" s="203" customFormat="1" ht="15">
      <c r="B54" s="237"/>
      <c r="D54" s="247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</row>
    <row r="55" spans="2:27" s="203" customFormat="1" ht="15">
      <c r="B55" s="237"/>
      <c r="D55" s="247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</row>
    <row r="56" spans="2:27" s="203" customFormat="1" ht="15">
      <c r="B56" s="237"/>
      <c r="D56" s="247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</row>
    <row r="57" spans="2:27" s="203" customFormat="1" ht="15">
      <c r="B57" s="237"/>
      <c r="D57" s="247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</row>
    <row r="58" spans="2:27" s="203" customFormat="1" ht="15">
      <c r="B58" s="237"/>
      <c r="D58" s="247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</row>
    <row r="59" spans="2:27" s="203" customFormat="1" ht="15">
      <c r="B59" s="237"/>
      <c r="D59" s="247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spans="2:27" s="203" customFormat="1" ht="15">
      <c r="B60" s="237"/>
      <c r="D60" s="247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</row>
    <row r="61" spans="2:27" s="203" customFormat="1" ht="15">
      <c r="B61" s="237"/>
      <c r="D61" s="247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</row>
    <row r="62" spans="2:27" s="203" customFormat="1" ht="15">
      <c r="B62" s="237"/>
      <c r="D62" s="247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</row>
    <row r="63" spans="2:27" s="203" customFormat="1" ht="15">
      <c r="B63" s="237"/>
      <c r="D63" s="247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</row>
    <row r="64" spans="2:27" s="203" customFormat="1" ht="15">
      <c r="B64" s="237"/>
      <c r="D64" s="247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</row>
    <row r="65" spans="2:27" s="203" customFormat="1" ht="15">
      <c r="B65" s="237"/>
      <c r="D65" s="247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</row>
    <row r="66" spans="2:27" s="203" customFormat="1" ht="15">
      <c r="B66" s="237"/>
      <c r="D66" s="247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</row>
    <row r="67" spans="2:27" s="203" customFormat="1" ht="15">
      <c r="B67" s="237"/>
      <c r="D67" s="247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</row>
    <row r="68" spans="2:27" s="203" customFormat="1" ht="15">
      <c r="B68" s="237"/>
      <c r="D68" s="247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</row>
    <row r="69" spans="2:27" s="203" customFormat="1" ht="15">
      <c r="B69" s="237"/>
      <c r="D69" s="247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</row>
    <row r="70" spans="2:27" s="203" customFormat="1" ht="15">
      <c r="B70" s="237"/>
      <c r="D70" s="247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</row>
    <row r="71" spans="2:27" s="203" customFormat="1" ht="15">
      <c r="B71" s="237"/>
      <c r="D71" s="247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</row>
    <row r="72" spans="2:27" s="203" customFormat="1" ht="15">
      <c r="B72" s="237"/>
      <c r="D72" s="247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</row>
    <row r="73" spans="2:27" s="203" customFormat="1" ht="15">
      <c r="B73" s="237"/>
      <c r="D73" s="247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</row>
    <row r="74" spans="2:27" s="203" customFormat="1" ht="15">
      <c r="B74" s="237"/>
      <c r="D74" s="247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</row>
    <row r="75" spans="2:27" s="203" customFormat="1" ht="15">
      <c r="B75" s="237"/>
      <c r="D75" s="247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</row>
    <row r="76" spans="2:27" s="203" customFormat="1" ht="15">
      <c r="B76" s="237"/>
      <c r="D76" s="247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</row>
    <row r="77" spans="2:27" s="203" customFormat="1" ht="15">
      <c r="B77" s="237"/>
      <c r="D77" s="247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</row>
    <row r="78" spans="2:27" s="203" customFormat="1" ht="15">
      <c r="B78" s="237"/>
      <c r="D78" s="247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</row>
    <row r="79" spans="2:27" s="203" customFormat="1" ht="15">
      <c r="B79" s="237"/>
      <c r="D79" s="247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</row>
    <row r="80" spans="2:27" s="203" customFormat="1" ht="15">
      <c r="B80" s="237"/>
      <c r="D80" s="247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</row>
    <row r="81" spans="2:27" s="203" customFormat="1" ht="15">
      <c r="B81" s="237"/>
      <c r="D81" s="247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</row>
    <row r="82" spans="2:27" s="203" customFormat="1" ht="15">
      <c r="B82" s="237"/>
      <c r="D82" s="247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</row>
    <row r="83" spans="2:27" s="203" customFormat="1" ht="15">
      <c r="B83" s="237"/>
      <c r="D83" s="247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</row>
    <row r="84" spans="2:27" s="203" customFormat="1" ht="15">
      <c r="B84" s="237"/>
      <c r="D84" s="247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</row>
    <row r="85" spans="2:27" s="203" customFormat="1" ht="15">
      <c r="B85" s="237"/>
      <c r="D85" s="247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</row>
    <row r="86" spans="2:27" s="203" customFormat="1" ht="15">
      <c r="B86" s="237"/>
      <c r="D86" s="247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</row>
    <row r="87" spans="2:27" s="203" customFormat="1" ht="15">
      <c r="B87" s="237"/>
      <c r="D87" s="247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</row>
    <row r="88" spans="2:27" s="203" customFormat="1" ht="15">
      <c r="B88" s="237"/>
      <c r="D88" s="247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</row>
    <row r="89" spans="2:27" s="203" customFormat="1" ht="15">
      <c r="B89" s="237"/>
      <c r="D89" s="247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</row>
    <row r="90" spans="2:27" s="203" customFormat="1" ht="15">
      <c r="B90" s="237"/>
      <c r="D90" s="247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</row>
    <row r="91" spans="2:27" s="203" customFormat="1" ht="15">
      <c r="B91" s="237"/>
      <c r="D91" s="247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</row>
    <row r="92" spans="2:27" s="203" customFormat="1" ht="15">
      <c r="B92" s="237"/>
      <c r="D92" s="247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</row>
    <row r="93" spans="2:27" s="203" customFormat="1" ht="15">
      <c r="B93" s="237"/>
      <c r="D93" s="247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</row>
    <row r="94" spans="2:27" s="203" customFormat="1" ht="15">
      <c r="B94" s="237"/>
      <c r="D94" s="247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</row>
    <row r="95" spans="2:27" s="203" customFormat="1" ht="15">
      <c r="B95" s="237"/>
      <c r="D95" s="247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</row>
    <row r="96" spans="2:27" s="203" customFormat="1" ht="15">
      <c r="B96" s="237"/>
      <c r="D96" s="247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</row>
    <row r="97" spans="2:27" s="203" customFormat="1" ht="15">
      <c r="B97" s="237"/>
      <c r="D97" s="247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</row>
    <row r="98" spans="2:27" s="203" customFormat="1" ht="15">
      <c r="B98" s="237"/>
      <c r="D98" s="247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</row>
    <row r="99" spans="2:27" s="203" customFormat="1" ht="15">
      <c r="B99" s="237"/>
      <c r="D99" s="247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</row>
    <row r="100" spans="2:27" s="203" customFormat="1" ht="15">
      <c r="B100" s="237"/>
      <c r="D100" s="247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</row>
    <row r="101" spans="2:27" s="203" customFormat="1" ht="15">
      <c r="B101" s="237"/>
      <c r="D101" s="247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</row>
    <row r="102" spans="2:27" s="203" customFormat="1" ht="15">
      <c r="B102" s="237"/>
      <c r="D102" s="247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</row>
    <row r="103" spans="2:27" s="203" customFormat="1" ht="15">
      <c r="B103" s="237"/>
      <c r="D103" s="247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</row>
    <row r="104" spans="2:27" s="203" customFormat="1" ht="15">
      <c r="B104" s="237"/>
      <c r="D104" s="247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</row>
    <row r="105" spans="2:27" s="203" customFormat="1" ht="15">
      <c r="B105" s="237"/>
      <c r="D105" s="247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</row>
    <row r="106" spans="2:27" s="203" customFormat="1" ht="15">
      <c r="B106" s="237"/>
      <c r="D106" s="247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</row>
    <row r="107" spans="2:27" s="203" customFormat="1" ht="15">
      <c r="B107" s="237"/>
      <c r="D107" s="247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</row>
    <row r="108" spans="2:27" s="203" customFormat="1" ht="15">
      <c r="B108" s="237"/>
      <c r="D108" s="247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</row>
    <row r="109" spans="2:27" s="203" customFormat="1" ht="15">
      <c r="B109" s="237"/>
      <c r="D109" s="247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</row>
    <row r="110" spans="2:27" s="203" customFormat="1" ht="15">
      <c r="B110" s="237"/>
      <c r="D110" s="247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</row>
    <row r="111" spans="2:27" s="203" customFormat="1" ht="15">
      <c r="B111" s="237"/>
      <c r="D111" s="247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</row>
    <row r="112" spans="2:27" s="203" customFormat="1" ht="15">
      <c r="B112" s="237"/>
      <c r="D112" s="247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</row>
    <row r="113" spans="2:27" s="203" customFormat="1" ht="15">
      <c r="B113" s="237"/>
      <c r="D113" s="247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</row>
    <row r="114" spans="2:27" s="203" customFormat="1" ht="15">
      <c r="B114" s="237"/>
      <c r="D114" s="247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</row>
    <row r="115" spans="2:27" s="203" customFormat="1" ht="15">
      <c r="B115" s="237"/>
      <c r="D115" s="247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</row>
    <row r="116" spans="2:27" s="203" customFormat="1" ht="15">
      <c r="B116" s="237"/>
      <c r="D116" s="247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</row>
    <row r="117" spans="2:27" s="203" customFormat="1" ht="15">
      <c r="B117" s="237"/>
      <c r="D117" s="247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</row>
    <row r="118" spans="2:27" s="203" customFormat="1" ht="15">
      <c r="B118" s="237"/>
      <c r="D118" s="247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</row>
    <row r="119" spans="2:27" s="203" customFormat="1" ht="15">
      <c r="B119" s="237"/>
      <c r="D119" s="247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</row>
    <row r="120" spans="2:27" s="203" customFormat="1" ht="15">
      <c r="B120" s="237"/>
      <c r="D120" s="247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</row>
    <row r="121" spans="2:27" s="203" customFormat="1" ht="15">
      <c r="B121" s="237"/>
      <c r="D121" s="247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</row>
    <row r="122" spans="2:27" s="203" customFormat="1" ht="15">
      <c r="B122" s="237"/>
      <c r="D122" s="247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</row>
    <row r="123" spans="2:27" s="203" customFormat="1" ht="15">
      <c r="B123" s="237"/>
      <c r="D123" s="247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</row>
    <row r="124" spans="2:27" s="203" customFormat="1" ht="15">
      <c r="B124" s="237"/>
      <c r="D124" s="247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</row>
    <row r="125" spans="2:27" s="203" customFormat="1" ht="15">
      <c r="B125" s="237"/>
      <c r="D125" s="247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</row>
    <row r="126" spans="2:27" s="203" customFormat="1" ht="15">
      <c r="B126" s="237"/>
      <c r="D126" s="247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</row>
    <row r="127" spans="2:27" s="203" customFormat="1" ht="15">
      <c r="B127" s="237"/>
      <c r="D127" s="247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</row>
    <row r="128" spans="2:27" s="203" customFormat="1" ht="15">
      <c r="B128" s="237"/>
      <c r="D128" s="247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</row>
    <row r="129" spans="2:27" s="203" customFormat="1" ht="15">
      <c r="B129" s="237"/>
      <c r="D129" s="247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</row>
    <row r="130" spans="2:5" ht="15">
      <c r="B130" s="237"/>
      <c r="C130" s="203"/>
      <c r="E130" s="203"/>
    </row>
  </sheetData>
  <sheetProtection/>
  <printOptions/>
  <pageMargins left="0.17" right="0.75" top="0.54" bottom="0.18" header="0.22" footer="0.17"/>
  <pageSetup horizontalDpi="600" verticalDpi="600" orientation="portrait" paperSize="9" scale="8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2"/>
  <sheetViews>
    <sheetView zoomScale="96" zoomScaleNormal="96" zoomScalePageLayoutView="0" workbookViewId="0" topLeftCell="A347">
      <selection activeCell="J156" sqref="J156"/>
    </sheetView>
  </sheetViews>
  <sheetFormatPr defaultColWidth="9.140625" defaultRowHeight="12.75"/>
  <cols>
    <col min="1" max="1" width="8.7109375" style="292" customWidth="1"/>
    <col min="2" max="2" width="11.7109375" style="292" customWidth="1"/>
    <col min="3" max="3" width="48.140625" style="321" customWidth="1"/>
    <col min="4" max="4" width="13.8515625" style="325" customWidth="1"/>
    <col min="5" max="5" width="13.28125" style="665" customWidth="1"/>
    <col min="6" max="6" width="12.7109375" style="292" customWidth="1"/>
    <col min="7" max="7" width="13.57421875" style="325" customWidth="1"/>
    <col min="8" max="8" width="20.140625" style="292" customWidth="1"/>
    <col min="9" max="10" width="9.140625" style="292" customWidth="1"/>
    <col min="11" max="16384" width="9.140625" style="292" customWidth="1"/>
  </cols>
  <sheetData>
    <row r="1" spans="1:8" ht="15" customHeight="1">
      <c r="A1" s="1800" t="s">
        <v>822</v>
      </c>
      <c r="B1" s="1800"/>
      <c r="C1" s="1800"/>
      <c r="D1" s="1800"/>
      <c r="E1" s="1800"/>
      <c r="F1" s="1800"/>
      <c r="G1" s="1800"/>
      <c r="H1" s="1800"/>
    </row>
    <row r="2" spans="1:8" ht="15" customHeight="1">
      <c r="A2" s="1801" t="s">
        <v>821</v>
      </c>
      <c r="B2" s="1802"/>
      <c r="C2" s="1799" t="s">
        <v>868</v>
      </c>
      <c r="D2" s="1803" t="s">
        <v>15</v>
      </c>
      <c r="E2" s="1804" t="s">
        <v>11</v>
      </c>
      <c r="F2" s="1799" t="s">
        <v>12</v>
      </c>
      <c r="G2" s="1803" t="s">
        <v>13</v>
      </c>
      <c r="H2" s="1799" t="s">
        <v>870</v>
      </c>
    </row>
    <row r="3" spans="1:8" ht="42" customHeight="1">
      <c r="A3" s="1003" t="s">
        <v>823</v>
      </c>
      <c r="B3" s="1003" t="s">
        <v>867</v>
      </c>
      <c r="C3" s="1799"/>
      <c r="D3" s="1803"/>
      <c r="E3" s="1804"/>
      <c r="F3" s="1799"/>
      <c r="G3" s="1803"/>
      <c r="H3" s="1799"/>
    </row>
    <row r="4" spans="1:8" ht="12.75">
      <c r="A4" s="1004" t="s">
        <v>14</v>
      </c>
      <c r="B4" s="1004" t="s">
        <v>824</v>
      </c>
      <c r="C4" s="1004" t="s">
        <v>329</v>
      </c>
      <c r="D4" s="1005">
        <v>4</v>
      </c>
      <c r="E4" s="1006"/>
      <c r="F4" s="1007">
        <v>6</v>
      </c>
      <c r="G4" s="1005">
        <v>7</v>
      </c>
      <c r="H4" s="1008">
        <v>8</v>
      </c>
    </row>
    <row r="5" spans="1:8" ht="12.75">
      <c r="A5" s="1009" t="s">
        <v>301</v>
      </c>
      <c r="B5" s="1010"/>
      <c r="C5" s="1011" t="s">
        <v>1247</v>
      </c>
      <c r="D5" s="1012">
        <f>SUM(D6:D16)</f>
        <v>11400000</v>
      </c>
      <c r="E5" s="1013">
        <f>D5/453286579</f>
        <v>0.025149652621857133</v>
      </c>
      <c r="F5" s="1012">
        <f>SUM(F6:F16)</f>
        <v>12600000</v>
      </c>
      <c r="G5" s="1012">
        <f>D5+F5</f>
        <v>24000000</v>
      </c>
      <c r="H5" s="1014"/>
    </row>
    <row r="6" spans="1:8" ht="12.75">
      <c r="A6" s="1008"/>
      <c r="B6" s="1008" t="s">
        <v>316</v>
      </c>
      <c r="C6" s="1015" t="s">
        <v>1248</v>
      </c>
      <c r="D6" s="1016">
        <f>'Rashodi-2021'!M313</f>
        <v>6000000</v>
      </c>
      <c r="E6" s="1486">
        <f aca="true" t="shared" si="0" ref="E6:E69">D6/453286579</f>
        <v>0.013236659274661649</v>
      </c>
      <c r="F6" s="1016">
        <f>'Rashodi-2021'!T313</f>
        <v>4000000</v>
      </c>
      <c r="G6" s="1016">
        <f aca="true" t="shared" si="1" ref="G6:G68">D6+F6</f>
        <v>10000000</v>
      </c>
      <c r="H6" s="1017" t="s">
        <v>1166</v>
      </c>
    </row>
    <row r="7" spans="1:8" ht="12.75">
      <c r="A7" s="1008"/>
      <c r="B7" s="1008" t="s">
        <v>872</v>
      </c>
      <c r="C7" s="1015" t="s">
        <v>1280</v>
      </c>
      <c r="D7" s="1016">
        <f>'Rashodi-2021'!M316</f>
        <v>5400000</v>
      </c>
      <c r="E7" s="1486">
        <f t="shared" si="0"/>
        <v>0.011912993347195484</v>
      </c>
      <c r="F7" s="1018">
        <f>'Rashodi-2021'!T316</f>
        <v>8600000</v>
      </c>
      <c r="G7" s="1016">
        <f t="shared" si="1"/>
        <v>14000000</v>
      </c>
      <c r="H7" s="1017" t="s">
        <v>1166</v>
      </c>
    </row>
    <row r="8" spans="1:8" ht="12.75" hidden="1">
      <c r="A8" s="1008"/>
      <c r="B8" s="1008" t="s">
        <v>873</v>
      </c>
      <c r="C8" s="1015">
        <f>_xlfn.IFERROR(VLOOKUP(B8,'[1]ПО КОРИСНИЦИМА'!$C$3:$J$11609,5,FALSE),"")</f>
      </c>
      <c r="D8" s="1019"/>
      <c r="E8" s="1013">
        <f t="shared" si="0"/>
        <v>0</v>
      </c>
      <c r="F8" s="1020"/>
      <c r="G8" s="1016">
        <f t="shared" si="1"/>
        <v>0</v>
      </c>
      <c r="H8" s="1017"/>
    </row>
    <row r="9" spans="1:8" ht="12.75" hidden="1">
      <c r="A9" s="1008"/>
      <c r="B9" s="1008" t="s">
        <v>874</v>
      </c>
      <c r="C9" s="1015">
        <f>_xlfn.IFERROR(VLOOKUP(B9,'[1]ПО КОРИСНИЦИМА'!$C$3:$J$11609,5,FALSE),"")</f>
      </c>
      <c r="D9" s="1019"/>
      <c r="E9" s="1013">
        <f t="shared" si="0"/>
        <v>0</v>
      </c>
      <c r="F9" s="1020"/>
      <c r="G9" s="1016">
        <f t="shared" si="1"/>
        <v>0</v>
      </c>
      <c r="H9" s="1017"/>
    </row>
    <row r="10" spans="1:8" ht="12.75" hidden="1">
      <c r="A10" s="1008"/>
      <c r="B10" s="1008" t="s">
        <v>875</v>
      </c>
      <c r="C10" s="1015">
        <f>_xlfn.IFERROR(VLOOKUP(B10,'[1]ПО КОРИСНИЦИМА'!$C$3:$J$11609,5,FALSE),"")</f>
      </c>
      <c r="D10" s="1019"/>
      <c r="E10" s="1013">
        <f t="shared" si="0"/>
        <v>0</v>
      </c>
      <c r="F10" s="1020"/>
      <c r="G10" s="1016">
        <f t="shared" si="1"/>
        <v>0</v>
      </c>
      <c r="H10" s="1017"/>
    </row>
    <row r="11" spans="1:8" ht="12.75" hidden="1">
      <c r="A11" s="1008"/>
      <c r="B11" s="1008" t="s">
        <v>876</v>
      </c>
      <c r="C11" s="1015">
        <f>_xlfn.IFERROR(VLOOKUP(B11,'[1]ПО КОРИСНИЦИМА'!$C$3:$J$11609,5,FALSE),"")</f>
      </c>
      <c r="D11" s="1019"/>
      <c r="E11" s="1013">
        <f t="shared" si="0"/>
        <v>0</v>
      </c>
      <c r="F11" s="1020"/>
      <c r="G11" s="1016">
        <f t="shared" si="1"/>
        <v>0</v>
      </c>
      <c r="H11" s="1017"/>
    </row>
    <row r="12" spans="1:8" ht="12.75" hidden="1">
      <c r="A12" s="1008"/>
      <c r="B12" s="1008" t="s">
        <v>877</v>
      </c>
      <c r="C12" s="1015">
        <f>_xlfn.IFERROR(VLOOKUP(B12,'[1]ПО КОРИСНИЦИМА'!$C$3:$J$11609,5,FALSE),"")</f>
      </c>
      <c r="D12" s="1019"/>
      <c r="E12" s="1013">
        <f t="shared" si="0"/>
        <v>0</v>
      </c>
      <c r="F12" s="1020"/>
      <c r="G12" s="1016">
        <f t="shared" si="1"/>
        <v>0</v>
      </c>
      <c r="H12" s="1017"/>
    </row>
    <row r="13" spans="1:8" ht="12.75" hidden="1">
      <c r="A13" s="1008"/>
      <c r="B13" s="1008" t="s">
        <v>878</v>
      </c>
      <c r="C13" s="1015">
        <f>_xlfn.IFERROR(VLOOKUP(B13,'[1]ПО КОРИСНИЦИМА'!$C$3:$J$11609,5,FALSE),"")</f>
      </c>
      <c r="D13" s="1019"/>
      <c r="E13" s="1013">
        <f t="shared" si="0"/>
        <v>0</v>
      </c>
      <c r="F13" s="1020"/>
      <c r="G13" s="1016">
        <f t="shared" si="1"/>
        <v>0</v>
      </c>
      <c r="H13" s="1017"/>
    </row>
    <row r="14" spans="1:8" ht="12.75" hidden="1">
      <c r="A14" s="1008"/>
      <c r="B14" s="1008" t="s">
        <v>879</v>
      </c>
      <c r="C14" s="1015">
        <f>_xlfn.IFERROR(VLOOKUP(B14,'[1]ПО КОРИСНИЦИМА'!$C$3:$J$11609,5,FALSE),"")</f>
      </c>
      <c r="D14" s="1019"/>
      <c r="E14" s="1013">
        <f t="shared" si="0"/>
        <v>0</v>
      </c>
      <c r="F14" s="1020"/>
      <c r="G14" s="1016">
        <f t="shared" si="1"/>
        <v>0</v>
      </c>
      <c r="H14" s="1017"/>
    </row>
    <row r="15" spans="1:8" ht="12.75" hidden="1">
      <c r="A15" s="1008"/>
      <c r="B15" s="1008" t="s">
        <v>880</v>
      </c>
      <c r="C15" s="1015">
        <f>_xlfn.IFERROR(VLOOKUP(B15,'[1]ПО КОРИСНИЦИМА'!$C$3:$J$11609,5,FALSE),"")</f>
      </c>
      <c r="D15" s="1019"/>
      <c r="E15" s="1013">
        <f t="shared" si="0"/>
        <v>0</v>
      </c>
      <c r="F15" s="1020"/>
      <c r="G15" s="1016">
        <f t="shared" si="1"/>
        <v>0</v>
      </c>
      <c r="H15" s="1017"/>
    </row>
    <row r="16" spans="1:8" ht="12.75" hidden="1">
      <c r="A16" s="1008"/>
      <c r="B16" s="1008" t="s">
        <v>881</v>
      </c>
      <c r="C16" s="1015">
        <f>_xlfn.IFERROR(VLOOKUP(B16,'[1]ПО КОРИСНИЦИМА'!$C$3:$J$11609,5,FALSE),"")</f>
      </c>
      <c r="D16" s="1019"/>
      <c r="E16" s="1013">
        <f t="shared" si="0"/>
        <v>0</v>
      </c>
      <c r="F16" s="1020"/>
      <c r="G16" s="1016">
        <f t="shared" si="1"/>
        <v>0</v>
      </c>
      <c r="H16" s="1017"/>
    </row>
    <row r="17" spans="1:8" ht="12.75" hidden="1">
      <c r="A17" s="1008"/>
      <c r="B17" s="1008" t="s">
        <v>882</v>
      </c>
      <c r="C17" s="1015">
        <f>_xlfn.IFERROR(VLOOKUP(B17,'[1]ПО КОРИСНИЦИМА'!$C$3:$J$11609,5,FALSE),"")</f>
      </c>
      <c r="D17" s="1019" t="e">
        <f>SUMIF('[1]ПО КОРИСНИЦИМА'!$G$3:$G$11609,"Свега за пројекат 1101-П10:",'[1]ПО КОРИСНИЦИМА'!$H$3:$H$11609)</f>
        <v>#VALUE!</v>
      </c>
      <c r="E17" s="1013" t="e">
        <f t="shared" si="0"/>
        <v>#VALUE!</v>
      </c>
      <c r="F17" s="1020" t="e">
        <f>SUMIF('[1]ПО КОРИСНИЦИМА'!$G$3:$G$11609,"Свега за пројекат 1101-П10:",'[1]ПО КОРИСНИЦИМА'!$I$3:$I$11609)</f>
        <v>#VALUE!</v>
      </c>
      <c r="G17" s="1016" t="e">
        <f t="shared" si="1"/>
        <v>#VALUE!</v>
      </c>
      <c r="H17" s="1017"/>
    </row>
    <row r="18" spans="1:8" ht="12.75" hidden="1">
      <c r="A18" s="1008"/>
      <c r="B18" s="1008" t="s">
        <v>883</v>
      </c>
      <c r="C18" s="1015">
        <f>_xlfn.IFERROR(VLOOKUP(B18,'[1]ПО КОРИСНИЦИМА'!$C$3:$J$11609,5,FALSE),"")</f>
      </c>
      <c r="D18" s="1019" t="e">
        <f>SUMIF('[1]ПО КОРИСНИЦИМА'!$G$3:$G$11609,"Свега за пројекат 1101-П11:",'[1]ПО КОРИСНИЦИМА'!$H$3:$H$11609)</f>
        <v>#VALUE!</v>
      </c>
      <c r="E18" s="1013" t="e">
        <f t="shared" si="0"/>
        <v>#VALUE!</v>
      </c>
      <c r="F18" s="1020" t="e">
        <f>SUMIF('[1]ПО КОРИСНИЦИМА'!$G$3:$G$11609,"Свега за пројекат 1101-П11:",'[1]ПО КОРИСНИЦИМА'!$I$3:$I$11609)</f>
        <v>#VALUE!</v>
      </c>
      <c r="G18" s="1016" t="e">
        <f t="shared" si="1"/>
        <v>#VALUE!</v>
      </c>
      <c r="H18" s="1017"/>
    </row>
    <row r="19" spans="1:8" ht="12.75" hidden="1">
      <c r="A19" s="1008"/>
      <c r="B19" s="1008" t="s">
        <v>884</v>
      </c>
      <c r="C19" s="1015">
        <f>_xlfn.IFERROR(VLOOKUP(B19,'[1]ПО КОРИСНИЦИМА'!$C$3:$J$11609,5,FALSE),"")</f>
      </c>
      <c r="D19" s="1019" t="e">
        <f>SUMIF('[1]ПО КОРИСНИЦИМА'!$G$3:$G$11609,"Свега за пројекат 1101-П12:",'[1]ПО КОРИСНИЦИМА'!$H$3:$H$11609)</f>
        <v>#VALUE!</v>
      </c>
      <c r="E19" s="1013" t="e">
        <f t="shared" si="0"/>
        <v>#VALUE!</v>
      </c>
      <c r="F19" s="1020" t="e">
        <f>SUMIF('[1]ПО КОРИСНИЦИМА'!$G$3:$G$11609,"Свега за пројекат 1101-П12:",'[1]ПО КОРИСНИЦИМА'!$I$3:$I$11609)</f>
        <v>#VALUE!</v>
      </c>
      <c r="G19" s="1016" t="e">
        <f t="shared" si="1"/>
        <v>#VALUE!</v>
      </c>
      <c r="H19" s="1017"/>
    </row>
    <row r="20" spans="1:8" ht="12.75" hidden="1">
      <c r="A20" s="1008"/>
      <c r="B20" s="1008" t="s">
        <v>885</v>
      </c>
      <c r="C20" s="1015">
        <f>_xlfn.IFERROR(VLOOKUP(B20,'[1]ПО КОРИСНИЦИМА'!$C$3:$J$11609,5,FALSE),"")</f>
      </c>
      <c r="D20" s="1019" t="e">
        <f>SUMIF('[1]ПО КОРИСНИЦИМА'!$G$3:$G$11609,"Свега за пројекат 1101-П13:",'[1]ПО КОРИСНИЦИМА'!$H$3:$H$11609)</f>
        <v>#VALUE!</v>
      </c>
      <c r="E20" s="1013" t="e">
        <f t="shared" si="0"/>
        <v>#VALUE!</v>
      </c>
      <c r="F20" s="1020" t="e">
        <f>SUMIF('[1]ПО КОРИСНИЦИМА'!$G$3:$G$11609,"Свега за пројекат 1101-П13:",'[1]ПО КОРИСНИЦИМА'!$I$3:$I$11609)</f>
        <v>#VALUE!</v>
      </c>
      <c r="G20" s="1016" t="e">
        <f t="shared" si="1"/>
        <v>#VALUE!</v>
      </c>
      <c r="H20" s="1017"/>
    </row>
    <row r="21" spans="1:8" ht="12.75" hidden="1">
      <c r="A21" s="1008"/>
      <c r="B21" s="1008" t="s">
        <v>886</v>
      </c>
      <c r="C21" s="1015">
        <f>_xlfn.IFERROR(VLOOKUP(B21,'[1]ПО КОРИСНИЦИМА'!$C$3:$J$11609,5,FALSE),"")</f>
      </c>
      <c r="D21" s="1019" t="e">
        <f>SUMIF('[1]ПО КОРИСНИЦИМА'!$G$3:$G$11609,"Свега за пројекат 1101-П14:",'[1]ПО КОРИСНИЦИМА'!$H$3:$H$11609)</f>
        <v>#VALUE!</v>
      </c>
      <c r="E21" s="1013" t="e">
        <f t="shared" si="0"/>
        <v>#VALUE!</v>
      </c>
      <c r="F21" s="1020" t="e">
        <f>SUMIF('[1]ПО КОРИСНИЦИМА'!$G$3:$G$11609,"Свега за пројекат 1101-П14:",'[1]ПО КОРИСНИЦИМА'!$I$3:$I$11609)</f>
        <v>#VALUE!</v>
      </c>
      <c r="G21" s="1016" t="e">
        <f t="shared" si="1"/>
        <v>#VALUE!</v>
      </c>
      <c r="H21" s="1017"/>
    </row>
    <row r="22" spans="1:8" ht="12.75" hidden="1">
      <c r="A22" s="1008"/>
      <c r="B22" s="1008" t="s">
        <v>887</v>
      </c>
      <c r="C22" s="1015">
        <f>_xlfn.IFERROR(VLOOKUP(B22,'[1]ПО КОРИСНИЦИМА'!$C$3:$J$11609,5,FALSE),"")</f>
      </c>
      <c r="D22" s="1019" t="e">
        <f>SUMIF('[1]ПО КОРИСНИЦИМА'!$G$3:$G$11609,"Свега за пројекат 1101-П15:",'[1]ПО КОРИСНИЦИМА'!$H$3:$H$11609)</f>
        <v>#VALUE!</v>
      </c>
      <c r="E22" s="1013" t="e">
        <f t="shared" si="0"/>
        <v>#VALUE!</v>
      </c>
      <c r="F22" s="1020" t="e">
        <f>SUMIF('[1]ПО КОРИСНИЦИМА'!$G$3:$G$11609,"Свега за пројекат 1101-П15:",'[1]ПО КОРИСНИЦИМА'!$I$3:$I$11609)</f>
        <v>#VALUE!</v>
      </c>
      <c r="G22" s="1016" t="e">
        <f t="shared" si="1"/>
        <v>#VALUE!</v>
      </c>
      <c r="H22" s="1017"/>
    </row>
    <row r="23" spans="1:8" ht="12.75" hidden="1">
      <c r="A23" s="1008"/>
      <c r="B23" s="1008" t="s">
        <v>888</v>
      </c>
      <c r="C23" s="1015">
        <f>_xlfn.IFERROR(VLOOKUP(B23,'[1]ПО КОРИСНИЦИМА'!$C$3:$J$11609,5,FALSE),"")</f>
      </c>
      <c r="D23" s="1019" t="e">
        <f>SUMIF('[1]ПО КОРИСНИЦИМА'!$G$3:$G$11609,"Свега за пројекат 1101-П16:",'[1]ПО КОРИСНИЦИМА'!$H$3:$H$11609)</f>
        <v>#VALUE!</v>
      </c>
      <c r="E23" s="1013" t="e">
        <f t="shared" si="0"/>
        <v>#VALUE!</v>
      </c>
      <c r="F23" s="1020" t="e">
        <f>SUMIF('[1]ПО КОРИСНИЦИМА'!$G$3:$G$11609,"Свега за пројекат 1101-П16:",'[1]ПО КОРИСНИЦИМА'!$I$3:$I$11609)</f>
        <v>#VALUE!</v>
      </c>
      <c r="G23" s="1016" t="e">
        <f t="shared" si="1"/>
        <v>#VALUE!</v>
      </c>
      <c r="H23" s="1017"/>
    </row>
    <row r="24" spans="1:8" ht="12.75" hidden="1">
      <c r="A24" s="1008"/>
      <c r="B24" s="1008" t="s">
        <v>889</v>
      </c>
      <c r="C24" s="1015">
        <f>_xlfn.IFERROR(VLOOKUP(B24,'[1]ПО КОРИСНИЦИМА'!$C$3:$J$11609,5,FALSE),"")</f>
      </c>
      <c r="D24" s="1019" t="e">
        <f>SUMIF('[1]ПО КОРИСНИЦИМА'!$G$3:$G$11609,"Свега за пројекат 1101-П17:",'[1]ПО КОРИСНИЦИМА'!$H$3:$H$11609)</f>
        <v>#VALUE!</v>
      </c>
      <c r="E24" s="1013" t="e">
        <f t="shared" si="0"/>
        <v>#VALUE!</v>
      </c>
      <c r="F24" s="1020" t="e">
        <f>SUMIF('[1]ПО КОРИСНИЦИМА'!$G$3:$G$11609,"Свега за пројекат 1101-П17:",'[1]ПО КОРИСНИЦИМА'!$I$3:$I$11609)</f>
        <v>#VALUE!</v>
      </c>
      <c r="G24" s="1016" t="e">
        <f t="shared" si="1"/>
        <v>#VALUE!</v>
      </c>
      <c r="H24" s="1017"/>
    </row>
    <row r="25" spans="1:8" ht="12.75" hidden="1">
      <c r="A25" s="1008"/>
      <c r="B25" s="1008" t="s">
        <v>890</v>
      </c>
      <c r="C25" s="1015">
        <f>_xlfn.IFERROR(VLOOKUP(B25,'[1]ПО КОРИСНИЦИМА'!$C$3:$J$11609,5,FALSE),"")</f>
      </c>
      <c r="D25" s="1019" t="e">
        <f>SUMIF('[1]ПО КОРИСНИЦИМА'!$G$3:$G$11609,"Свега за пројекат 1101-П18:",'[1]ПО КОРИСНИЦИМА'!$H$3:$H$11609)</f>
        <v>#VALUE!</v>
      </c>
      <c r="E25" s="1013" t="e">
        <f t="shared" si="0"/>
        <v>#VALUE!</v>
      </c>
      <c r="F25" s="1020" t="e">
        <f>SUMIF('[1]ПО КОРИСНИЦИМА'!$G$3:$G$11609,"Свега за пројекат 1101-П18:",'[1]ПО КОРИСНИЦИМА'!$I$3:$I$11609)</f>
        <v>#VALUE!</v>
      </c>
      <c r="G25" s="1016" t="e">
        <f t="shared" si="1"/>
        <v>#VALUE!</v>
      </c>
      <c r="H25" s="1017"/>
    </row>
    <row r="26" spans="1:8" ht="12.75" hidden="1">
      <c r="A26" s="1008"/>
      <c r="B26" s="1008" t="s">
        <v>891</v>
      </c>
      <c r="C26" s="1015">
        <f>_xlfn.IFERROR(VLOOKUP(B26,'[1]ПО КОРИСНИЦИМА'!$C$3:$J$11609,5,FALSE),"")</f>
      </c>
      <c r="D26" s="1019" t="e">
        <f>SUMIF('[1]ПО КОРИСНИЦИМА'!$G$3:$G$11609,"Свега за пројекат 1101-П19:",'[1]ПО КОРИСНИЦИМА'!$H$3:$H$11609)</f>
        <v>#VALUE!</v>
      </c>
      <c r="E26" s="1013" t="e">
        <f t="shared" si="0"/>
        <v>#VALUE!</v>
      </c>
      <c r="F26" s="1020" t="e">
        <f>SUMIF('[1]ПО КОРИСНИЦИМА'!$G$3:$G$11609,"Свега за пројекат 1101-П19:",'[1]ПО КОРИСНИЦИМА'!$I$3:$I$11609)</f>
        <v>#VALUE!</v>
      </c>
      <c r="G26" s="1016" t="e">
        <f t="shared" si="1"/>
        <v>#VALUE!</v>
      </c>
      <c r="H26" s="1017"/>
    </row>
    <row r="27" spans="1:8" ht="12.75" hidden="1">
      <c r="A27" s="1008"/>
      <c r="B27" s="1008" t="s">
        <v>892</v>
      </c>
      <c r="C27" s="1015">
        <f>_xlfn.IFERROR(VLOOKUP(B27,'[1]ПО КОРИСНИЦИМА'!$C$3:$J$11609,5,FALSE),"")</f>
      </c>
      <c r="D27" s="1019" t="e">
        <f>SUMIF('[1]ПО КОРИСНИЦИМА'!$G$3:$G$11609,"Свега за пројекат 1101-П20:",'[1]ПО КОРИСНИЦИМА'!$H$3:$H$11609)</f>
        <v>#VALUE!</v>
      </c>
      <c r="E27" s="1013" t="e">
        <f t="shared" si="0"/>
        <v>#VALUE!</v>
      </c>
      <c r="F27" s="1020" t="e">
        <f>SUMIF('[1]ПО КОРИСНИЦИМА'!$G$3:$G$11609,"Свега за пројекат 1101-П20:",'[1]ПО КОРИСНИЦИМА'!$I$3:$I$11609)</f>
        <v>#VALUE!</v>
      </c>
      <c r="G27" s="1016" t="e">
        <f t="shared" si="1"/>
        <v>#VALUE!</v>
      </c>
      <c r="H27" s="1017"/>
    </row>
    <row r="28" spans="1:8" ht="12.75" hidden="1">
      <c r="A28" s="1008"/>
      <c r="B28" s="1008" t="s">
        <v>893</v>
      </c>
      <c r="C28" s="1015">
        <f>_xlfn.IFERROR(VLOOKUP(B28,'[1]ПО КОРИСНИЦИМА'!$C$3:$J$11609,5,FALSE),"")</f>
      </c>
      <c r="D28" s="1019" t="e">
        <f>SUMIF('[1]ПО КОРИСНИЦИМА'!$G$3:$G$11609,"Свега за пројекат 1101-П21:",'[1]ПО КОРИСНИЦИМА'!$H$3:$H$11609)</f>
        <v>#VALUE!</v>
      </c>
      <c r="E28" s="1013" t="e">
        <f t="shared" si="0"/>
        <v>#VALUE!</v>
      </c>
      <c r="F28" s="1020" t="e">
        <f>SUMIF('[1]ПО КОРИСНИЦИМА'!$G$3:$G$11609,"Свега за пројекат 1101-П21:",'[1]ПО КОРИСНИЦИМА'!$I$3:$I$11609)</f>
        <v>#VALUE!</v>
      </c>
      <c r="G28" s="1016" t="e">
        <f t="shared" si="1"/>
        <v>#VALUE!</v>
      </c>
      <c r="H28" s="1017"/>
    </row>
    <row r="29" spans="1:8" ht="12.75" hidden="1">
      <c r="A29" s="1008"/>
      <c r="B29" s="1008" t="s">
        <v>894</v>
      </c>
      <c r="C29" s="1015">
        <f>_xlfn.IFERROR(VLOOKUP(B29,'[1]ПО КОРИСНИЦИМА'!$C$3:$J$11609,5,FALSE),"")</f>
      </c>
      <c r="D29" s="1019" t="e">
        <f>SUMIF('[1]ПО КОРИСНИЦИМА'!$G$3:$G$11609,"Свега за пројекат 1101-П22:",'[1]ПО КОРИСНИЦИМА'!$H$3:$H$11609)</f>
        <v>#VALUE!</v>
      </c>
      <c r="E29" s="1013" t="e">
        <f t="shared" si="0"/>
        <v>#VALUE!</v>
      </c>
      <c r="F29" s="1020" t="e">
        <f>SUMIF('[1]ПО КОРИСНИЦИМА'!$G$3:$G$11609,"Свега за пројекат 1101-П22:",'[1]ПО КОРИСНИЦИМА'!$I$3:$I$11609)</f>
        <v>#VALUE!</v>
      </c>
      <c r="G29" s="1016" t="e">
        <f t="shared" si="1"/>
        <v>#VALUE!</v>
      </c>
      <c r="H29" s="1017"/>
    </row>
    <row r="30" spans="1:8" ht="12.75" hidden="1">
      <c r="A30" s="1008"/>
      <c r="B30" s="1008" t="s">
        <v>895</v>
      </c>
      <c r="C30" s="1015">
        <f>_xlfn.IFERROR(VLOOKUP(B30,'[1]ПО КОРИСНИЦИМА'!$C$3:$J$11609,5,FALSE),"")</f>
      </c>
      <c r="D30" s="1019" t="e">
        <f>SUMIF('[1]ПО КОРИСНИЦИМА'!$G$3:$G$11609,"Свега за пројекат 1101-П23:",'[1]ПО КОРИСНИЦИМА'!$H$3:$H$11609)</f>
        <v>#VALUE!</v>
      </c>
      <c r="E30" s="1013" t="e">
        <f t="shared" si="0"/>
        <v>#VALUE!</v>
      </c>
      <c r="F30" s="1020" t="e">
        <f>SUMIF('[1]ПО КОРИСНИЦИМА'!$G$3:$G$11609,"Свега за пројекат 1101-П23:",'[1]ПО КОРИСНИЦИМА'!$I$3:$I$11609)</f>
        <v>#VALUE!</v>
      </c>
      <c r="G30" s="1016" t="e">
        <f t="shared" si="1"/>
        <v>#VALUE!</v>
      </c>
      <c r="H30" s="1017"/>
    </row>
    <row r="31" spans="1:8" ht="12.75" hidden="1">
      <c r="A31" s="1008"/>
      <c r="B31" s="1008" t="s">
        <v>896</v>
      </c>
      <c r="C31" s="1015">
        <f>_xlfn.IFERROR(VLOOKUP(B31,'[1]ПО КОРИСНИЦИМА'!$C$3:$J$11609,5,FALSE),"")</f>
      </c>
      <c r="D31" s="1019" t="e">
        <f>SUMIF('[1]ПО КОРИСНИЦИМА'!$G$3:$G$11609,"Свега за пројекат 1101-П24:",'[1]ПО КОРИСНИЦИМА'!$H$3:$H$11609)</f>
        <v>#VALUE!</v>
      </c>
      <c r="E31" s="1013" t="e">
        <f t="shared" si="0"/>
        <v>#VALUE!</v>
      </c>
      <c r="F31" s="1020" t="e">
        <f>SUMIF('[1]ПО КОРИСНИЦИМА'!$G$3:$G$11609,"Свега за пројекат 1101-П24:",'[1]ПО КОРИСНИЦИМА'!$I$3:$I$11609)</f>
        <v>#VALUE!</v>
      </c>
      <c r="G31" s="1016" t="e">
        <f t="shared" si="1"/>
        <v>#VALUE!</v>
      </c>
      <c r="H31" s="1017"/>
    </row>
    <row r="32" spans="1:8" ht="12.75">
      <c r="A32" s="1009" t="s">
        <v>1246</v>
      </c>
      <c r="B32" s="1010"/>
      <c r="C32" s="1011" t="s">
        <v>1161</v>
      </c>
      <c r="D32" s="1012">
        <f>SUM(D33:D43)</f>
        <v>39950000</v>
      </c>
      <c r="E32" s="1013">
        <f t="shared" si="0"/>
        <v>0.08813408967045548</v>
      </c>
      <c r="F32" s="1012">
        <f>SUM(F33:F43)</f>
        <v>700000</v>
      </c>
      <c r="G32" s="1012">
        <f t="shared" si="1"/>
        <v>40650000</v>
      </c>
      <c r="H32" s="1014"/>
    </row>
    <row r="33" spans="1:8" ht="12.75">
      <c r="A33" s="1008"/>
      <c r="B33" s="1008" t="s">
        <v>1241</v>
      </c>
      <c r="C33" s="1021" t="s">
        <v>1327</v>
      </c>
      <c r="D33" s="1016">
        <f>'Rashodi-2021'!M290</f>
        <v>9150000</v>
      </c>
      <c r="E33" s="1486">
        <f t="shared" si="0"/>
        <v>0.020185905393859015</v>
      </c>
      <c r="F33" s="1018">
        <f>'Rashodi-2021'!T290</f>
        <v>700000</v>
      </c>
      <c r="G33" s="1016">
        <f t="shared" si="1"/>
        <v>9850000</v>
      </c>
      <c r="H33" s="1017" t="s">
        <v>1166</v>
      </c>
    </row>
    <row r="34" spans="1:8" ht="12.75" hidden="1">
      <c r="A34" s="1008"/>
      <c r="B34" s="1008" t="s">
        <v>825</v>
      </c>
      <c r="C34" s="1021" t="s">
        <v>826</v>
      </c>
      <c r="D34" s="1016"/>
      <c r="E34" s="1486">
        <f t="shared" si="0"/>
        <v>0</v>
      </c>
      <c r="F34" s="1018"/>
      <c r="G34" s="1016">
        <f t="shared" si="1"/>
        <v>0</v>
      </c>
      <c r="H34" s="1017"/>
    </row>
    <row r="35" spans="1:8" ht="12.75" hidden="1">
      <c r="A35" s="1008"/>
      <c r="B35" s="1008" t="s">
        <v>827</v>
      </c>
      <c r="C35" s="1021" t="s">
        <v>828</v>
      </c>
      <c r="D35" s="1016"/>
      <c r="E35" s="1486">
        <f t="shared" si="0"/>
        <v>0</v>
      </c>
      <c r="F35" s="1018"/>
      <c r="G35" s="1016">
        <f t="shared" si="1"/>
        <v>0</v>
      </c>
      <c r="H35" s="1017"/>
    </row>
    <row r="36" spans="1:8" ht="12.75" hidden="1">
      <c r="A36" s="1008"/>
      <c r="B36" s="1008" t="s">
        <v>829</v>
      </c>
      <c r="C36" s="1021" t="s">
        <v>830</v>
      </c>
      <c r="D36" s="1016"/>
      <c r="E36" s="1486">
        <f t="shared" si="0"/>
        <v>0</v>
      </c>
      <c r="F36" s="1018"/>
      <c r="G36" s="1016">
        <f t="shared" si="1"/>
        <v>0</v>
      </c>
      <c r="H36" s="1017"/>
    </row>
    <row r="37" spans="1:8" ht="12.75" hidden="1">
      <c r="A37" s="1008"/>
      <c r="B37" s="1008" t="s">
        <v>831</v>
      </c>
      <c r="C37" s="1021" t="s">
        <v>832</v>
      </c>
      <c r="D37" s="1016"/>
      <c r="E37" s="1486">
        <f t="shared" si="0"/>
        <v>0</v>
      </c>
      <c r="F37" s="1018"/>
      <c r="G37" s="1016">
        <f t="shared" si="1"/>
        <v>0</v>
      </c>
      <c r="H37" s="1017"/>
    </row>
    <row r="38" spans="1:8" ht="12.75" hidden="1">
      <c r="A38" s="1008"/>
      <c r="B38" s="1008" t="s">
        <v>833</v>
      </c>
      <c r="C38" s="1021" t="s">
        <v>589</v>
      </c>
      <c r="D38" s="1016"/>
      <c r="E38" s="1486">
        <f t="shared" si="0"/>
        <v>0</v>
      </c>
      <c r="F38" s="1018"/>
      <c r="G38" s="1016">
        <f t="shared" si="1"/>
        <v>0</v>
      </c>
      <c r="H38" s="1017"/>
    </row>
    <row r="39" spans="1:8" ht="12.75">
      <c r="A39" s="1008"/>
      <c r="B39" s="1008" t="s">
        <v>1242</v>
      </c>
      <c r="C39" s="1021" t="s">
        <v>1239</v>
      </c>
      <c r="D39" s="1040">
        <f>'Rashodi-2021'!M294</f>
        <v>17000000</v>
      </c>
      <c r="E39" s="1486">
        <f t="shared" si="0"/>
        <v>0.03750386794487467</v>
      </c>
      <c r="F39" s="1105">
        <f>'Rashodi-2021'!T294</f>
        <v>0</v>
      </c>
      <c r="G39" s="1016">
        <f t="shared" si="1"/>
        <v>17000000</v>
      </c>
      <c r="H39" s="1017" t="s">
        <v>1166</v>
      </c>
    </row>
    <row r="40" spans="1:8" ht="12.75">
      <c r="A40" s="1008"/>
      <c r="B40" s="1008" t="s">
        <v>1243</v>
      </c>
      <c r="C40" s="1022" t="s">
        <v>1267</v>
      </c>
      <c r="D40" s="1023">
        <f>'Rashodi-2021'!M309</f>
        <v>5000000</v>
      </c>
      <c r="E40" s="1486">
        <f t="shared" si="0"/>
        <v>0.011030549395551374</v>
      </c>
      <c r="F40" s="1105">
        <f>'Rashodi-2021'!T309</f>
        <v>0</v>
      </c>
      <c r="G40" s="1016">
        <f t="shared" si="1"/>
        <v>5000000</v>
      </c>
      <c r="H40" s="1017" t="s">
        <v>1281</v>
      </c>
    </row>
    <row r="41" spans="1:8" ht="12.75">
      <c r="A41" s="1008"/>
      <c r="B41" s="1008" t="s">
        <v>1245</v>
      </c>
      <c r="C41" s="1021" t="s">
        <v>1240</v>
      </c>
      <c r="D41" s="1040">
        <f>'Rashodi-2021'!M304</f>
        <v>3300000</v>
      </c>
      <c r="E41" s="1486">
        <f t="shared" si="0"/>
        <v>0.007280162601063907</v>
      </c>
      <c r="F41" s="1105">
        <f>'Rashodi-2021'!T304</f>
        <v>0</v>
      </c>
      <c r="G41" s="1016">
        <f t="shared" si="1"/>
        <v>3300000</v>
      </c>
      <c r="H41" s="1017" t="s">
        <v>1166</v>
      </c>
    </row>
    <row r="42" spans="1:8" ht="12.75">
      <c r="A42" s="1008"/>
      <c r="B42" s="1008" t="s">
        <v>1244</v>
      </c>
      <c r="C42" s="1022" t="s">
        <v>1328</v>
      </c>
      <c r="D42" s="1023">
        <f>'Rashodi-2021'!M299</f>
        <v>5500000</v>
      </c>
      <c r="E42" s="1486">
        <f t="shared" si="0"/>
        <v>0.012133604335106511</v>
      </c>
      <c r="F42" s="1105">
        <f>'Rashodi-2021'!T299</f>
        <v>0</v>
      </c>
      <c r="G42" s="1016">
        <f t="shared" si="1"/>
        <v>5500000</v>
      </c>
      <c r="H42" s="1017" t="s">
        <v>1166</v>
      </c>
    </row>
    <row r="43" spans="1:8" ht="12.75" hidden="1">
      <c r="A43" s="1008"/>
      <c r="B43" s="1008" t="s">
        <v>834</v>
      </c>
      <c r="C43" s="1021"/>
      <c r="D43" s="1016"/>
      <c r="E43" s="1013">
        <f t="shared" si="0"/>
        <v>0</v>
      </c>
      <c r="F43" s="1018"/>
      <c r="G43" s="1016">
        <f t="shared" si="1"/>
        <v>0</v>
      </c>
      <c r="H43" s="1017"/>
    </row>
    <row r="44" spans="1:8" ht="12.75" hidden="1">
      <c r="A44" s="1008"/>
      <c r="B44" s="1008" t="s">
        <v>835</v>
      </c>
      <c r="C44" s="1021" t="s">
        <v>836</v>
      </c>
      <c r="D44" s="1016"/>
      <c r="E44" s="1013">
        <f t="shared" si="0"/>
        <v>0</v>
      </c>
      <c r="F44" s="1018"/>
      <c r="G44" s="1016">
        <f t="shared" si="1"/>
        <v>0</v>
      </c>
      <c r="H44" s="1017"/>
    </row>
    <row r="45" spans="1:8" ht="12.75" hidden="1">
      <c r="A45" s="1008"/>
      <c r="B45" s="1008"/>
      <c r="C45" s="1021"/>
      <c r="D45" s="1016"/>
      <c r="E45" s="1013">
        <f t="shared" si="0"/>
        <v>0</v>
      </c>
      <c r="F45" s="1018"/>
      <c r="G45" s="1016">
        <f t="shared" si="1"/>
        <v>0</v>
      </c>
      <c r="H45" s="1017" t="s">
        <v>1166</v>
      </c>
    </row>
    <row r="46" spans="1:8" ht="12.75" hidden="1">
      <c r="A46" s="1008"/>
      <c r="B46" s="1008"/>
      <c r="C46" s="1021"/>
      <c r="D46" s="1016"/>
      <c r="E46" s="1013">
        <f t="shared" si="0"/>
        <v>0</v>
      </c>
      <c r="F46" s="1018"/>
      <c r="G46" s="1016">
        <f t="shared" si="1"/>
        <v>0</v>
      </c>
      <c r="H46" s="1017" t="s">
        <v>1166</v>
      </c>
    </row>
    <row r="47" spans="1:8" ht="12.75" hidden="1">
      <c r="A47" s="1008"/>
      <c r="B47" s="1008"/>
      <c r="C47" s="1021"/>
      <c r="D47" s="1016"/>
      <c r="E47" s="1013">
        <f t="shared" si="0"/>
        <v>0</v>
      </c>
      <c r="F47" s="1018"/>
      <c r="G47" s="1016">
        <f t="shared" si="1"/>
        <v>0</v>
      </c>
      <c r="H47" s="1017" t="s">
        <v>1166</v>
      </c>
    </row>
    <row r="48" spans="1:8" ht="12.75" hidden="1">
      <c r="A48" s="1008"/>
      <c r="B48" s="1008"/>
      <c r="C48" s="1024"/>
      <c r="D48" s="1019"/>
      <c r="E48" s="1013">
        <f t="shared" si="0"/>
        <v>0</v>
      </c>
      <c r="F48" s="1020"/>
      <c r="G48" s="1016">
        <f t="shared" si="1"/>
        <v>0</v>
      </c>
      <c r="H48" s="1017" t="s">
        <v>1166</v>
      </c>
    </row>
    <row r="49" spans="1:8" ht="12.75" hidden="1">
      <c r="A49" s="1008"/>
      <c r="B49" s="1008" t="s">
        <v>897</v>
      </c>
      <c r="C49" s="1015">
        <f>_xlfn.IFERROR(VLOOKUP(B49,'[1]ПО КОРИСНИЦИМА'!$C$3:$J$11609,5,FALSE),"")</f>
      </c>
      <c r="D49" s="1019"/>
      <c r="E49" s="1013">
        <f t="shared" si="0"/>
        <v>0</v>
      </c>
      <c r="F49" s="1020"/>
      <c r="G49" s="1016">
        <f t="shared" si="1"/>
        <v>0</v>
      </c>
      <c r="H49" s="1017"/>
    </row>
    <row r="50" spans="1:8" ht="12.75" hidden="1">
      <c r="A50" s="1008"/>
      <c r="B50" s="1008" t="s">
        <v>898</v>
      </c>
      <c r="C50" s="1015">
        <f>_xlfn.IFERROR(VLOOKUP(B50,'[1]ПО КОРИСНИЦИМА'!$C$3:$J$11609,5,FALSE),"")</f>
      </c>
      <c r="D50" s="1019"/>
      <c r="E50" s="1013">
        <f t="shared" si="0"/>
        <v>0</v>
      </c>
      <c r="F50" s="1020"/>
      <c r="G50" s="1016">
        <f t="shared" si="1"/>
        <v>0</v>
      </c>
      <c r="H50" s="1017"/>
    </row>
    <row r="51" spans="1:8" ht="12.75" hidden="1">
      <c r="A51" s="1008"/>
      <c r="B51" s="1008" t="s">
        <v>899</v>
      </c>
      <c r="C51" s="1015">
        <f>_xlfn.IFERROR(VLOOKUP(B51,'[1]ПО КОРИСНИЦИМА'!$C$3:$J$11609,5,FALSE),"")</f>
      </c>
      <c r="D51" s="1019"/>
      <c r="E51" s="1013">
        <f t="shared" si="0"/>
        <v>0</v>
      </c>
      <c r="F51" s="1020"/>
      <c r="G51" s="1016">
        <f t="shared" si="1"/>
        <v>0</v>
      </c>
      <c r="H51" s="1017"/>
    </row>
    <row r="52" spans="1:8" ht="12.75" hidden="1">
      <c r="A52" s="1008"/>
      <c r="B52" s="1008" t="s">
        <v>900</v>
      </c>
      <c r="C52" s="1015">
        <f>_xlfn.IFERROR(VLOOKUP(B52,'[1]ПО КОРИСНИЦИМА'!$C$3:$J$11609,5,FALSE),"")</f>
      </c>
      <c r="D52" s="1019"/>
      <c r="E52" s="1013">
        <f t="shared" si="0"/>
        <v>0</v>
      </c>
      <c r="F52" s="1020"/>
      <c r="G52" s="1016">
        <f t="shared" si="1"/>
        <v>0</v>
      </c>
      <c r="H52" s="1017"/>
    </row>
    <row r="53" spans="1:8" ht="12.75" hidden="1">
      <c r="A53" s="1008"/>
      <c r="B53" s="1008" t="s">
        <v>901</v>
      </c>
      <c r="C53" s="1015">
        <f>_xlfn.IFERROR(VLOOKUP(B53,'[1]ПО КОРИСНИЦИМА'!$C$3:$J$11609,5,FALSE),"")</f>
      </c>
      <c r="D53" s="1019"/>
      <c r="E53" s="1013">
        <f t="shared" si="0"/>
        <v>0</v>
      </c>
      <c r="F53" s="1020"/>
      <c r="G53" s="1016">
        <f t="shared" si="1"/>
        <v>0</v>
      </c>
      <c r="H53" s="1017"/>
    </row>
    <row r="54" spans="1:8" ht="12.75" hidden="1">
      <c r="A54" s="1008"/>
      <c r="B54" s="1008" t="s">
        <v>902</v>
      </c>
      <c r="C54" s="1015">
        <f>_xlfn.IFERROR(VLOOKUP(B54,'[1]ПО КОРИСНИЦИМА'!$C$3:$J$11609,5,FALSE),"")</f>
      </c>
      <c r="D54" s="1019"/>
      <c r="E54" s="1013">
        <f t="shared" si="0"/>
        <v>0</v>
      </c>
      <c r="F54" s="1020"/>
      <c r="G54" s="1016">
        <f t="shared" si="1"/>
        <v>0</v>
      </c>
      <c r="H54" s="1017"/>
    </row>
    <row r="55" spans="1:8" ht="12.75" hidden="1">
      <c r="A55" s="1008"/>
      <c r="B55" s="1008" t="s">
        <v>903</v>
      </c>
      <c r="C55" s="1015">
        <f>_xlfn.IFERROR(VLOOKUP(B55,'[1]ПО КОРИСНИЦИМА'!$C$3:$J$11609,5,FALSE),"")</f>
      </c>
      <c r="D55" s="1019"/>
      <c r="E55" s="1013">
        <f t="shared" si="0"/>
        <v>0</v>
      </c>
      <c r="F55" s="1020"/>
      <c r="G55" s="1016">
        <f t="shared" si="1"/>
        <v>0</v>
      </c>
      <c r="H55" s="1017"/>
    </row>
    <row r="56" spans="1:8" ht="12.75" hidden="1">
      <c r="A56" s="1008"/>
      <c r="B56" s="1008" t="s">
        <v>904</v>
      </c>
      <c r="C56" s="1015">
        <f>_xlfn.IFERROR(VLOOKUP(B56,'[1]ПО КОРИСНИЦИМА'!$C$3:$J$11609,5,FALSE),"")</f>
      </c>
      <c r="D56" s="1019"/>
      <c r="E56" s="1013">
        <f t="shared" si="0"/>
        <v>0</v>
      </c>
      <c r="F56" s="1020"/>
      <c r="G56" s="1016">
        <f t="shared" si="1"/>
        <v>0</v>
      </c>
      <c r="H56" s="1017"/>
    </row>
    <row r="57" spans="1:8" ht="12.75" hidden="1">
      <c r="A57" s="1008"/>
      <c r="B57" s="1008" t="s">
        <v>905</v>
      </c>
      <c r="C57" s="1015">
        <f>_xlfn.IFERROR(VLOOKUP(B57,'[1]ПО КОРИСНИЦИМА'!$C$3:$J$11609,5,FALSE),"")</f>
      </c>
      <c r="D57" s="1019"/>
      <c r="E57" s="1013">
        <f t="shared" si="0"/>
        <v>0</v>
      </c>
      <c r="F57" s="1020"/>
      <c r="G57" s="1016">
        <f t="shared" si="1"/>
        <v>0</v>
      </c>
      <c r="H57" s="1017"/>
    </row>
    <row r="58" spans="1:8" ht="12.75" hidden="1">
      <c r="A58" s="1008"/>
      <c r="B58" s="1008" t="s">
        <v>906</v>
      </c>
      <c r="C58" s="1015">
        <f>_xlfn.IFERROR(VLOOKUP(B58,'[1]ПО КОРИСНИЦИМА'!$C$3:$J$11609,5,FALSE),"")</f>
      </c>
      <c r="D58" s="1019"/>
      <c r="E58" s="1013">
        <f t="shared" si="0"/>
        <v>0</v>
      </c>
      <c r="F58" s="1020"/>
      <c r="G58" s="1016">
        <f t="shared" si="1"/>
        <v>0</v>
      </c>
      <c r="H58" s="1017"/>
    </row>
    <row r="59" spans="1:8" ht="12.75" hidden="1">
      <c r="A59" s="1008"/>
      <c r="B59" s="1008" t="s">
        <v>907</v>
      </c>
      <c r="C59" s="1015">
        <f>_xlfn.IFERROR(VLOOKUP(B59,'[1]ПО КОРИСНИЦИМА'!$C$3:$J$11609,5,FALSE),"")</f>
      </c>
      <c r="D59" s="1019" t="e">
        <f>SUMIF('[1]ПО КОРИСНИЦИМА'!$G$3:$G$11609,"Свега за пројекат 0601-П12:",'[1]ПО КОРИСНИЦИМА'!$H$3:$H$11609)</f>
        <v>#VALUE!</v>
      </c>
      <c r="E59" s="1013" t="e">
        <f t="shared" si="0"/>
        <v>#VALUE!</v>
      </c>
      <c r="F59" s="1020" t="e">
        <f>SUMIF('[1]ПО КОРИСНИЦИМА'!$G$3:$G$11609,"Свега за пројекат 0601-П12:",'[1]ПО КОРИСНИЦИМА'!$I$3:$I$11609)</f>
        <v>#VALUE!</v>
      </c>
      <c r="G59" s="1016" t="e">
        <f t="shared" si="1"/>
        <v>#VALUE!</v>
      </c>
      <c r="H59" s="1017"/>
    </row>
    <row r="60" spans="1:8" ht="12.75" hidden="1">
      <c r="A60" s="1008"/>
      <c r="B60" s="1008" t="s">
        <v>908</v>
      </c>
      <c r="C60" s="1015">
        <f>_xlfn.IFERROR(VLOOKUP(B60,'[1]ПО КОРИСНИЦИМА'!$C$3:$J$11609,5,FALSE),"")</f>
      </c>
      <c r="D60" s="1019" t="e">
        <f>SUMIF('[1]ПО КОРИСНИЦИМА'!$G$3:$G$11609,"Свега за пројекат 0601-П13:",'[1]ПО КОРИСНИЦИМА'!$H$3:$H$11609)</f>
        <v>#VALUE!</v>
      </c>
      <c r="E60" s="1013" t="e">
        <f t="shared" si="0"/>
        <v>#VALUE!</v>
      </c>
      <c r="F60" s="1020" t="e">
        <f>SUMIF('[1]ПО КОРИСНИЦИМА'!$G$3:$G$11609,"Свега за пројекат 0601-П13:",'[1]ПО КОРИСНИЦИМА'!$I$3:$I$11609)</f>
        <v>#VALUE!</v>
      </c>
      <c r="G60" s="1016" t="e">
        <f t="shared" si="1"/>
        <v>#VALUE!</v>
      </c>
      <c r="H60" s="1017"/>
    </row>
    <row r="61" spans="1:8" ht="12.75" hidden="1">
      <c r="A61" s="1008"/>
      <c r="B61" s="1008" t="s">
        <v>909</v>
      </c>
      <c r="C61" s="1015">
        <f>_xlfn.IFERROR(VLOOKUP(B61,'[1]ПО КОРИСНИЦИМА'!$C$3:$J$11609,5,FALSE),"")</f>
      </c>
      <c r="D61" s="1019" t="e">
        <f>SUMIF('[1]ПО КОРИСНИЦИМА'!$G$3:$G$11609,"Свега за пројекат 0601-П14:",'[1]ПО КОРИСНИЦИМА'!$H$3:$H$11609)</f>
        <v>#VALUE!</v>
      </c>
      <c r="E61" s="1013" t="e">
        <f t="shared" si="0"/>
        <v>#VALUE!</v>
      </c>
      <c r="F61" s="1020" t="e">
        <f>SUMIF('[1]ПО КОРИСНИЦИМА'!$G$3:$G$11609,"Свега за пројекат 0601-П14:",'[1]ПО КОРИСНИЦИМА'!$I$3:$I$11609)</f>
        <v>#VALUE!</v>
      </c>
      <c r="G61" s="1016" t="e">
        <f t="shared" si="1"/>
        <v>#VALUE!</v>
      </c>
      <c r="H61" s="1017"/>
    </row>
    <row r="62" spans="1:8" ht="12.75" hidden="1">
      <c r="A62" s="1008"/>
      <c r="B62" s="1008" t="s">
        <v>910</v>
      </c>
      <c r="C62" s="1015">
        <f>_xlfn.IFERROR(VLOOKUP(B62,'[1]ПО КОРИСНИЦИМА'!$C$3:$J$11609,5,FALSE),"")</f>
      </c>
      <c r="D62" s="1019" t="e">
        <f>SUMIF('[1]ПО КОРИСНИЦИМА'!$G$3:$G$11609,"Свега за пројекат 0601-П15:",'[1]ПО КОРИСНИЦИМА'!$H$3:$H$11609)</f>
        <v>#VALUE!</v>
      </c>
      <c r="E62" s="1013" t="e">
        <f t="shared" si="0"/>
        <v>#VALUE!</v>
      </c>
      <c r="F62" s="1020" t="e">
        <f>SUMIF('[1]ПО КОРИСНИЦИМА'!$G$3:$G$11609,"Свега за пројекат 0601-П15:",'[1]ПО КОРИСНИЦИМА'!$I$3:$I$11609)</f>
        <v>#VALUE!</v>
      </c>
      <c r="G62" s="1016" t="e">
        <f t="shared" si="1"/>
        <v>#VALUE!</v>
      </c>
      <c r="H62" s="1017"/>
    </row>
    <row r="63" spans="1:8" ht="12.75" hidden="1">
      <c r="A63" s="1008"/>
      <c r="B63" s="1008" t="s">
        <v>911</v>
      </c>
      <c r="C63" s="1015">
        <f>_xlfn.IFERROR(VLOOKUP(B63,'[1]ПО КОРИСНИЦИМА'!$C$3:$J$11609,5,FALSE),"")</f>
      </c>
      <c r="D63" s="1019" t="e">
        <f>SUMIF('[1]ПО КОРИСНИЦИМА'!$G$3:$G$11609,"Свега за пројекат 0601-П16:",'[1]ПО КОРИСНИЦИМА'!$H$3:$H$11609)</f>
        <v>#VALUE!</v>
      </c>
      <c r="E63" s="1013" t="e">
        <f t="shared" si="0"/>
        <v>#VALUE!</v>
      </c>
      <c r="F63" s="1020" t="e">
        <f>SUMIF('[1]ПО КОРИСНИЦИМА'!$G$3:$G$11609,"Свега за пројекат 0601-П16:",'[1]ПО КОРИСНИЦИМА'!$I$3:$I$11609)</f>
        <v>#VALUE!</v>
      </c>
      <c r="G63" s="1016" t="e">
        <f t="shared" si="1"/>
        <v>#VALUE!</v>
      </c>
      <c r="H63" s="1017"/>
    </row>
    <row r="64" spans="1:8" ht="12.75" hidden="1">
      <c r="A64" s="1008"/>
      <c r="B64" s="1008" t="s">
        <v>912</v>
      </c>
      <c r="C64" s="1015">
        <f>_xlfn.IFERROR(VLOOKUP(B64,'[1]ПО КОРИСНИЦИМА'!$C$3:$J$11609,5,FALSE),"")</f>
      </c>
      <c r="D64" s="1019" t="e">
        <f>SUMIF('[1]ПО КОРИСНИЦИМА'!$G$3:$G$11609,"Свега за пројекат 0601-П17:",'[1]ПО КОРИСНИЦИМА'!$H$3:$H$11609)</f>
        <v>#VALUE!</v>
      </c>
      <c r="E64" s="1013" t="e">
        <f t="shared" si="0"/>
        <v>#VALUE!</v>
      </c>
      <c r="F64" s="1020" t="e">
        <f>SUMIF('[1]ПО КОРИСНИЦИМА'!$G$3:$G$11609,"Свега за пројекат 0601-П17:",'[1]ПО КОРИСНИЦИМА'!$I$3:$I$11609)</f>
        <v>#VALUE!</v>
      </c>
      <c r="G64" s="1016" t="e">
        <f t="shared" si="1"/>
        <v>#VALUE!</v>
      </c>
      <c r="H64" s="1017"/>
    </row>
    <row r="65" spans="1:8" ht="12.75" hidden="1">
      <c r="A65" s="1008"/>
      <c r="B65" s="1008" t="s">
        <v>913</v>
      </c>
      <c r="C65" s="1015">
        <f>_xlfn.IFERROR(VLOOKUP(B65,'[1]ПО КОРИСНИЦИМА'!$C$3:$J$11609,5,FALSE),"")</f>
      </c>
      <c r="D65" s="1019" t="e">
        <f>SUMIF('[1]ПО КОРИСНИЦИМА'!$G$3:$G$11609,"Свега за пројекат 0601-П18:",'[1]ПО КОРИСНИЦИМА'!$H$3:$H$11609)</f>
        <v>#VALUE!</v>
      </c>
      <c r="E65" s="1013" t="e">
        <f t="shared" si="0"/>
        <v>#VALUE!</v>
      </c>
      <c r="F65" s="1020" t="e">
        <f>SUMIF('[1]ПО КОРИСНИЦИМА'!$G$3:$G$11609,"Свега за пројекат 0601-П18:",'[1]ПО КОРИСНИЦИМА'!$I$3:$I$11609)</f>
        <v>#VALUE!</v>
      </c>
      <c r="G65" s="1016" t="e">
        <f t="shared" si="1"/>
        <v>#VALUE!</v>
      </c>
      <c r="H65" s="1017"/>
    </row>
    <row r="66" spans="1:8" ht="12.75" hidden="1">
      <c r="A66" s="1008"/>
      <c r="B66" s="1008" t="s">
        <v>914</v>
      </c>
      <c r="C66" s="1015">
        <f>_xlfn.IFERROR(VLOOKUP(B66,'[1]ПО КОРИСНИЦИМА'!$C$3:$J$11609,5,FALSE),"")</f>
      </c>
      <c r="D66" s="1019" t="e">
        <f>SUMIF('[1]ПО КОРИСНИЦИМА'!$G$3:$G$11609,"Свега за пројекат 0601-П19:",'[1]ПО КОРИСНИЦИМА'!$H$3:$H$11609)</f>
        <v>#VALUE!</v>
      </c>
      <c r="E66" s="1013" t="e">
        <f t="shared" si="0"/>
        <v>#VALUE!</v>
      </c>
      <c r="F66" s="1020" t="e">
        <f>SUMIF('[1]ПО КОРИСНИЦИМА'!$G$3:$G$11609,"Свега за пројекат 0601-П19:",'[1]ПО КОРИСНИЦИМА'!$I$3:$I$11609)</f>
        <v>#VALUE!</v>
      </c>
      <c r="G66" s="1016" t="e">
        <f t="shared" si="1"/>
        <v>#VALUE!</v>
      </c>
      <c r="H66" s="1017"/>
    </row>
    <row r="67" spans="1:8" ht="12.75" hidden="1">
      <c r="A67" s="1008"/>
      <c r="B67" s="1008" t="s">
        <v>915</v>
      </c>
      <c r="C67" s="1015">
        <f>_xlfn.IFERROR(VLOOKUP(B67,'[1]ПО КОРИСНИЦИМА'!$C$3:$J$11609,5,FALSE),"")</f>
      </c>
      <c r="D67" s="1019" t="e">
        <f>SUMIF('[1]ПО КОРИСНИЦИМА'!$G$3:$G$11609,"Свега за пројекат 0601-П20:",'[1]ПО КОРИСНИЦИМА'!$H$3:$H$11609)</f>
        <v>#VALUE!</v>
      </c>
      <c r="E67" s="1013" t="e">
        <f t="shared" si="0"/>
        <v>#VALUE!</v>
      </c>
      <c r="F67" s="1020" t="e">
        <f>SUMIF('[1]ПО КОРИСНИЦИМА'!$G$3:$G$11609,"Свега за пројекат 0601-П20:",'[1]ПО КОРИСНИЦИМА'!$I$3:$I$11609)</f>
        <v>#VALUE!</v>
      </c>
      <c r="G67" s="1016" t="e">
        <f t="shared" si="1"/>
        <v>#VALUE!</v>
      </c>
      <c r="H67" s="1017"/>
    </row>
    <row r="68" spans="1:8" ht="12.75" hidden="1">
      <c r="A68" s="1008"/>
      <c r="B68" s="1008" t="s">
        <v>916</v>
      </c>
      <c r="C68" s="1015">
        <f>_xlfn.IFERROR(VLOOKUP(B68,'[1]ПО КОРИСНИЦИМА'!$C$3:$J$11609,5,FALSE),"")</f>
      </c>
      <c r="D68" s="1019" t="e">
        <f>SUMIF('[1]ПО КОРИСНИЦИМА'!$G$3:$G$11609,"Свега за пројекат 0601-П21:",'[1]ПО КОРИСНИЦИМА'!$H$3:$H$11609)</f>
        <v>#VALUE!</v>
      </c>
      <c r="E68" s="1013" t="e">
        <f t="shared" si="0"/>
        <v>#VALUE!</v>
      </c>
      <c r="F68" s="1020" t="e">
        <f>SUMIF('[1]ПО КОРИСНИЦИМА'!$G$3:$G$11609,"Свега за пројекат 0601-П21:",'[1]ПО КОРИСНИЦИМА'!$I$3:$I$11609)</f>
        <v>#VALUE!</v>
      </c>
      <c r="G68" s="1016" t="e">
        <f t="shared" si="1"/>
        <v>#VALUE!</v>
      </c>
      <c r="H68" s="1017"/>
    </row>
    <row r="69" spans="1:8" ht="12.75" hidden="1">
      <c r="A69" s="1008"/>
      <c r="B69" s="1008" t="s">
        <v>917</v>
      </c>
      <c r="C69" s="1015">
        <f>_xlfn.IFERROR(VLOOKUP(B69,'[1]ПО КОРИСНИЦИМА'!$C$3:$J$11609,5,FALSE),"")</f>
      </c>
      <c r="D69" s="1019" t="e">
        <f>SUMIF('[1]ПО КОРИСНИЦИМА'!$G$3:$G$11609,"Свега за пројекат 0601-П22:",'[1]ПО КОРИСНИЦИМА'!$H$3:$H$11609)</f>
        <v>#VALUE!</v>
      </c>
      <c r="E69" s="1013" t="e">
        <f t="shared" si="0"/>
        <v>#VALUE!</v>
      </c>
      <c r="F69" s="1020" t="e">
        <f>SUMIF('[1]ПО КОРИСНИЦИМА'!$G$3:$G$11609,"Свега за пројекат 0601-П22:",'[1]ПО КОРИСНИЦИМА'!$I$3:$I$11609)</f>
        <v>#VALUE!</v>
      </c>
      <c r="G69" s="1016" t="e">
        <f aca="true" t="shared" si="2" ref="G69:G131">D69+F69</f>
        <v>#VALUE!</v>
      </c>
      <c r="H69" s="1017"/>
    </row>
    <row r="70" spans="1:8" ht="12.75" hidden="1">
      <c r="A70" s="1008"/>
      <c r="B70" s="1008" t="s">
        <v>918</v>
      </c>
      <c r="C70" s="1015">
        <f>_xlfn.IFERROR(VLOOKUP(B70,'[1]ПО КОРИСНИЦИМА'!$C$3:$J$11609,5,FALSE),"")</f>
      </c>
      <c r="D70" s="1019" t="e">
        <f>SUMIF('[1]ПО КОРИСНИЦИМА'!$G$3:$G$11609,"Свега за пројекат 0601-П23:",'[1]ПО КОРИСНИЦИМА'!$H$3:$H$11609)</f>
        <v>#VALUE!</v>
      </c>
      <c r="E70" s="1013" t="e">
        <f aca="true" t="shared" si="3" ref="E70:E133">D70/453286579</f>
        <v>#VALUE!</v>
      </c>
      <c r="F70" s="1020" t="e">
        <f>SUMIF('[1]ПО КОРИСНИЦИМА'!$G$3:$G$11609,"Свега за пројекат 0601-П23:",'[1]ПО КОРИСНИЦИМА'!$I$3:$I$11609)</f>
        <v>#VALUE!</v>
      </c>
      <c r="G70" s="1016" t="e">
        <f t="shared" si="2"/>
        <v>#VALUE!</v>
      </c>
      <c r="H70" s="1017"/>
    </row>
    <row r="71" spans="1:8" ht="12.75" hidden="1">
      <c r="A71" s="1008"/>
      <c r="B71" s="1008" t="s">
        <v>919</v>
      </c>
      <c r="C71" s="1015">
        <f>_xlfn.IFERROR(VLOOKUP(B71,'[1]ПО КОРИСНИЦИМА'!$C$3:$J$11609,5,FALSE),"")</f>
      </c>
      <c r="D71" s="1019" t="e">
        <f>SUMIF('[1]ПО КОРИСНИЦИМА'!$G$3:$G$11609,"Свега за пројекат 0601-П24:",'[1]ПО КОРИСНИЦИМА'!$H$3:$H$11609)</f>
        <v>#VALUE!</v>
      </c>
      <c r="E71" s="1013" t="e">
        <f t="shared" si="3"/>
        <v>#VALUE!</v>
      </c>
      <c r="F71" s="1020" t="e">
        <f>SUMIF('[1]ПО КОРИСНИЦИМА'!$G$3:$G$11609,"Свега за пројекат 0601-П24:",'[1]ПО КОРИСНИЦИМА'!$I$3:$I$11609)</f>
        <v>#VALUE!</v>
      </c>
      <c r="G71" s="1016" t="e">
        <f t="shared" si="2"/>
        <v>#VALUE!</v>
      </c>
      <c r="H71" s="1017"/>
    </row>
    <row r="72" spans="1:8" ht="12.75" hidden="1">
      <c r="A72" s="1008"/>
      <c r="B72" s="1008" t="s">
        <v>920</v>
      </c>
      <c r="C72" s="1015">
        <f>_xlfn.IFERROR(VLOOKUP(B72,'[1]ПО КОРИСНИЦИМА'!$C$3:$J$11609,5,FALSE),"")</f>
      </c>
      <c r="D72" s="1019" t="e">
        <f>SUMIF('[1]ПО КОРИСНИЦИМА'!$G$3:$G$11609,"Свега за пројекат 0601-П25:",'[1]ПО КОРИСНИЦИМА'!$H$3:$H$11609)</f>
        <v>#VALUE!</v>
      </c>
      <c r="E72" s="1013" t="e">
        <f t="shared" si="3"/>
        <v>#VALUE!</v>
      </c>
      <c r="F72" s="1020" t="e">
        <f>SUMIF('[1]ПО КОРИСНИЦИМА'!$G$3:$G$11609,"Свега за пројекат 0601-П25:",'[1]ПО КОРИСНИЦИМА'!$I$3:$I$11609)</f>
        <v>#VALUE!</v>
      </c>
      <c r="G72" s="1016" t="e">
        <f t="shared" si="2"/>
        <v>#VALUE!</v>
      </c>
      <c r="H72" s="1017"/>
    </row>
    <row r="73" spans="1:8" ht="12.75" hidden="1">
      <c r="A73" s="1008"/>
      <c r="B73" s="1008" t="s">
        <v>921</v>
      </c>
      <c r="C73" s="1015">
        <f>_xlfn.IFERROR(VLOOKUP(B73,'[1]ПО КОРИСНИЦИМА'!$C$3:$J$11609,5,FALSE),"")</f>
      </c>
      <c r="D73" s="1019" t="e">
        <f>SUMIF('[1]ПО КОРИСНИЦИМА'!$G$3:$G$11609,"Свега за пројекат 0601-П26:",'[1]ПО КОРИСНИЦИМА'!$H$3:$H$11609)</f>
        <v>#VALUE!</v>
      </c>
      <c r="E73" s="1013" t="e">
        <f t="shared" si="3"/>
        <v>#VALUE!</v>
      </c>
      <c r="F73" s="1020" t="e">
        <f>SUMIF('[1]ПО КОРИСНИЦИМА'!$G$3:$G$11609,"Свега за пројекат 0601-П26:",'[1]ПО КОРИСНИЦИМА'!$I$3:$I$11609)</f>
        <v>#VALUE!</v>
      </c>
      <c r="G73" s="1016" t="e">
        <f t="shared" si="2"/>
        <v>#VALUE!</v>
      </c>
      <c r="H73" s="1017"/>
    </row>
    <row r="74" spans="1:8" ht="12.75" hidden="1">
      <c r="A74" s="1008"/>
      <c r="B74" s="1008" t="s">
        <v>922</v>
      </c>
      <c r="C74" s="1015">
        <f>_xlfn.IFERROR(VLOOKUP(B74,'[1]ПО КОРИСНИЦИМА'!$C$3:$J$11609,5,FALSE),"")</f>
      </c>
      <c r="D74" s="1019" t="e">
        <f>SUMIF('[1]ПО КОРИСНИЦИМА'!$G$3:$G$11609,"Свега за пројекат 0601-П27:",'[1]ПО КОРИСНИЦИМА'!$H$3:$H$11609)</f>
        <v>#VALUE!</v>
      </c>
      <c r="E74" s="1013" t="e">
        <f t="shared" si="3"/>
        <v>#VALUE!</v>
      </c>
      <c r="F74" s="1020" t="e">
        <f>SUMIF('[1]ПО КОРИСНИЦИМА'!$G$3:$G$11609,"Свега за пројекат 0601-П27:",'[1]ПО КОРИСНИЦИМА'!$I$3:$I$11609)</f>
        <v>#VALUE!</v>
      </c>
      <c r="G74" s="1016" t="e">
        <f t="shared" si="2"/>
        <v>#VALUE!</v>
      </c>
      <c r="H74" s="1017"/>
    </row>
    <row r="75" spans="1:8" ht="12.75" hidden="1">
      <c r="A75" s="1008"/>
      <c r="B75" s="1008" t="s">
        <v>923</v>
      </c>
      <c r="C75" s="1015">
        <f>_xlfn.IFERROR(VLOOKUP(B75,'[1]ПО КОРИСНИЦИМА'!$C$3:$J$11609,5,FALSE),"")</f>
      </c>
      <c r="D75" s="1019" t="e">
        <f>SUMIF('[1]ПО КОРИСНИЦИМА'!$G$3:$G$11609,"Свега за пројекат 0601-П28:",'[1]ПО КОРИСНИЦИМА'!$H$3:$H$11609)</f>
        <v>#VALUE!</v>
      </c>
      <c r="E75" s="1013" t="e">
        <f t="shared" si="3"/>
        <v>#VALUE!</v>
      </c>
      <c r="F75" s="1020" t="e">
        <f>SUMIF('[1]ПО КОРИСНИЦИМА'!$G$3:$G$11609,"Свега за пројекат 0601-П28:",'[1]ПО КОРИСНИЦИМА'!$I$3:$I$11609)</f>
        <v>#VALUE!</v>
      </c>
      <c r="G75" s="1016" t="e">
        <f t="shared" si="2"/>
        <v>#VALUE!</v>
      </c>
      <c r="H75" s="1017"/>
    </row>
    <row r="76" spans="1:8" ht="12.75" hidden="1">
      <c r="A76" s="1008"/>
      <c r="B76" s="1008" t="s">
        <v>924</v>
      </c>
      <c r="C76" s="1015">
        <f>_xlfn.IFERROR(VLOOKUP(B76,'[1]ПО КОРИСНИЦИМА'!$C$3:$J$11609,5,FALSE),"")</f>
      </c>
      <c r="D76" s="1019" t="e">
        <f>SUMIF('[1]ПО КОРИСНИЦИМА'!$G$3:$G$11609,"Свега за пројекат 0601-П29:",'[1]ПО КОРИСНИЦИМА'!$H$3:$H$11609)</f>
        <v>#VALUE!</v>
      </c>
      <c r="E76" s="1013" t="e">
        <f t="shared" si="3"/>
        <v>#VALUE!</v>
      </c>
      <c r="F76" s="1020" t="e">
        <f>SUMIF('[1]ПО КОРИСНИЦИМА'!$G$3:$G$11609,"Свега за пројекат 0601-П29:",'[1]ПО КОРИСНИЦИМА'!$I$3:$I$11609)</f>
        <v>#VALUE!</v>
      </c>
      <c r="G76" s="1016" t="e">
        <f t="shared" si="2"/>
        <v>#VALUE!</v>
      </c>
      <c r="H76" s="1017"/>
    </row>
    <row r="77" spans="1:8" ht="12.75" hidden="1">
      <c r="A77" s="1008"/>
      <c r="B77" s="1008" t="s">
        <v>925</v>
      </c>
      <c r="C77" s="1015">
        <f>_xlfn.IFERROR(VLOOKUP(B77,'[1]ПО КОРИСНИЦИМА'!$C$3:$J$11609,5,FALSE),"")</f>
      </c>
      <c r="D77" s="1019" t="e">
        <f>SUMIF('[1]ПО КОРИСНИЦИМА'!$G$3:$G$11609,"Свега за пројекат 0601-П30:",'[1]ПО КОРИСНИЦИМА'!$H$3:$H$11609)</f>
        <v>#VALUE!</v>
      </c>
      <c r="E77" s="1013" t="e">
        <f t="shared" si="3"/>
        <v>#VALUE!</v>
      </c>
      <c r="F77" s="1020" t="e">
        <f>SUMIF('[1]ПО КОРИСНИЦИМА'!$G$3:$G$11609,"Свега за пројекат 0601-П30:",'[1]ПО КОРИСНИЦИМА'!$I$3:$I$11609)</f>
        <v>#VALUE!</v>
      </c>
      <c r="G77" s="1016" t="e">
        <f t="shared" si="2"/>
        <v>#VALUE!</v>
      </c>
      <c r="H77" s="1017"/>
    </row>
    <row r="78" spans="1:8" ht="12.75" hidden="1">
      <c r="A78" s="1008"/>
      <c r="B78" s="1008" t="s">
        <v>926</v>
      </c>
      <c r="C78" s="1015">
        <f>_xlfn.IFERROR(VLOOKUP(B78,'[1]ПО КОРИСНИЦИМА'!$C$3:$J$11609,5,FALSE),"")</f>
      </c>
      <c r="D78" s="1019" t="e">
        <f>SUMIF('[1]ПО КОРИСНИЦИМА'!$G$3:$G$11609,"Свега за пројекат 0601-П31:",'[1]ПО КОРИСНИЦИМА'!$H$3:$H$11609)</f>
        <v>#VALUE!</v>
      </c>
      <c r="E78" s="1013" t="e">
        <f t="shared" si="3"/>
        <v>#VALUE!</v>
      </c>
      <c r="F78" s="1020" t="e">
        <f>SUMIF('[1]ПО КОРИСНИЦИМА'!$G$3:$G$11609,"Свега за пројекат 0601-П31:",'[1]ПО КОРИСНИЦИМА'!$I$3:$I$11609)</f>
        <v>#VALUE!</v>
      </c>
      <c r="G78" s="1016" t="e">
        <f t="shared" si="2"/>
        <v>#VALUE!</v>
      </c>
      <c r="H78" s="1017"/>
    </row>
    <row r="79" spans="1:8" ht="12.75" hidden="1">
      <c r="A79" s="1008"/>
      <c r="B79" s="1008" t="s">
        <v>927</v>
      </c>
      <c r="C79" s="1015">
        <f>_xlfn.IFERROR(VLOOKUP(B79,'[1]ПО КОРИСНИЦИМА'!$C$3:$J$11609,5,FALSE),"")</f>
      </c>
      <c r="D79" s="1019" t="e">
        <f>SUMIF('[1]ПО КОРИСНИЦИМА'!$G$3:$G$11609,"Свега за пројекат 0601-П32:",'[1]ПО КОРИСНИЦИМА'!$H$3:$H$11609)</f>
        <v>#VALUE!</v>
      </c>
      <c r="E79" s="1013" t="e">
        <f t="shared" si="3"/>
        <v>#VALUE!</v>
      </c>
      <c r="F79" s="1020" t="e">
        <f>SUMIF('[1]ПО КОРИСНИЦИМА'!$G$3:$G$11609,"Свега за пројекат 0601-П32:",'[1]ПО КОРИСНИЦИМА'!$I$3:$I$11609)</f>
        <v>#VALUE!</v>
      </c>
      <c r="G79" s="1016" t="e">
        <f t="shared" si="2"/>
        <v>#VALUE!</v>
      </c>
      <c r="H79" s="1017"/>
    </row>
    <row r="80" spans="1:8" ht="12.75" hidden="1">
      <c r="A80" s="1008"/>
      <c r="B80" s="1008" t="s">
        <v>928</v>
      </c>
      <c r="C80" s="1015">
        <f>_xlfn.IFERROR(VLOOKUP(B80,'[1]ПО КОРИСНИЦИМА'!$C$3:$J$11609,5,FALSE),"")</f>
      </c>
      <c r="D80" s="1019" t="e">
        <f>SUMIF('[1]ПО КОРИСНИЦИМА'!$G$3:$G$11609,"Свега за пројекат 0601-П33:",'[1]ПО КОРИСНИЦИМА'!$H$3:$H$11609)</f>
        <v>#VALUE!</v>
      </c>
      <c r="E80" s="1013" t="e">
        <f t="shared" si="3"/>
        <v>#VALUE!</v>
      </c>
      <c r="F80" s="1020" t="e">
        <f>SUMIF('[1]ПО КОРИСНИЦИМА'!$G$3:$G$11609,"Свега за пројекат 0601-П33:",'[1]ПО КОРИСНИЦИМА'!$I$3:$I$11609)</f>
        <v>#VALUE!</v>
      </c>
      <c r="G80" s="1016" t="e">
        <f t="shared" si="2"/>
        <v>#VALUE!</v>
      </c>
      <c r="H80" s="1017"/>
    </row>
    <row r="81" spans="1:8" ht="12.75" hidden="1">
      <c r="A81" s="1008"/>
      <c r="B81" s="1008" t="s">
        <v>929</v>
      </c>
      <c r="C81" s="1015">
        <f>_xlfn.IFERROR(VLOOKUP(B81,'[1]ПО КОРИСНИЦИМА'!$C$3:$J$11609,5,FALSE),"")</f>
      </c>
      <c r="D81" s="1019" t="e">
        <f>SUMIF('[1]ПО КОРИСНИЦИМА'!$G$3:$G$11609,"Свега за пројекат 0601-П34:",'[1]ПО КОРИСНИЦИМА'!$H$3:$H$11609)</f>
        <v>#VALUE!</v>
      </c>
      <c r="E81" s="1013" t="e">
        <f t="shared" si="3"/>
        <v>#VALUE!</v>
      </c>
      <c r="F81" s="1020" t="e">
        <f>SUMIF('[1]ПО КОРИСНИЦИМА'!$G$3:$G$11609,"Свега за пројекат 0601-П34:",'[1]ПО КОРИСНИЦИМА'!$I$3:$I$11609)</f>
        <v>#VALUE!</v>
      </c>
      <c r="G81" s="1016" t="e">
        <f t="shared" si="2"/>
        <v>#VALUE!</v>
      </c>
      <c r="H81" s="1017"/>
    </row>
    <row r="82" spans="1:8" ht="12.75" hidden="1">
      <c r="A82" s="1008"/>
      <c r="B82" s="1008" t="s">
        <v>930</v>
      </c>
      <c r="C82" s="1015">
        <f>_xlfn.IFERROR(VLOOKUP(B82,'[1]ПО КОРИСНИЦИМА'!$C$3:$J$11609,5,FALSE),"")</f>
      </c>
      <c r="D82" s="1019" t="e">
        <f>SUMIF('[1]ПО КОРИСНИЦИМА'!$G$3:$G$11609,"Свега за пројекат 0601-П35:",'[1]ПО КОРИСНИЦИМА'!$H$3:$H$11609)</f>
        <v>#VALUE!</v>
      </c>
      <c r="E82" s="1013" t="e">
        <f t="shared" si="3"/>
        <v>#VALUE!</v>
      </c>
      <c r="F82" s="1020" t="e">
        <f>SUMIF('[1]ПО КОРИСНИЦИМА'!$G$3:$G$11609,"Свега за пројекат 0601-П35:",'[1]ПО КОРИСНИЦИМА'!$I$3:$I$11609)</f>
        <v>#VALUE!</v>
      </c>
      <c r="G82" s="1016" t="e">
        <f t="shared" si="2"/>
        <v>#VALUE!</v>
      </c>
      <c r="H82" s="1017"/>
    </row>
    <row r="83" spans="1:8" ht="12.75" hidden="1">
      <c r="A83" s="1008"/>
      <c r="B83" s="1008" t="s">
        <v>931</v>
      </c>
      <c r="C83" s="1015">
        <f>_xlfn.IFERROR(VLOOKUP(B83,'[1]ПО КОРИСНИЦИМА'!$C$3:$J$11609,5,FALSE),"")</f>
      </c>
      <c r="D83" s="1019" t="e">
        <f>SUMIF('[1]ПО КОРИСНИЦИМА'!$G$3:$G$11609,"Свега за пројекат 0601-П36:",'[1]ПО КОРИСНИЦИМА'!$H$3:$H$11609)</f>
        <v>#VALUE!</v>
      </c>
      <c r="E83" s="1013" t="e">
        <f t="shared" si="3"/>
        <v>#VALUE!</v>
      </c>
      <c r="F83" s="1020" t="e">
        <f>SUMIF('[1]ПО КОРИСНИЦИМА'!$G$3:$G$11609,"Свега за пројекат 0601-П36:",'[1]ПО КОРИСНИЦИМА'!$I$3:$I$11609)</f>
        <v>#VALUE!</v>
      </c>
      <c r="G83" s="1016" t="e">
        <f t="shared" si="2"/>
        <v>#VALUE!</v>
      </c>
      <c r="H83" s="1017"/>
    </row>
    <row r="84" spans="1:8" ht="12.75" hidden="1">
      <c r="A84" s="1008"/>
      <c r="B84" s="1008" t="s">
        <v>932</v>
      </c>
      <c r="C84" s="1015">
        <f>_xlfn.IFERROR(VLOOKUP(B84,'[1]ПО КОРИСНИЦИМА'!$C$3:$J$11609,5,FALSE),"")</f>
      </c>
      <c r="D84" s="1019" t="e">
        <f>SUMIF('[1]ПО КОРИСНИЦИМА'!$G$3:$G$11609,"Свега за пројекат 0601-П37:",'[1]ПО КОРИСНИЦИМА'!$H$3:$H$11609)</f>
        <v>#VALUE!</v>
      </c>
      <c r="E84" s="1013" t="e">
        <f t="shared" si="3"/>
        <v>#VALUE!</v>
      </c>
      <c r="F84" s="1020" t="e">
        <f>SUMIF('[1]ПО КОРИСНИЦИМА'!$G$3:$G$11609,"Свега за пројекат 0601-П37:",'[1]ПО КОРИСНИЦИМА'!$I$3:$I$11609)</f>
        <v>#VALUE!</v>
      </c>
      <c r="G84" s="1016" t="e">
        <f t="shared" si="2"/>
        <v>#VALUE!</v>
      </c>
      <c r="H84" s="1017"/>
    </row>
    <row r="85" spans="1:8" ht="12.75" hidden="1">
      <c r="A85" s="1008"/>
      <c r="B85" s="1008" t="s">
        <v>933</v>
      </c>
      <c r="C85" s="1015">
        <f>_xlfn.IFERROR(VLOOKUP(B85,'[1]ПО КОРИСНИЦИМА'!$C$3:$J$11609,5,FALSE),"")</f>
      </c>
      <c r="D85" s="1019" t="e">
        <f>SUMIF('[1]ПО КОРИСНИЦИМА'!$G$3:$G$11609,"Свега за пројекат 0601-П38:",'[1]ПО КОРИСНИЦИМА'!$H$3:$H$11609)</f>
        <v>#VALUE!</v>
      </c>
      <c r="E85" s="1013" t="e">
        <f t="shared" si="3"/>
        <v>#VALUE!</v>
      </c>
      <c r="F85" s="1020" t="e">
        <f>SUMIF('[1]ПО КОРИСНИЦИМА'!$G$3:$G$11609,"Свега за пројекат 0601-П38:",'[1]ПО КОРИСНИЦИМА'!$I$3:$I$11609)</f>
        <v>#VALUE!</v>
      </c>
      <c r="G85" s="1016" t="e">
        <f t="shared" si="2"/>
        <v>#VALUE!</v>
      </c>
      <c r="H85" s="1017"/>
    </row>
    <row r="86" spans="1:8" ht="12.75" hidden="1">
      <c r="A86" s="1008"/>
      <c r="B86" s="1008" t="s">
        <v>934</v>
      </c>
      <c r="C86" s="1015">
        <f>_xlfn.IFERROR(VLOOKUP(B86,'[1]ПО КОРИСНИЦИМА'!$C$3:$J$11609,5,FALSE),"")</f>
      </c>
      <c r="D86" s="1019" t="e">
        <f>SUMIF('[1]ПО КОРИСНИЦИМА'!$G$3:$G$11609,"Свега за пројекат 0601-П39:",'[1]ПО КОРИСНИЦИМА'!$H$3:$H$11609)</f>
        <v>#VALUE!</v>
      </c>
      <c r="E86" s="1013" t="e">
        <f t="shared" si="3"/>
        <v>#VALUE!</v>
      </c>
      <c r="F86" s="1020" t="e">
        <f>SUMIF('[1]ПО КОРИСНИЦИМА'!$G$3:$G$11609,"Свега за пројекат 0601-П39:",'[1]ПО КОРИСНИЦИМА'!$I$3:$I$11609)</f>
        <v>#VALUE!</v>
      </c>
      <c r="G86" s="1016" t="e">
        <f t="shared" si="2"/>
        <v>#VALUE!</v>
      </c>
      <c r="H86" s="1017"/>
    </row>
    <row r="87" spans="1:8" ht="12.75" hidden="1">
      <c r="A87" s="1008"/>
      <c r="B87" s="1008" t="s">
        <v>935</v>
      </c>
      <c r="C87" s="1015">
        <f>_xlfn.IFERROR(VLOOKUP(B87,'[1]ПО КОРИСНИЦИМА'!$C$3:$J$11609,5,FALSE),"")</f>
      </c>
      <c r="D87" s="1019" t="e">
        <f>SUMIF('[1]ПО КОРИСНИЦИМА'!$G$3:$G$11609,"Свега за пројекат 0601-П40:",'[1]ПО КОРИСНИЦИМА'!$H$3:$H$11609)</f>
        <v>#VALUE!</v>
      </c>
      <c r="E87" s="1013" t="e">
        <f t="shared" si="3"/>
        <v>#VALUE!</v>
      </c>
      <c r="F87" s="1020" t="e">
        <f>SUMIF('[1]ПО КОРИСНИЦИМА'!$G$3:$G$11609,"Свега за пројекат 0601-П40:",'[1]ПО КОРИСНИЦИМА'!$I$3:$I$11609)</f>
        <v>#VALUE!</v>
      </c>
      <c r="G87" s="1016" t="e">
        <f t="shared" si="2"/>
        <v>#VALUE!</v>
      </c>
      <c r="H87" s="1017"/>
    </row>
    <row r="88" spans="1:8" ht="12.75" hidden="1">
      <c r="A88" s="1008"/>
      <c r="B88" s="1008" t="s">
        <v>936</v>
      </c>
      <c r="C88" s="1015">
        <f>_xlfn.IFERROR(VLOOKUP(B88,'[1]ПО КОРИСНИЦИМА'!$C$3:$J$11609,5,FALSE),"")</f>
      </c>
      <c r="D88" s="1019" t="e">
        <f>SUMIF('[1]ПО КОРИСНИЦИМА'!$G$3:$G$11609,"Свега за пројекат 0601-П41:",'[1]ПО КОРИСНИЦИМА'!$H$3:$H$11609)</f>
        <v>#VALUE!</v>
      </c>
      <c r="E88" s="1013" t="e">
        <f t="shared" si="3"/>
        <v>#VALUE!</v>
      </c>
      <c r="F88" s="1020" t="e">
        <f>SUMIF('[1]ПО КОРИСНИЦИМА'!$G$3:$G$11609,"Свега за пројекат 0601-П41:",'[1]ПО КОРИСНИЦИМА'!$I$3:$I$11609)</f>
        <v>#VALUE!</v>
      </c>
      <c r="G88" s="1016" t="e">
        <f t="shared" si="2"/>
        <v>#VALUE!</v>
      </c>
      <c r="H88" s="1017"/>
    </row>
    <row r="89" spans="1:8" ht="12.75" hidden="1">
      <c r="A89" s="1008"/>
      <c r="B89" s="1008" t="s">
        <v>937</v>
      </c>
      <c r="C89" s="1015">
        <f>_xlfn.IFERROR(VLOOKUP(B89,'[1]ПО КОРИСНИЦИМА'!$C$3:$J$11609,5,FALSE),"")</f>
      </c>
      <c r="D89" s="1019" t="e">
        <f>SUMIF('[1]ПО КОРИСНИЦИМА'!$G$3:$G$11609,"Свега за пројекат 0601-П42:",'[1]ПО КОРИСНИЦИМА'!$H$3:$H$11609)</f>
        <v>#VALUE!</v>
      </c>
      <c r="E89" s="1013" t="e">
        <f t="shared" si="3"/>
        <v>#VALUE!</v>
      </c>
      <c r="F89" s="1020" t="e">
        <f>SUMIF('[1]ПО КОРИСНИЦИМА'!$G$3:$G$11609,"Свега за пројекат 0601-П42:",'[1]ПО КОРИСНИЦИМА'!$I$3:$I$11609)</f>
        <v>#VALUE!</v>
      </c>
      <c r="G89" s="1016" t="e">
        <f t="shared" si="2"/>
        <v>#VALUE!</v>
      </c>
      <c r="H89" s="1017"/>
    </row>
    <row r="90" spans="1:8" ht="12.75" hidden="1">
      <c r="A90" s="1008"/>
      <c r="B90" s="1008" t="s">
        <v>938</v>
      </c>
      <c r="C90" s="1015">
        <f>_xlfn.IFERROR(VLOOKUP(B90,'[1]ПО КОРИСНИЦИМА'!$C$3:$J$11609,5,FALSE),"")</f>
      </c>
      <c r="D90" s="1019" t="e">
        <f>SUMIF('[1]ПО КОРИСНИЦИМА'!$G$3:$G$11609,"Свега за пројекат 0601-П43:",'[1]ПО КОРИСНИЦИМА'!$H$3:$H$11609)</f>
        <v>#VALUE!</v>
      </c>
      <c r="E90" s="1013" t="e">
        <f t="shared" si="3"/>
        <v>#VALUE!</v>
      </c>
      <c r="F90" s="1020" t="e">
        <f>SUMIF('[1]ПО КОРИСНИЦИМА'!$G$3:$G$11609,"Свега за пројекат 0601-П43:",'[1]ПО КОРИСНИЦИМА'!$I$3:$I$11609)</f>
        <v>#VALUE!</v>
      </c>
      <c r="G90" s="1016" t="e">
        <f t="shared" si="2"/>
        <v>#VALUE!</v>
      </c>
      <c r="H90" s="1017"/>
    </row>
    <row r="91" spans="1:8" ht="12.75" hidden="1">
      <c r="A91" s="1008"/>
      <c r="B91" s="1008" t="s">
        <v>939</v>
      </c>
      <c r="C91" s="1015">
        <f>_xlfn.IFERROR(VLOOKUP(B91,'[1]ПО КОРИСНИЦИМА'!$C$3:$J$11609,5,FALSE),"")</f>
      </c>
      <c r="D91" s="1019" t="e">
        <f>SUMIF('[1]ПО КОРИСНИЦИМА'!$G$3:$G$11609,"Свега за пројекат 0601-П44:",'[1]ПО КОРИСНИЦИМА'!$H$3:$H$11609)</f>
        <v>#VALUE!</v>
      </c>
      <c r="E91" s="1013" t="e">
        <f t="shared" si="3"/>
        <v>#VALUE!</v>
      </c>
      <c r="F91" s="1020" t="e">
        <f>SUMIF('[1]ПО КОРИСНИЦИМА'!$G$3:$G$11609,"Свега за пројекат 0601-П44:",'[1]ПО КОРИСНИЦИМА'!$I$3:$I$11609)</f>
        <v>#VALUE!</v>
      </c>
      <c r="G91" s="1016" t="e">
        <f t="shared" si="2"/>
        <v>#VALUE!</v>
      </c>
      <c r="H91" s="1017"/>
    </row>
    <row r="92" spans="1:8" ht="12.75" hidden="1">
      <c r="A92" s="1008"/>
      <c r="B92" s="1008" t="s">
        <v>940</v>
      </c>
      <c r="C92" s="1015">
        <f>_xlfn.IFERROR(VLOOKUP(B92,'[1]ПО КОРИСНИЦИМА'!$C$3:$J$11609,5,FALSE),"")</f>
      </c>
      <c r="D92" s="1019" t="e">
        <f>SUMIF('[1]ПО КОРИСНИЦИМА'!$G$3:$G$11609,"Свега за пројекат 0601-П45:",'[1]ПО КОРИСНИЦИМА'!$H$3:$H$11609)</f>
        <v>#VALUE!</v>
      </c>
      <c r="E92" s="1013" t="e">
        <f t="shared" si="3"/>
        <v>#VALUE!</v>
      </c>
      <c r="F92" s="1020" t="e">
        <f>SUMIF('[1]ПО КОРИСНИЦИМА'!$G$3:$G$11609,"Свега за пројекат 0601-П45:",'[1]ПО КОРИСНИЦИМА'!$I$3:$I$11609)</f>
        <v>#VALUE!</v>
      </c>
      <c r="G92" s="1016" t="e">
        <f t="shared" si="2"/>
        <v>#VALUE!</v>
      </c>
      <c r="H92" s="1017"/>
    </row>
    <row r="93" spans="1:8" ht="12.75" hidden="1">
      <c r="A93" s="1008"/>
      <c r="B93" s="1008" t="s">
        <v>941</v>
      </c>
      <c r="C93" s="1015">
        <f>_xlfn.IFERROR(VLOOKUP(B93,'[1]ПО КОРИСНИЦИМА'!$C$3:$J$11609,5,FALSE),"")</f>
      </c>
      <c r="D93" s="1019" t="e">
        <f>SUMIF('[1]ПО КОРИСНИЦИМА'!$G$3:$G$11609,"Свега за пројекат 0601-П46:",'[1]ПО КОРИСНИЦИМА'!$H$3:$H$11609)</f>
        <v>#VALUE!</v>
      </c>
      <c r="E93" s="1013" t="e">
        <f t="shared" si="3"/>
        <v>#VALUE!</v>
      </c>
      <c r="F93" s="1020" t="e">
        <f>SUMIF('[1]ПО КОРИСНИЦИМА'!$G$3:$G$11609,"Свега за пројекат 0601-П46:",'[1]ПО КОРИСНИЦИМА'!$I$3:$I$11609)</f>
        <v>#VALUE!</v>
      </c>
      <c r="G93" s="1016" t="e">
        <f t="shared" si="2"/>
        <v>#VALUE!</v>
      </c>
      <c r="H93" s="1017"/>
    </row>
    <row r="94" spans="1:8" ht="12.75" hidden="1">
      <c r="A94" s="1008"/>
      <c r="B94" s="1008" t="s">
        <v>942</v>
      </c>
      <c r="C94" s="1015">
        <f>_xlfn.IFERROR(VLOOKUP(B94,'[1]ПО КОРИСНИЦИМА'!$C$3:$J$11609,5,FALSE),"")</f>
      </c>
      <c r="D94" s="1019" t="e">
        <f>SUMIF('[1]ПО КОРИСНИЦИМА'!$G$3:$G$11609,"Свега за пројекат 0601-П47:",'[1]ПО КОРИСНИЦИМА'!$H$3:$H$11609)</f>
        <v>#VALUE!</v>
      </c>
      <c r="E94" s="1013" t="e">
        <f t="shared" si="3"/>
        <v>#VALUE!</v>
      </c>
      <c r="F94" s="1020" t="e">
        <f>SUMIF('[1]ПО КОРИСНИЦИМА'!$G$3:$G$11609,"Свега за пројекат 0601-П47:",'[1]ПО КОРИСНИЦИМА'!$I$3:$I$11609)</f>
        <v>#VALUE!</v>
      </c>
      <c r="G94" s="1016" t="e">
        <f t="shared" si="2"/>
        <v>#VALUE!</v>
      </c>
      <c r="H94" s="1017"/>
    </row>
    <row r="95" spans="1:8" ht="12.75" hidden="1">
      <c r="A95" s="1008"/>
      <c r="B95" s="1008" t="s">
        <v>943</v>
      </c>
      <c r="C95" s="1015">
        <f>_xlfn.IFERROR(VLOOKUP(B95,'[1]ПО КОРИСНИЦИМА'!$C$3:$J$11609,5,FALSE),"")</f>
      </c>
      <c r="D95" s="1019" t="e">
        <f>SUMIF('[1]ПО КОРИСНИЦИМА'!$G$3:$G$11609,"Свега за пројекат 0601-П48:",'[1]ПО КОРИСНИЦИМА'!$H$3:$H$11609)</f>
        <v>#VALUE!</v>
      </c>
      <c r="E95" s="1013" t="e">
        <f t="shared" si="3"/>
        <v>#VALUE!</v>
      </c>
      <c r="F95" s="1020" t="e">
        <f>SUMIF('[1]ПО КОРИСНИЦИМА'!$G$3:$G$11609,"Свега за пројекат 0601-П48:",'[1]ПО КОРИСНИЦИМА'!$I$3:$I$11609)</f>
        <v>#VALUE!</v>
      </c>
      <c r="G95" s="1016" t="e">
        <f t="shared" si="2"/>
        <v>#VALUE!</v>
      </c>
      <c r="H95" s="1017"/>
    </row>
    <row r="96" spans="1:8" ht="12.75" hidden="1">
      <c r="A96" s="1008"/>
      <c r="B96" s="1008" t="s">
        <v>944</v>
      </c>
      <c r="C96" s="1015">
        <f>_xlfn.IFERROR(VLOOKUP(B96,'[1]ПО КОРИСНИЦИМА'!$C$3:$J$11609,5,FALSE),"")</f>
      </c>
      <c r="D96" s="1019" t="e">
        <f>SUMIF('[1]ПО КОРИСНИЦИМА'!$G$3:$G$11609,"Свега за пројекат 0601-П49:",'[1]ПО КОРИСНИЦИМА'!$H$3:$H$11609)</f>
        <v>#VALUE!</v>
      </c>
      <c r="E96" s="1013" t="e">
        <f t="shared" si="3"/>
        <v>#VALUE!</v>
      </c>
      <c r="F96" s="1020" t="e">
        <f>SUMIF('[1]ПО КОРИСНИЦИМА'!$G$3:$G$11609,"Свега за пројекат 0601-П49:",'[1]ПО КОРИСНИЦИМА'!$I$3:$I$11609)</f>
        <v>#VALUE!</v>
      </c>
      <c r="G96" s="1016" t="e">
        <f t="shared" si="2"/>
        <v>#VALUE!</v>
      </c>
      <c r="H96" s="1017"/>
    </row>
    <row r="97" spans="1:8" ht="12.75" hidden="1">
      <c r="A97" s="1008"/>
      <c r="B97" s="1008" t="s">
        <v>945</v>
      </c>
      <c r="C97" s="1015">
        <f>_xlfn.IFERROR(VLOOKUP(B97,'[1]ПО КОРИСНИЦИМА'!$C$3:$J$11609,5,FALSE),"")</f>
      </c>
      <c r="D97" s="1019" t="e">
        <f>SUMIF('[1]ПО КОРИСНИЦИМА'!$G$3:$G$11609,"Свега за пројекат 0601-П50:",'[1]ПО КОРИСНИЦИМА'!$H$3:$H$11609)</f>
        <v>#VALUE!</v>
      </c>
      <c r="E97" s="1013" t="e">
        <f t="shared" si="3"/>
        <v>#VALUE!</v>
      </c>
      <c r="F97" s="1020" t="e">
        <f>SUMIF('[1]ПО КОРИСНИЦИМА'!$G$3:$G$11609,"Свега за пројекат 0601-П50:",'[1]ПО КОРИСНИЦИМА'!$I$3:$I$11609)</f>
        <v>#VALUE!</v>
      </c>
      <c r="G97" s="1016" t="e">
        <f t="shared" si="2"/>
        <v>#VALUE!</v>
      </c>
      <c r="H97" s="1017"/>
    </row>
    <row r="98" spans="1:8" ht="12.75">
      <c r="A98" s="1009" t="s">
        <v>819</v>
      </c>
      <c r="B98" s="1010"/>
      <c r="C98" s="1011" t="s">
        <v>1162</v>
      </c>
      <c r="D98" s="1012">
        <f>SUM(D99:D105)</f>
        <v>11772000</v>
      </c>
      <c r="E98" s="1013">
        <f t="shared" si="3"/>
        <v>0.025970325496886153</v>
      </c>
      <c r="F98" s="1012">
        <f>SUM(F103:F105)</f>
        <v>11496453.5</v>
      </c>
      <c r="G98" s="1012">
        <f t="shared" si="2"/>
        <v>23268453.5</v>
      </c>
      <c r="H98" s="1014"/>
    </row>
    <row r="99" spans="1:8" ht="12.75">
      <c r="A99" s="1008"/>
      <c r="B99" s="1008" t="s">
        <v>837</v>
      </c>
      <c r="C99" s="1021" t="s">
        <v>1361</v>
      </c>
      <c r="D99" s="1016">
        <f>'Rashodi-2021'!M330</f>
        <v>5300000</v>
      </c>
      <c r="E99" s="1486">
        <f t="shared" si="3"/>
        <v>0.011692382359284456</v>
      </c>
      <c r="F99" s="1018">
        <f>'Rashodi-2021'!T330</f>
        <v>0</v>
      </c>
      <c r="G99" s="1016">
        <f t="shared" si="2"/>
        <v>5300000</v>
      </c>
      <c r="H99" s="1017" t="s">
        <v>1166</v>
      </c>
    </row>
    <row r="100" spans="1:8" ht="12.75" hidden="1">
      <c r="A100" s="1008"/>
      <c r="B100" s="1008" t="s">
        <v>838</v>
      </c>
      <c r="C100" s="1021" t="s">
        <v>839</v>
      </c>
      <c r="D100" s="1016"/>
      <c r="E100" s="1486">
        <f t="shared" si="3"/>
        <v>0</v>
      </c>
      <c r="F100" s="1018"/>
      <c r="G100" s="1016">
        <f t="shared" si="2"/>
        <v>0</v>
      </c>
      <c r="H100" s="1017"/>
    </row>
    <row r="101" spans="1:8" ht="12.75" hidden="1">
      <c r="A101" s="1008"/>
      <c r="B101" s="1008" t="s">
        <v>840</v>
      </c>
      <c r="C101" s="1021" t="s">
        <v>841</v>
      </c>
      <c r="D101" s="1016"/>
      <c r="E101" s="1486">
        <f t="shared" si="3"/>
        <v>0</v>
      </c>
      <c r="F101" s="1018"/>
      <c r="G101" s="1016">
        <f t="shared" si="2"/>
        <v>0</v>
      </c>
      <c r="H101" s="1017"/>
    </row>
    <row r="102" spans="1:8" ht="12.75" hidden="1">
      <c r="A102" s="1008"/>
      <c r="B102" s="1008" t="s">
        <v>842</v>
      </c>
      <c r="C102" s="1021" t="s">
        <v>843</v>
      </c>
      <c r="D102" s="1016"/>
      <c r="E102" s="1486">
        <f t="shared" si="3"/>
        <v>0</v>
      </c>
      <c r="F102" s="1018"/>
      <c r="G102" s="1016">
        <f t="shared" si="2"/>
        <v>0</v>
      </c>
      <c r="H102" s="1017"/>
    </row>
    <row r="103" spans="1:8" ht="12.75">
      <c r="A103" s="1008"/>
      <c r="B103" s="1008" t="s">
        <v>838</v>
      </c>
      <c r="C103" s="1021" t="s">
        <v>1249</v>
      </c>
      <c r="D103" s="1016">
        <f>'Rashodi-2021'!M337</f>
        <v>1500000</v>
      </c>
      <c r="E103" s="1486">
        <f t="shared" si="3"/>
        <v>0.0033091648186654122</v>
      </c>
      <c r="F103" s="1016">
        <f>'Rashodi-2021'!T337</f>
        <v>0</v>
      </c>
      <c r="G103" s="1016">
        <f t="shared" si="2"/>
        <v>1500000</v>
      </c>
      <c r="H103" s="1017" t="s">
        <v>1166</v>
      </c>
    </row>
    <row r="104" spans="1:8" ht="12.75">
      <c r="A104" s="1008"/>
      <c r="B104" s="1008" t="s">
        <v>840</v>
      </c>
      <c r="C104" s="1015" t="s">
        <v>1330</v>
      </c>
      <c r="D104" s="1019">
        <f>'Rashodi-2021'!M333</f>
        <v>4000000</v>
      </c>
      <c r="E104" s="1486">
        <f t="shared" si="3"/>
        <v>0.008824439516441098</v>
      </c>
      <c r="F104" s="1019">
        <f>'Rashodi-2021'!T333</f>
        <v>0</v>
      </c>
      <c r="G104" s="1016">
        <f t="shared" si="2"/>
        <v>4000000</v>
      </c>
      <c r="H104" s="1017" t="s">
        <v>1166</v>
      </c>
    </row>
    <row r="105" spans="1:8" ht="22.5" customHeight="1">
      <c r="A105" s="1008"/>
      <c r="B105" s="1008" t="s">
        <v>947</v>
      </c>
      <c r="C105" s="1025" t="s">
        <v>1292</v>
      </c>
      <c r="D105" s="1019">
        <f>'Rashodi-2021'!M326</f>
        <v>972000</v>
      </c>
      <c r="E105" s="1486">
        <f t="shared" si="3"/>
        <v>0.002144338802495187</v>
      </c>
      <c r="F105" s="1020">
        <f>'Rashodi-2021'!T326</f>
        <v>11496453.5</v>
      </c>
      <c r="G105" s="1016">
        <f t="shared" si="2"/>
        <v>12468453.5</v>
      </c>
      <c r="H105" s="1017" t="s">
        <v>1166</v>
      </c>
    </row>
    <row r="106" spans="1:8" ht="12.75" hidden="1">
      <c r="A106" s="1008"/>
      <c r="B106" s="1008" t="s">
        <v>946</v>
      </c>
      <c r="C106" s="1021"/>
      <c r="D106" s="1019"/>
      <c r="E106" s="1013">
        <f t="shared" si="3"/>
        <v>0</v>
      </c>
      <c r="F106" s="1020"/>
      <c r="G106" s="1016">
        <f t="shared" si="2"/>
        <v>0</v>
      </c>
      <c r="H106" s="1017"/>
    </row>
    <row r="107" spans="1:8" ht="12.75" hidden="1">
      <c r="A107" s="1008"/>
      <c r="B107" s="1008" t="s">
        <v>947</v>
      </c>
      <c r="C107" s="1021"/>
      <c r="D107" s="1019"/>
      <c r="E107" s="1013">
        <f t="shared" si="3"/>
        <v>0</v>
      </c>
      <c r="F107" s="1020"/>
      <c r="G107" s="1016">
        <f t="shared" si="2"/>
        <v>0</v>
      </c>
      <c r="H107" s="1017"/>
    </row>
    <row r="108" spans="1:8" ht="12.75" hidden="1">
      <c r="A108" s="1008"/>
      <c r="B108" s="1008" t="s">
        <v>948</v>
      </c>
      <c r="C108" s="1021"/>
      <c r="D108" s="1019"/>
      <c r="E108" s="1013">
        <f t="shared" si="3"/>
        <v>0</v>
      </c>
      <c r="F108" s="1020"/>
      <c r="G108" s="1016">
        <f t="shared" si="2"/>
        <v>0</v>
      </c>
      <c r="H108" s="1017"/>
    </row>
    <row r="109" spans="1:8" ht="12.75" hidden="1">
      <c r="A109" s="1008"/>
      <c r="B109" s="1008" t="s">
        <v>949</v>
      </c>
      <c r="C109" s="1021"/>
      <c r="D109" s="1019"/>
      <c r="E109" s="1013">
        <f t="shared" si="3"/>
        <v>0</v>
      </c>
      <c r="F109" s="1020"/>
      <c r="G109" s="1016">
        <f t="shared" si="2"/>
        <v>0</v>
      </c>
      <c r="H109" s="1017"/>
    </row>
    <row r="110" spans="1:8" ht="12.75" hidden="1">
      <c r="A110" s="1008"/>
      <c r="B110" s="1008" t="s">
        <v>950</v>
      </c>
      <c r="C110" s="1021"/>
      <c r="D110" s="1019"/>
      <c r="E110" s="1013">
        <f t="shared" si="3"/>
        <v>0</v>
      </c>
      <c r="F110" s="1020"/>
      <c r="G110" s="1016">
        <f t="shared" si="2"/>
        <v>0</v>
      </c>
      <c r="H110" s="1017"/>
    </row>
    <row r="111" spans="1:8" ht="12.75" hidden="1">
      <c r="A111" s="1008"/>
      <c r="B111" s="1008" t="s">
        <v>951</v>
      </c>
      <c r="C111" s="1021"/>
      <c r="D111" s="1019"/>
      <c r="E111" s="1013">
        <f t="shared" si="3"/>
        <v>0</v>
      </c>
      <c r="F111" s="1020"/>
      <c r="G111" s="1016">
        <f t="shared" si="2"/>
        <v>0</v>
      </c>
      <c r="H111" s="1017"/>
    </row>
    <row r="112" spans="1:8" ht="12.75" hidden="1">
      <c r="A112" s="1008"/>
      <c r="B112" s="1008" t="s">
        <v>952</v>
      </c>
      <c r="C112" s="1021"/>
      <c r="D112" s="1019" t="e">
        <f>SUMIF('[1]ПО КОРИСНИЦИМА'!$G$3:$G$11609,"Свега за пројекат 1501-П10:",'[1]ПО КОРИСНИЦИМА'!$H$3:$H$11609)</f>
        <v>#VALUE!</v>
      </c>
      <c r="E112" s="1013" t="e">
        <f t="shared" si="3"/>
        <v>#VALUE!</v>
      </c>
      <c r="F112" s="1020" t="e">
        <f>SUMIF('[1]ПО КОРИСНИЦИМА'!$G$3:$G$11609,"Свега за пројекат 1501-П10:",'[1]ПО КОРИСНИЦИМА'!$I$3:$I$11609)</f>
        <v>#VALUE!</v>
      </c>
      <c r="G112" s="1016" t="e">
        <f t="shared" si="2"/>
        <v>#VALUE!</v>
      </c>
      <c r="H112" s="1017"/>
    </row>
    <row r="113" spans="1:8" ht="12.75" hidden="1">
      <c r="A113" s="1008"/>
      <c r="B113" s="1008" t="s">
        <v>953</v>
      </c>
      <c r="C113" s="1021"/>
      <c r="D113" s="1019" t="e">
        <f>SUMIF('[1]ПО КОРИСНИЦИМА'!$G$3:$G$11609,"Свега за пројекат 1501-П11:",'[1]ПО КОРИСНИЦИМА'!$H$3:$H$11609)</f>
        <v>#VALUE!</v>
      </c>
      <c r="E113" s="1013" t="e">
        <f t="shared" si="3"/>
        <v>#VALUE!</v>
      </c>
      <c r="F113" s="1020" t="e">
        <f>SUMIF('[1]ПО КОРИСНИЦИМА'!$G$3:$G$11609,"Свега за пројекат 1501-П11:",'[1]ПО КОРИСНИЦИМА'!$I$3:$I$11609)</f>
        <v>#VALUE!</v>
      </c>
      <c r="G113" s="1016" t="e">
        <f t="shared" si="2"/>
        <v>#VALUE!</v>
      </c>
      <c r="H113" s="1017"/>
    </row>
    <row r="114" spans="1:8" ht="12.75" hidden="1">
      <c r="A114" s="1008"/>
      <c r="B114" s="1008" t="s">
        <v>954</v>
      </c>
      <c r="C114" s="1021"/>
      <c r="D114" s="1019" t="e">
        <f>SUMIF('[1]ПО КОРИСНИЦИМА'!$G$3:$G$11609,"Свега за пројекат 1501-П12:",'[1]ПО КОРИСНИЦИМА'!$H$3:$H$11609)</f>
        <v>#VALUE!</v>
      </c>
      <c r="E114" s="1013" t="e">
        <f t="shared" si="3"/>
        <v>#VALUE!</v>
      </c>
      <c r="F114" s="1020" t="e">
        <f>SUMIF('[1]ПО КОРИСНИЦИМА'!$G$3:$G$11609,"Свега за пројекат 1501-П12:",'[1]ПО КОРИСНИЦИМА'!$I$3:$I$11609)</f>
        <v>#VALUE!</v>
      </c>
      <c r="G114" s="1016" t="e">
        <f t="shared" si="2"/>
        <v>#VALUE!</v>
      </c>
      <c r="H114" s="1017"/>
    </row>
    <row r="115" spans="1:8" ht="12.75" hidden="1">
      <c r="A115" s="1008"/>
      <c r="B115" s="1008" t="s">
        <v>955</v>
      </c>
      <c r="C115" s="1021"/>
      <c r="D115" s="1019" t="e">
        <f>SUMIF('[1]ПО КОРИСНИЦИМА'!$G$3:$G$11609,"Свега за пројекат 1501-П13:",'[1]ПО КОРИСНИЦИМА'!$H$3:$H$11609)</f>
        <v>#VALUE!</v>
      </c>
      <c r="E115" s="1013" t="e">
        <f t="shared" si="3"/>
        <v>#VALUE!</v>
      </c>
      <c r="F115" s="1020" t="e">
        <f>SUMIF('[1]ПО КОРИСНИЦИМА'!$G$3:$G$11609,"Свега за пројекат 1501-П13:",'[1]ПО КОРИСНИЦИМА'!$I$3:$I$11609)</f>
        <v>#VALUE!</v>
      </c>
      <c r="G115" s="1016" t="e">
        <f t="shared" si="2"/>
        <v>#VALUE!</v>
      </c>
      <c r="H115" s="1017"/>
    </row>
    <row r="116" spans="1:8" ht="12.75" hidden="1">
      <c r="A116" s="1008"/>
      <c r="B116" s="1008" t="s">
        <v>956</v>
      </c>
      <c r="C116" s="1021"/>
      <c r="D116" s="1019" t="e">
        <f>SUMIF('[1]ПО КОРИСНИЦИМА'!$G$3:$G$11609,"Свега за пројекат 1501-П14:",'[1]ПО КОРИСНИЦИМА'!$H$3:$H$11609)</f>
        <v>#VALUE!</v>
      </c>
      <c r="E116" s="1013" t="e">
        <f t="shared" si="3"/>
        <v>#VALUE!</v>
      </c>
      <c r="F116" s="1020" t="e">
        <f>SUMIF('[1]ПО КОРИСНИЦИМА'!$G$3:$G$11609,"Свега за пројекат 1501-П14:",'[1]ПО КОРИСНИЦИМА'!$I$3:$I$11609)</f>
        <v>#VALUE!</v>
      </c>
      <c r="G116" s="1016" t="e">
        <f t="shared" si="2"/>
        <v>#VALUE!</v>
      </c>
      <c r="H116" s="1017"/>
    </row>
    <row r="117" spans="1:8" ht="12.75" hidden="1">
      <c r="A117" s="1008"/>
      <c r="B117" s="1008" t="s">
        <v>957</v>
      </c>
      <c r="C117" s="1021"/>
      <c r="D117" s="1019" t="e">
        <f>SUMIF('[1]ПО КОРИСНИЦИМА'!$G$3:$G$11609,"Свега за пројекат 1501-П15:",'[1]ПО КОРИСНИЦИМА'!$H$3:$H$11609)</f>
        <v>#VALUE!</v>
      </c>
      <c r="E117" s="1013" t="e">
        <f t="shared" si="3"/>
        <v>#VALUE!</v>
      </c>
      <c r="F117" s="1020" t="e">
        <f>SUMIF('[1]ПО КОРИСНИЦИМА'!$G$3:$G$11609,"Свега за пројекат 1501-П15:",'[1]ПО КОРИСНИЦИМА'!$I$3:$I$11609)</f>
        <v>#VALUE!</v>
      </c>
      <c r="G117" s="1016" t="e">
        <f t="shared" si="2"/>
        <v>#VALUE!</v>
      </c>
      <c r="H117" s="1017"/>
    </row>
    <row r="118" spans="1:8" ht="12.75" hidden="1">
      <c r="A118" s="1008"/>
      <c r="B118" s="1008" t="s">
        <v>958</v>
      </c>
      <c r="C118" s="1021"/>
      <c r="D118" s="1019" t="e">
        <f>SUMIF('[1]ПО КОРИСНИЦИМА'!$G$3:$G$11609,"Свега за пројекат 1501-П16:",'[1]ПО КОРИСНИЦИМА'!$H$3:$H$11609)</f>
        <v>#VALUE!</v>
      </c>
      <c r="E118" s="1013" t="e">
        <f t="shared" si="3"/>
        <v>#VALUE!</v>
      </c>
      <c r="F118" s="1020" t="e">
        <f>SUMIF('[1]ПО КОРИСНИЦИМА'!$G$3:$G$11609,"Свега за пројекат 1501-П16:",'[1]ПО КОРИСНИЦИМА'!$I$3:$I$11609)</f>
        <v>#VALUE!</v>
      </c>
      <c r="G118" s="1016" t="e">
        <f t="shared" si="2"/>
        <v>#VALUE!</v>
      </c>
      <c r="H118" s="1017"/>
    </row>
    <row r="119" spans="1:8" ht="12.75" hidden="1">
      <c r="A119" s="1008"/>
      <c r="B119" s="1008" t="s">
        <v>959</v>
      </c>
      <c r="C119" s="1021"/>
      <c r="D119" s="1019" t="e">
        <f>SUMIF('[1]ПО КОРИСНИЦИМА'!$G$3:$G$11609,"Свега за пројекат 1501-П17:",'[1]ПО КОРИСНИЦИМА'!$H$3:$H$11609)</f>
        <v>#VALUE!</v>
      </c>
      <c r="E119" s="1013" t="e">
        <f t="shared" si="3"/>
        <v>#VALUE!</v>
      </c>
      <c r="F119" s="1020" t="e">
        <f>SUMIF('[1]ПО КОРИСНИЦИМА'!$G$3:$G$11609,"Свега за пројекат 1501-П17:",'[1]ПО КОРИСНИЦИМА'!$I$3:$I$11609)</f>
        <v>#VALUE!</v>
      </c>
      <c r="G119" s="1016" t="e">
        <f t="shared" si="2"/>
        <v>#VALUE!</v>
      </c>
      <c r="H119" s="1017"/>
    </row>
    <row r="120" spans="1:8" ht="12.75" hidden="1">
      <c r="A120" s="1008"/>
      <c r="B120" s="1008" t="s">
        <v>960</v>
      </c>
      <c r="C120" s="1021"/>
      <c r="D120" s="1019" t="e">
        <f>SUMIF('[1]ПО КОРИСНИЦИМА'!$G$3:$G$11609,"Свега за пројекат 1501-П18:",'[1]ПО КОРИСНИЦИМА'!$H$3:$H$11609)</f>
        <v>#VALUE!</v>
      </c>
      <c r="E120" s="1013" t="e">
        <f t="shared" si="3"/>
        <v>#VALUE!</v>
      </c>
      <c r="F120" s="1020" t="e">
        <f>SUMIF('[1]ПО КОРИСНИЦИМА'!$G$3:$G$11609,"Свега за пројекат 1501-П18:",'[1]ПО КОРИСНИЦИМА'!$I$3:$I$11609)</f>
        <v>#VALUE!</v>
      </c>
      <c r="G120" s="1016" t="e">
        <f t="shared" si="2"/>
        <v>#VALUE!</v>
      </c>
      <c r="H120" s="1017"/>
    </row>
    <row r="121" spans="1:8" ht="12.75" hidden="1">
      <c r="A121" s="1008"/>
      <c r="B121" s="1008" t="s">
        <v>961</v>
      </c>
      <c r="C121" s="1021"/>
      <c r="D121" s="1019" t="e">
        <f>SUMIF('[1]ПО КОРИСНИЦИМА'!$G$3:$G$11609,"Свега за пројекат 1501-П19:",'[1]ПО КОРИСНИЦИМА'!$H$3:$H$11609)</f>
        <v>#VALUE!</v>
      </c>
      <c r="E121" s="1013" t="e">
        <f t="shared" si="3"/>
        <v>#VALUE!</v>
      </c>
      <c r="F121" s="1020" t="e">
        <f>SUMIF('[1]ПО КОРИСНИЦИМА'!$G$3:$G$11609,"Свега за пројекат 1501-П19:",'[1]ПО КОРИСНИЦИМА'!$I$3:$I$11609)</f>
        <v>#VALUE!</v>
      </c>
      <c r="G121" s="1016" t="e">
        <f t="shared" si="2"/>
        <v>#VALUE!</v>
      </c>
      <c r="H121" s="1017"/>
    </row>
    <row r="122" spans="1:8" ht="12.75" hidden="1">
      <c r="A122" s="1008"/>
      <c r="B122" s="1008" t="s">
        <v>962</v>
      </c>
      <c r="C122" s="1021"/>
      <c r="D122" s="1019" t="e">
        <f>SUMIF('[1]ПО КОРИСНИЦИМА'!$G$3:$G$11609,"Свега за пројекат 1501-П20:",'[1]ПО КОРИСНИЦИМА'!$H$3:$H$11609)</f>
        <v>#VALUE!</v>
      </c>
      <c r="E122" s="1013" t="e">
        <f t="shared" si="3"/>
        <v>#VALUE!</v>
      </c>
      <c r="F122" s="1020" t="e">
        <f>SUMIF('[1]ПО КОРИСНИЦИМА'!$G$3:$G$11609,"Свега за пројекат 1501-П20:",'[1]ПО КОРИСНИЦИМА'!$I$3:$I$11609)</f>
        <v>#VALUE!</v>
      </c>
      <c r="G122" s="1016" t="e">
        <f t="shared" si="2"/>
        <v>#VALUE!</v>
      </c>
      <c r="H122" s="1017"/>
    </row>
    <row r="123" spans="1:8" ht="12.75" hidden="1">
      <c r="A123" s="1008"/>
      <c r="B123" s="1008" t="s">
        <v>963</v>
      </c>
      <c r="C123" s="1021"/>
      <c r="D123" s="1019" t="e">
        <f>SUMIF('[1]ПО КОРИСНИЦИМА'!$G$3:$G$11609,"Свега за пројекат 1501-П21:",'[1]ПО КОРИСНИЦИМА'!$H$3:$H$11609)</f>
        <v>#VALUE!</v>
      </c>
      <c r="E123" s="1013" t="e">
        <f t="shared" si="3"/>
        <v>#VALUE!</v>
      </c>
      <c r="F123" s="1020" t="e">
        <f>SUMIF('[1]ПО КОРИСНИЦИМА'!$G$3:$G$11609,"Свега за пројекат 1501-П21:",'[1]ПО КОРИСНИЦИМА'!$I$3:$I$11609)</f>
        <v>#VALUE!</v>
      </c>
      <c r="G123" s="1016" t="e">
        <f t="shared" si="2"/>
        <v>#VALUE!</v>
      </c>
      <c r="H123" s="1017"/>
    </row>
    <row r="124" spans="1:8" ht="12.75" hidden="1">
      <c r="A124" s="1008"/>
      <c r="B124" s="1008" t="s">
        <v>964</v>
      </c>
      <c r="C124" s="1021"/>
      <c r="D124" s="1019" t="e">
        <f>SUMIF('[1]ПО КОРИСНИЦИМА'!$G$3:$G$11609,"Свега за пројекат 1501-П22:",'[1]ПО КОРИСНИЦИМА'!$H$3:$H$11609)</f>
        <v>#VALUE!</v>
      </c>
      <c r="E124" s="1013" t="e">
        <f t="shared" si="3"/>
        <v>#VALUE!</v>
      </c>
      <c r="F124" s="1020" t="e">
        <f>SUMIF('[1]ПО КОРИСНИЦИМА'!$G$3:$G$11609,"Свега за пројекат 1501-П22:",'[1]ПО КОРИСНИЦИМА'!$I$3:$I$11609)</f>
        <v>#VALUE!</v>
      </c>
      <c r="G124" s="1016" t="e">
        <f t="shared" si="2"/>
        <v>#VALUE!</v>
      </c>
      <c r="H124" s="1017"/>
    </row>
    <row r="125" spans="1:8" ht="12.75" hidden="1">
      <c r="A125" s="1008"/>
      <c r="B125" s="1008" t="s">
        <v>965</v>
      </c>
      <c r="C125" s="1021"/>
      <c r="D125" s="1019" t="e">
        <f>SUMIF('[1]ПО КОРИСНИЦИМА'!$G$3:$G$11609,"Свега за пројекат 1501-П23:",'[1]ПО КОРИСНИЦИМА'!$H$3:$H$11609)</f>
        <v>#VALUE!</v>
      </c>
      <c r="E125" s="1013" t="e">
        <f t="shared" si="3"/>
        <v>#VALUE!</v>
      </c>
      <c r="F125" s="1020" t="e">
        <f>SUMIF('[1]ПО КОРИСНИЦИМА'!$G$3:$G$11609,"Свега за пројекат 1501-П23:",'[1]ПО КОРИСНИЦИМА'!$I$3:$I$11609)</f>
        <v>#VALUE!</v>
      </c>
      <c r="G125" s="1016" t="e">
        <f t="shared" si="2"/>
        <v>#VALUE!</v>
      </c>
      <c r="H125" s="1017"/>
    </row>
    <row r="126" spans="1:8" ht="12.75" hidden="1">
      <c r="A126" s="1008"/>
      <c r="B126" s="1008" t="s">
        <v>966</v>
      </c>
      <c r="C126" s="1021"/>
      <c r="D126" s="1019" t="e">
        <f>SUMIF('[1]ПО КОРИСНИЦИМА'!$G$3:$G$11609,"Свега за пројекат 1501-П24:",'[1]ПО КОРИСНИЦИМА'!$H$3:$H$11609)</f>
        <v>#VALUE!</v>
      </c>
      <c r="E126" s="1013" t="e">
        <f t="shared" si="3"/>
        <v>#VALUE!</v>
      </c>
      <c r="F126" s="1020" t="e">
        <f>SUMIF('[1]ПО КОРИСНИЦИМА'!$G$3:$G$11609,"Свега за пројекат 1501-П24:",'[1]ПО КОРИСНИЦИМА'!$I$3:$I$11609)</f>
        <v>#VALUE!</v>
      </c>
      <c r="G126" s="1016" t="e">
        <f t="shared" si="2"/>
        <v>#VALUE!</v>
      </c>
      <c r="H126" s="1017"/>
    </row>
    <row r="127" spans="1:8" s="320" customFormat="1" ht="12.75" customHeight="1" hidden="1">
      <c r="A127" s="1009" t="s">
        <v>820</v>
      </c>
      <c r="B127" s="1010"/>
      <c r="C127" s="1011" t="s">
        <v>1163</v>
      </c>
      <c r="D127" s="1012">
        <f>SUM(D128:D143)</f>
        <v>0</v>
      </c>
      <c r="E127" s="1013">
        <f t="shared" si="3"/>
        <v>0</v>
      </c>
      <c r="F127" s="1026">
        <f>SUM(F128:F143)</f>
        <v>0</v>
      </c>
      <c r="G127" s="1012">
        <f t="shared" si="2"/>
        <v>0</v>
      </c>
      <c r="H127" s="1027"/>
    </row>
    <row r="128" spans="1:8" ht="12.75" customHeight="1" hidden="1">
      <c r="A128" s="1008"/>
      <c r="B128" s="1028" t="s">
        <v>850</v>
      </c>
      <c r="C128" s="1029" t="s">
        <v>844</v>
      </c>
      <c r="D128" s="1016"/>
      <c r="E128" s="1013">
        <f t="shared" si="3"/>
        <v>0</v>
      </c>
      <c r="F128" s="1018"/>
      <c r="G128" s="1016">
        <f t="shared" si="2"/>
        <v>0</v>
      </c>
      <c r="H128" s="1017"/>
    </row>
    <row r="129" spans="1:8" ht="12.75" customHeight="1" hidden="1">
      <c r="A129" s="1008"/>
      <c r="B129" s="1030" t="s">
        <v>871</v>
      </c>
      <c r="C129" s="1029" t="s">
        <v>845</v>
      </c>
      <c r="D129" s="1016"/>
      <c r="E129" s="1013">
        <f t="shared" si="3"/>
        <v>0</v>
      </c>
      <c r="F129" s="1018"/>
      <c r="G129" s="1016">
        <f t="shared" si="2"/>
        <v>0</v>
      </c>
      <c r="H129" s="1017"/>
    </row>
    <row r="130" spans="1:8" ht="12.75" customHeight="1" hidden="1">
      <c r="A130" s="1030"/>
      <c r="B130" s="1008" t="s">
        <v>967</v>
      </c>
      <c r="C130" s="1015">
        <f>_xlfn.IFERROR(VLOOKUP(B130,'[1]ПО КОРИСНИЦИМА'!$C$3:$J$11609,5,FALSE),"")</f>
      </c>
      <c r="D130" s="1019"/>
      <c r="E130" s="1013">
        <f t="shared" si="3"/>
        <v>0</v>
      </c>
      <c r="F130" s="1020"/>
      <c r="G130" s="1016">
        <f t="shared" si="2"/>
        <v>0</v>
      </c>
      <c r="H130" s="1017"/>
    </row>
    <row r="131" spans="1:8" ht="12.75" customHeight="1" hidden="1">
      <c r="A131" s="1030"/>
      <c r="B131" s="1008" t="s">
        <v>968</v>
      </c>
      <c r="C131" s="1015">
        <f>_xlfn.IFERROR(VLOOKUP(B131,'[1]ПО КОРИСНИЦИМА'!$C$3:$J$11609,5,FALSE),"")</f>
      </c>
      <c r="D131" s="1019"/>
      <c r="E131" s="1013">
        <f t="shared" si="3"/>
        <v>0</v>
      </c>
      <c r="F131" s="1020"/>
      <c r="G131" s="1016">
        <f t="shared" si="2"/>
        <v>0</v>
      </c>
      <c r="H131" s="1017"/>
    </row>
    <row r="132" spans="1:8" ht="12.75" customHeight="1" hidden="1">
      <c r="A132" s="1030"/>
      <c r="B132" s="1008" t="s">
        <v>969</v>
      </c>
      <c r="C132" s="1015">
        <f>_xlfn.IFERROR(VLOOKUP(B132,'[1]ПО КОРИСНИЦИМА'!$C$3:$J$11609,5,FALSE),"")</f>
      </c>
      <c r="D132" s="1019"/>
      <c r="E132" s="1013">
        <f t="shared" si="3"/>
        <v>0</v>
      </c>
      <c r="F132" s="1020"/>
      <c r="G132" s="1016">
        <f aca="true" t="shared" si="4" ref="G132:G195">D132+F132</f>
        <v>0</v>
      </c>
      <c r="H132" s="1017"/>
    </row>
    <row r="133" spans="1:8" ht="12.75" customHeight="1" hidden="1">
      <c r="A133" s="1030"/>
      <c r="B133" s="1008" t="s">
        <v>970</v>
      </c>
      <c r="C133" s="1015">
        <f>_xlfn.IFERROR(VLOOKUP(B133,'[1]ПО КОРИСНИЦИМА'!$C$3:$J$11609,5,FALSE),"")</f>
      </c>
      <c r="D133" s="1019"/>
      <c r="E133" s="1013">
        <f t="shared" si="3"/>
        <v>0</v>
      </c>
      <c r="F133" s="1020"/>
      <c r="G133" s="1016">
        <f t="shared" si="4"/>
        <v>0</v>
      </c>
      <c r="H133" s="1017"/>
    </row>
    <row r="134" spans="1:8" ht="12.75" customHeight="1" hidden="1">
      <c r="A134" s="1030"/>
      <c r="B134" s="1008" t="s">
        <v>971</v>
      </c>
      <c r="C134" s="1015">
        <f>_xlfn.IFERROR(VLOOKUP(B134,'[1]ПО КОРИСНИЦИМА'!$C$3:$J$11609,5,FALSE),"")</f>
      </c>
      <c r="D134" s="1019"/>
      <c r="E134" s="1013">
        <f aca="true" t="shared" si="5" ref="E134:E197">D134/453286579</f>
        <v>0</v>
      </c>
      <c r="F134" s="1020"/>
      <c r="G134" s="1016">
        <f t="shared" si="4"/>
        <v>0</v>
      </c>
      <c r="H134" s="1017"/>
    </row>
    <row r="135" spans="1:8" ht="12.75" customHeight="1" hidden="1">
      <c r="A135" s="1030"/>
      <c r="B135" s="1008" t="s">
        <v>972</v>
      </c>
      <c r="C135" s="1015">
        <f>_xlfn.IFERROR(VLOOKUP(B135,'[1]ПО КОРИСНИЦИМА'!$C$3:$J$11609,5,FALSE),"")</f>
      </c>
      <c r="D135" s="1019"/>
      <c r="E135" s="1013">
        <f t="shared" si="5"/>
        <v>0</v>
      </c>
      <c r="F135" s="1020"/>
      <c r="G135" s="1016">
        <f t="shared" si="4"/>
        <v>0</v>
      </c>
      <c r="H135" s="1017"/>
    </row>
    <row r="136" spans="1:8" ht="12.75" customHeight="1" hidden="1">
      <c r="A136" s="1030"/>
      <c r="B136" s="1008" t="s">
        <v>973</v>
      </c>
      <c r="C136" s="1015">
        <f>_xlfn.IFERROR(VLOOKUP(B136,'[1]ПО КОРИСНИЦИМА'!$C$3:$J$11609,5,FALSE),"")</f>
      </c>
      <c r="D136" s="1019"/>
      <c r="E136" s="1013">
        <f t="shared" si="5"/>
        <v>0</v>
      </c>
      <c r="F136" s="1020"/>
      <c r="G136" s="1016">
        <f t="shared" si="4"/>
        <v>0</v>
      </c>
      <c r="H136" s="1017"/>
    </row>
    <row r="137" spans="1:8" ht="12.75" customHeight="1" hidden="1">
      <c r="A137" s="1030"/>
      <c r="B137" s="1008" t="s">
        <v>974</v>
      </c>
      <c r="C137" s="1015">
        <f>_xlfn.IFERROR(VLOOKUP(B137,'[1]ПО КОРИСНИЦИМА'!$C$3:$J$11609,5,FALSE),"")</f>
      </c>
      <c r="D137" s="1019"/>
      <c r="E137" s="1013">
        <f t="shared" si="5"/>
        <v>0</v>
      </c>
      <c r="F137" s="1020"/>
      <c r="G137" s="1016">
        <f t="shared" si="4"/>
        <v>0</v>
      </c>
      <c r="H137" s="1017"/>
    </row>
    <row r="138" spans="1:8" ht="12.75" customHeight="1" hidden="1">
      <c r="A138" s="1030"/>
      <c r="B138" s="1008" t="s">
        <v>975</v>
      </c>
      <c r="C138" s="1015">
        <f>_xlfn.IFERROR(VLOOKUP(B138,'[1]ПО КОРИСНИЦИМА'!$C$3:$J$11609,5,FALSE),"")</f>
      </c>
      <c r="D138" s="1019"/>
      <c r="E138" s="1013">
        <f t="shared" si="5"/>
        <v>0</v>
      </c>
      <c r="F138" s="1020"/>
      <c r="G138" s="1016">
        <f t="shared" si="4"/>
        <v>0</v>
      </c>
      <c r="H138" s="1017"/>
    </row>
    <row r="139" spans="1:8" ht="12.75" customHeight="1" hidden="1">
      <c r="A139" s="1030"/>
      <c r="B139" s="1008" t="s">
        <v>976</v>
      </c>
      <c r="C139" s="1015">
        <f>_xlfn.IFERROR(VLOOKUP(B139,'[1]ПО КОРИСНИЦИМА'!$C$3:$J$11609,5,FALSE),"")</f>
      </c>
      <c r="D139" s="1019"/>
      <c r="E139" s="1013">
        <f t="shared" si="5"/>
        <v>0</v>
      </c>
      <c r="F139" s="1020"/>
      <c r="G139" s="1016">
        <f t="shared" si="4"/>
        <v>0</v>
      </c>
      <c r="H139" s="1017"/>
    </row>
    <row r="140" spans="1:8" ht="12.75" customHeight="1" hidden="1">
      <c r="A140" s="1030"/>
      <c r="B140" s="1008" t="s">
        <v>977</v>
      </c>
      <c r="C140" s="1015">
        <f>_xlfn.IFERROR(VLOOKUP(B140,'[1]ПО КОРИСНИЦИМА'!$C$3:$J$11609,5,FALSE),"")</f>
      </c>
      <c r="D140" s="1019"/>
      <c r="E140" s="1013">
        <f t="shared" si="5"/>
        <v>0</v>
      </c>
      <c r="F140" s="1020"/>
      <c r="G140" s="1016">
        <f t="shared" si="4"/>
        <v>0</v>
      </c>
      <c r="H140" s="1017"/>
    </row>
    <row r="141" spans="1:8" ht="12.75" customHeight="1" hidden="1">
      <c r="A141" s="1030"/>
      <c r="B141" s="1008" t="s">
        <v>978</v>
      </c>
      <c r="C141" s="1015">
        <f>_xlfn.IFERROR(VLOOKUP(B141,'[1]ПО КОРИСНИЦИМА'!$C$3:$J$11609,5,FALSE),"")</f>
      </c>
      <c r="D141" s="1019"/>
      <c r="E141" s="1013">
        <f t="shared" si="5"/>
        <v>0</v>
      </c>
      <c r="F141" s="1020"/>
      <c r="G141" s="1016">
        <f t="shared" si="4"/>
        <v>0</v>
      </c>
      <c r="H141" s="1017"/>
    </row>
    <row r="142" spans="1:8" ht="12.75" customHeight="1" hidden="1">
      <c r="A142" s="1030"/>
      <c r="B142" s="1008" t="s">
        <v>979</v>
      </c>
      <c r="C142" s="1015">
        <f>_xlfn.IFERROR(VLOOKUP(B142,'[1]ПО КОРИСНИЦИМА'!$C$3:$J$11609,5,FALSE),"")</f>
      </c>
      <c r="D142" s="1019"/>
      <c r="E142" s="1013">
        <f t="shared" si="5"/>
        <v>0</v>
      </c>
      <c r="F142" s="1020"/>
      <c r="G142" s="1016">
        <f t="shared" si="4"/>
        <v>0</v>
      </c>
      <c r="H142" s="1017"/>
    </row>
    <row r="143" spans="1:8" ht="12.75" customHeight="1" hidden="1">
      <c r="A143" s="1030"/>
      <c r="B143" s="1008" t="s">
        <v>980</v>
      </c>
      <c r="C143" s="1015">
        <f>_xlfn.IFERROR(VLOOKUP(B143,'[1]ПО КОРИСНИЦИМА'!$C$3:$J$11609,5,FALSE),"")</f>
      </c>
      <c r="D143" s="1019"/>
      <c r="E143" s="1013">
        <f t="shared" si="5"/>
        <v>0</v>
      </c>
      <c r="F143" s="1020"/>
      <c r="G143" s="1016">
        <f t="shared" si="4"/>
        <v>0</v>
      </c>
      <c r="H143" s="1017"/>
    </row>
    <row r="144" spans="1:8" ht="12.75" customHeight="1" hidden="1">
      <c r="A144" s="1030"/>
      <c r="B144" s="1008" t="s">
        <v>981</v>
      </c>
      <c r="C144" s="1015">
        <f>_xlfn.IFERROR(VLOOKUP(B144,'[1]ПО КОРИСНИЦИМА'!$C$3:$J$11609,5,FALSE),"")</f>
      </c>
      <c r="D144" s="1019" t="e">
        <f>SUMIF('[1]ПО КОРИСНИЦИМА'!$G$3:$G$11609,"Свега за пројекат 1502-П15:",'[1]ПО КОРИСНИЦИМА'!$H$3:$H$11609)</f>
        <v>#VALUE!</v>
      </c>
      <c r="E144" s="1013" t="e">
        <f t="shared" si="5"/>
        <v>#VALUE!</v>
      </c>
      <c r="F144" s="1020" t="e">
        <f>SUMIF('[1]ПО КОРИСНИЦИМА'!$G$3:$G$11609,"Свега за пројекат 1502-П15:",'[1]ПО КОРИСНИЦИМА'!$I$3:$I$11609)</f>
        <v>#VALUE!</v>
      </c>
      <c r="G144" s="1016" t="e">
        <f t="shared" si="4"/>
        <v>#VALUE!</v>
      </c>
      <c r="H144" s="1017"/>
    </row>
    <row r="145" spans="1:8" ht="12.75" customHeight="1" hidden="1">
      <c r="A145" s="1030"/>
      <c r="B145" s="1008" t="s">
        <v>982</v>
      </c>
      <c r="C145" s="1015">
        <f>_xlfn.IFERROR(VLOOKUP(B145,'[1]ПО КОРИСНИЦИМА'!$C$3:$J$11609,5,FALSE),"")</f>
      </c>
      <c r="D145" s="1019" t="e">
        <f>SUMIF('[1]ПО КОРИСНИЦИМА'!$G$3:$G$11609,"Свега за пројекат 1502-П16:",'[1]ПО КОРИСНИЦИМА'!$H$3:$H$11609)</f>
        <v>#VALUE!</v>
      </c>
      <c r="E145" s="1013" t="e">
        <f t="shared" si="5"/>
        <v>#VALUE!</v>
      </c>
      <c r="F145" s="1020" t="e">
        <f>SUMIF('[1]ПО КОРИСНИЦИМА'!$G$3:$G$11609,"Свега за пројекат 1502-П16:",'[1]ПО КОРИСНИЦИМА'!$I$3:$I$11609)</f>
        <v>#VALUE!</v>
      </c>
      <c r="G145" s="1016" t="e">
        <f t="shared" si="4"/>
        <v>#VALUE!</v>
      </c>
      <c r="H145" s="1017"/>
    </row>
    <row r="146" spans="1:8" ht="12.75" customHeight="1" hidden="1">
      <c r="A146" s="1030"/>
      <c r="B146" s="1008" t="s">
        <v>983</v>
      </c>
      <c r="C146" s="1015">
        <f>_xlfn.IFERROR(VLOOKUP(B146,'[1]ПО КОРИСНИЦИМА'!$C$3:$J$11609,5,FALSE),"")</f>
      </c>
      <c r="D146" s="1019" t="e">
        <f>SUMIF('[1]ПО КОРИСНИЦИМА'!$G$3:$G$11609,"Свега за пројекат 1502-П17:",'[1]ПО КОРИСНИЦИМА'!$H$3:$H$11609)</f>
        <v>#VALUE!</v>
      </c>
      <c r="E146" s="1013" t="e">
        <f t="shared" si="5"/>
        <v>#VALUE!</v>
      </c>
      <c r="F146" s="1020" t="e">
        <f>SUMIF('[1]ПО КОРИСНИЦИМА'!$G$3:$G$11609,"Свега за пројекат 1502-П17:",'[1]ПО КОРИСНИЦИМА'!$I$3:$I$11609)</f>
        <v>#VALUE!</v>
      </c>
      <c r="G146" s="1016" t="e">
        <f t="shared" si="4"/>
        <v>#VALUE!</v>
      </c>
      <c r="H146" s="1017"/>
    </row>
    <row r="147" spans="1:8" ht="12.75" customHeight="1" hidden="1">
      <c r="A147" s="1030"/>
      <c r="B147" s="1008" t="s">
        <v>984</v>
      </c>
      <c r="C147" s="1015">
        <f>_xlfn.IFERROR(VLOOKUP(B147,'[1]ПО КОРИСНИЦИМА'!$C$3:$J$11609,5,FALSE),"")</f>
      </c>
      <c r="D147" s="1019" t="e">
        <f>SUMIF('[1]ПО КОРИСНИЦИМА'!$G$3:$G$11609,"Свега за пројекат 1502-П18:",'[1]ПО КОРИСНИЦИМА'!$H$3:$H$11609)</f>
        <v>#VALUE!</v>
      </c>
      <c r="E147" s="1013" t="e">
        <f t="shared" si="5"/>
        <v>#VALUE!</v>
      </c>
      <c r="F147" s="1020" t="e">
        <f>SUMIF('[1]ПО КОРИСНИЦИМА'!$G$3:$G$11609,"Свега за пројекат 1502-П18:",'[1]ПО КОРИСНИЦИМА'!$I$3:$I$11609)</f>
        <v>#VALUE!</v>
      </c>
      <c r="G147" s="1016" t="e">
        <f t="shared" si="4"/>
        <v>#VALUE!</v>
      </c>
      <c r="H147" s="1017"/>
    </row>
    <row r="148" spans="1:8" ht="12.75" customHeight="1" hidden="1">
      <c r="A148" s="1030"/>
      <c r="B148" s="1008" t="s">
        <v>985</v>
      </c>
      <c r="C148" s="1015">
        <f>_xlfn.IFERROR(VLOOKUP(B148,'[1]ПО КОРИСНИЦИМА'!$C$3:$J$11609,5,FALSE),"")</f>
      </c>
      <c r="D148" s="1019" t="e">
        <f>SUMIF('[1]ПО КОРИСНИЦИМА'!$G$3:$G$11609,"Свега за пројекат 1502-П19:",'[1]ПО КОРИСНИЦИМА'!$H$3:$H$11609)</f>
        <v>#VALUE!</v>
      </c>
      <c r="E148" s="1013" t="e">
        <f t="shared" si="5"/>
        <v>#VALUE!</v>
      </c>
      <c r="F148" s="1020" t="e">
        <f>SUMIF('[1]ПО КОРИСНИЦИМА'!$G$3:$G$11609,"Свега за пројекат 1502-П19:",'[1]ПО КОРИСНИЦИМА'!$I$3:$I$11609)</f>
        <v>#VALUE!</v>
      </c>
      <c r="G148" s="1016" t="e">
        <f t="shared" si="4"/>
        <v>#VALUE!</v>
      </c>
      <c r="H148" s="1017"/>
    </row>
    <row r="149" spans="1:8" ht="12.75" customHeight="1" hidden="1">
      <c r="A149" s="1030"/>
      <c r="B149" s="1008" t="s">
        <v>986</v>
      </c>
      <c r="C149" s="1015">
        <f>_xlfn.IFERROR(VLOOKUP(B149,'[1]ПО КОРИСНИЦИМА'!$C$3:$J$11609,5,FALSE),"")</f>
      </c>
      <c r="D149" s="1019" t="e">
        <f>SUMIF('[1]ПО КОРИСНИЦИМА'!$G$3:$G$11609,"Свега за пројекат 1502-П20:",'[1]ПО КОРИСНИЦИМА'!$H$3:$H$11609)</f>
        <v>#VALUE!</v>
      </c>
      <c r="E149" s="1013" t="e">
        <f t="shared" si="5"/>
        <v>#VALUE!</v>
      </c>
      <c r="F149" s="1020" t="e">
        <f>SUMIF('[1]ПО КОРИСНИЦИМА'!$G$3:$G$11609,"Свега за пројекат 1502-П20:",'[1]ПО КОРИСНИЦИМА'!$I$3:$I$11609)</f>
        <v>#VALUE!</v>
      </c>
      <c r="G149" s="1016" t="e">
        <f t="shared" si="4"/>
        <v>#VALUE!</v>
      </c>
      <c r="H149" s="1017"/>
    </row>
    <row r="150" spans="1:8" ht="12.75" customHeight="1" hidden="1">
      <c r="A150" s="1030"/>
      <c r="B150" s="1008" t="s">
        <v>987</v>
      </c>
      <c r="C150" s="1015">
        <f>_xlfn.IFERROR(VLOOKUP(B150,'[1]ПО КОРИСНИЦИМА'!$C$3:$J$11609,5,FALSE),"")</f>
      </c>
      <c r="D150" s="1019" t="e">
        <f>SUMIF('[1]ПО КОРИСНИЦИМА'!$G$3:$G$11609,"Свега за пројекат 1502-П21:",'[1]ПО КОРИСНИЦИМА'!$H$3:$H$11609)</f>
        <v>#VALUE!</v>
      </c>
      <c r="E150" s="1013" t="e">
        <f t="shared" si="5"/>
        <v>#VALUE!</v>
      </c>
      <c r="F150" s="1020" t="e">
        <f>SUMIF('[1]ПО КОРИСНИЦИМА'!$G$3:$G$11609,"Свега за пројекат 1502-П21:",'[1]ПО КОРИСНИЦИМА'!$I$3:$I$11609)</f>
        <v>#VALUE!</v>
      </c>
      <c r="G150" s="1016" t="e">
        <f t="shared" si="4"/>
        <v>#VALUE!</v>
      </c>
      <c r="H150" s="1017"/>
    </row>
    <row r="151" spans="1:8" ht="12.75" customHeight="1" hidden="1">
      <c r="A151" s="1030"/>
      <c r="B151" s="1008" t="s">
        <v>988</v>
      </c>
      <c r="C151" s="1015">
        <f>_xlfn.IFERROR(VLOOKUP(B151,'[1]ПО КОРИСНИЦИМА'!$C$3:$J$11609,5,FALSE),"")</f>
      </c>
      <c r="D151" s="1019" t="e">
        <f>SUMIF('[1]ПО КОРИСНИЦИМА'!$G$3:$G$11609,"Свега за пројекат 1502-П22:",'[1]ПО КОРИСНИЦИМА'!$H$3:$H$11609)</f>
        <v>#VALUE!</v>
      </c>
      <c r="E151" s="1013" t="e">
        <f t="shared" si="5"/>
        <v>#VALUE!</v>
      </c>
      <c r="F151" s="1020" t="e">
        <f>SUMIF('[1]ПО КОРИСНИЦИМА'!$G$3:$G$11609,"Свега за пројекат 1502-П22:",'[1]ПО КОРИСНИЦИМА'!$I$3:$I$11609)</f>
        <v>#VALUE!</v>
      </c>
      <c r="G151" s="1016" t="e">
        <f t="shared" si="4"/>
        <v>#VALUE!</v>
      </c>
      <c r="H151" s="1017"/>
    </row>
    <row r="152" spans="1:8" ht="12.75" customHeight="1" hidden="1">
      <c r="A152" s="1030"/>
      <c r="B152" s="1008" t="s">
        <v>989</v>
      </c>
      <c r="C152" s="1015">
        <f>_xlfn.IFERROR(VLOOKUP(B152,'[1]ПО КОРИСНИЦИМА'!$C$3:$J$11609,5,FALSE),"")</f>
      </c>
      <c r="D152" s="1019" t="e">
        <f>SUMIF('[1]ПО КОРИСНИЦИМА'!$G$3:$G$11609,"Свега за пројекат 1502-П23:",'[1]ПО КОРИСНИЦИМА'!$H$3:$H$11609)</f>
        <v>#VALUE!</v>
      </c>
      <c r="E152" s="1013" t="e">
        <f t="shared" si="5"/>
        <v>#VALUE!</v>
      </c>
      <c r="F152" s="1020" t="e">
        <f>SUMIF('[1]ПО КОРИСНИЦИМА'!$G$3:$G$11609,"Свега за пројекат 1502-П23:",'[1]ПО КОРИСНИЦИМА'!$I$3:$I$11609)</f>
        <v>#VALUE!</v>
      </c>
      <c r="G152" s="1016" t="e">
        <f t="shared" si="4"/>
        <v>#VALUE!</v>
      </c>
      <c r="H152" s="1017"/>
    </row>
    <row r="153" spans="1:8" ht="12.75" customHeight="1" hidden="1">
      <c r="A153" s="1030"/>
      <c r="B153" s="1008" t="s">
        <v>990</v>
      </c>
      <c r="C153" s="1015">
        <f>_xlfn.IFERROR(VLOOKUP(B153,'[1]ПО КОРИСНИЦИМА'!$C$3:$J$11609,5,FALSE),"")</f>
      </c>
      <c r="D153" s="1019" t="e">
        <f>SUMIF('[1]ПО КОРИСНИЦИМА'!$G$3:$G$11609,"Свега за пројекат 1502-П24:",'[1]ПО КОРИСНИЦИМА'!$H$3:$H$11609)</f>
        <v>#VALUE!</v>
      </c>
      <c r="E153" s="1013" t="e">
        <f t="shared" si="5"/>
        <v>#VALUE!</v>
      </c>
      <c r="F153" s="1020" t="e">
        <f>SUMIF('[1]ПО КОРИСНИЦИМА'!$G$3:$G$11609,"Свега за пројекат 1502-П24:",'[1]ПО КОРИСНИЦИМА'!$I$3:$I$11609)</f>
        <v>#VALUE!</v>
      </c>
      <c r="G153" s="1016" t="e">
        <f t="shared" si="4"/>
        <v>#VALUE!</v>
      </c>
      <c r="H153" s="1017"/>
    </row>
    <row r="154" spans="1:8" s="320" customFormat="1" ht="12.75">
      <c r="A154" s="1009" t="s">
        <v>310</v>
      </c>
      <c r="B154" s="1010"/>
      <c r="C154" s="1011" t="s">
        <v>0</v>
      </c>
      <c r="D154" s="1012">
        <f>SUM(D155:D156)</f>
        <v>6800000</v>
      </c>
      <c r="E154" s="1013">
        <f t="shared" si="5"/>
        <v>0.015001547177949869</v>
      </c>
      <c r="F154" s="1012">
        <f>SUM(F155:F156)</f>
        <v>82206489.5</v>
      </c>
      <c r="G154" s="1012">
        <f t="shared" si="4"/>
        <v>89006489.5</v>
      </c>
      <c r="H154" s="1027"/>
    </row>
    <row r="155" spans="1:8" ht="12.75">
      <c r="A155" s="1008"/>
      <c r="B155" s="1030" t="s">
        <v>311</v>
      </c>
      <c r="C155" s="1015" t="s">
        <v>1276</v>
      </c>
      <c r="D155" s="1016">
        <f>'Rashodi-2021'!M259</f>
        <v>5300000</v>
      </c>
      <c r="E155" s="1486">
        <f t="shared" si="5"/>
        <v>0.011692382359284456</v>
      </c>
      <c r="F155" s="1016">
        <f>'Rashodi-2021'!T259</f>
        <v>82206489.5</v>
      </c>
      <c r="G155" s="1016">
        <f t="shared" si="4"/>
        <v>87506489.5</v>
      </c>
      <c r="H155" s="1017" t="s">
        <v>1166</v>
      </c>
    </row>
    <row r="156" spans="1:8" ht="12.75">
      <c r="A156" s="1008"/>
      <c r="B156" s="1030" t="s">
        <v>312</v>
      </c>
      <c r="C156" s="1015" t="s">
        <v>1234</v>
      </c>
      <c r="D156" s="1016">
        <f>'Rashodi-2021'!M272</f>
        <v>1500000</v>
      </c>
      <c r="E156" s="1486">
        <f t="shared" si="5"/>
        <v>0.0033091648186654122</v>
      </c>
      <c r="F156" s="1016"/>
      <c r="G156" s="1016">
        <f t="shared" si="4"/>
        <v>1500000</v>
      </c>
      <c r="H156" s="1017" t="s">
        <v>1166</v>
      </c>
    </row>
    <row r="157" spans="1:8" ht="12.75" hidden="1">
      <c r="A157" s="1030"/>
      <c r="B157" s="1028" t="s">
        <v>991</v>
      </c>
      <c r="C157" s="1015">
        <f>_xlfn.IFERROR(VLOOKUP(B157,'[1]ПО КОРИСНИЦИМА'!$C$3:$J$11609,5,FALSE),"")</f>
      </c>
      <c r="D157" s="1019"/>
      <c r="E157" s="1013">
        <f t="shared" si="5"/>
        <v>0</v>
      </c>
      <c r="F157" s="1020"/>
      <c r="G157" s="1016">
        <f t="shared" si="4"/>
        <v>0</v>
      </c>
      <c r="H157" s="1017"/>
    </row>
    <row r="158" spans="1:8" ht="12.75" hidden="1">
      <c r="A158" s="1030"/>
      <c r="B158" s="1028" t="s">
        <v>992</v>
      </c>
      <c r="C158" s="1015">
        <f>_xlfn.IFERROR(VLOOKUP(B158,'[1]ПО КОРИСНИЦИМА'!$C$3:$J$11609,5,FALSE),"")</f>
      </c>
      <c r="D158" s="1019"/>
      <c r="E158" s="1013">
        <f t="shared" si="5"/>
        <v>0</v>
      </c>
      <c r="F158" s="1020"/>
      <c r="G158" s="1016">
        <f t="shared" si="4"/>
        <v>0</v>
      </c>
      <c r="H158" s="1017"/>
    </row>
    <row r="159" spans="1:8" ht="12.75" hidden="1">
      <c r="A159" s="1030"/>
      <c r="B159" s="1028" t="s">
        <v>993</v>
      </c>
      <c r="C159" s="1015">
        <f>_xlfn.IFERROR(VLOOKUP(B159,'[1]ПО КОРИСНИЦИМА'!$C$3:$J$11609,5,FALSE),"")</f>
      </c>
      <c r="D159" s="1019"/>
      <c r="E159" s="1013">
        <f t="shared" si="5"/>
        <v>0</v>
      </c>
      <c r="F159" s="1020"/>
      <c r="G159" s="1016">
        <f t="shared" si="4"/>
        <v>0</v>
      </c>
      <c r="H159" s="1017"/>
    </row>
    <row r="160" spans="1:8" ht="12.75" hidden="1">
      <c r="A160" s="1030"/>
      <c r="B160" s="1028" t="s">
        <v>994</v>
      </c>
      <c r="C160" s="1015">
        <f>_xlfn.IFERROR(VLOOKUP(B160,'[1]ПО КОРИСНИЦИМА'!$C$3:$J$11609,5,FALSE),"")</f>
      </c>
      <c r="D160" s="1019"/>
      <c r="E160" s="1013">
        <f t="shared" si="5"/>
        <v>0</v>
      </c>
      <c r="F160" s="1020"/>
      <c r="G160" s="1016">
        <f t="shared" si="4"/>
        <v>0</v>
      </c>
      <c r="H160" s="1017"/>
    </row>
    <row r="161" spans="1:8" ht="12.75" hidden="1">
      <c r="A161" s="1030"/>
      <c r="B161" s="1028" t="s">
        <v>995</v>
      </c>
      <c r="C161" s="1015">
        <f>_xlfn.IFERROR(VLOOKUP(B161,'[1]ПО КОРИСНИЦИМА'!$C$3:$J$11609,5,FALSE),"")</f>
      </c>
      <c r="D161" s="1019"/>
      <c r="E161" s="1013">
        <f t="shared" si="5"/>
        <v>0</v>
      </c>
      <c r="F161" s="1020"/>
      <c r="G161" s="1016">
        <f t="shared" si="4"/>
        <v>0</v>
      </c>
      <c r="H161" s="1017"/>
    </row>
    <row r="162" spans="1:8" ht="12.75" hidden="1">
      <c r="A162" s="1030"/>
      <c r="B162" s="1028" t="s">
        <v>996</v>
      </c>
      <c r="C162" s="1015">
        <f>_xlfn.IFERROR(VLOOKUP(B162,'[1]ПО КОРИСНИЦИМА'!$C$3:$J$11609,5,FALSE),"")</f>
      </c>
      <c r="D162" s="1019"/>
      <c r="E162" s="1013">
        <f t="shared" si="5"/>
        <v>0</v>
      </c>
      <c r="F162" s="1020"/>
      <c r="G162" s="1016">
        <f t="shared" si="4"/>
        <v>0</v>
      </c>
      <c r="H162" s="1017"/>
    </row>
    <row r="163" spans="1:8" ht="12.75" hidden="1">
      <c r="A163" s="1030"/>
      <c r="B163" s="1028" t="s">
        <v>997</v>
      </c>
      <c r="C163" s="1015">
        <f>_xlfn.IFERROR(VLOOKUP(B163,'[1]ПО КОРИСНИЦИМА'!$C$3:$J$11609,5,FALSE),"")</f>
      </c>
      <c r="D163" s="1019"/>
      <c r="E163" s="1013">
        <f t="shared" si="5"/>
        <v>0</v>
      </c>
      <c r="F163" s="1020"/>
      <c r="G163" s="1016">
        <f t="shared" si="4"/>
        <v>0</v>
      </c>
      <c r="H163" s="1017"/>
    </row>
    <row r="164" spans="1:8" ht="12.75" hidden="1">
      <c r="A164" s="1030"/>
      <c r="B164" s="1028" t="s">
        <v>998</v>
      </c>
      <c r="C164" s="1015">
        <f>_xlfn.IFERROR(VLOOKUP(B164,'[1]ПО КОРИСНИЦИМА'!$C$3:$J$11609,5,FALSE),"")</f>
      </c>
      <c r="D164" s="1019" t="e">
        <f>SUMIF('[1]ПО КОРИСНИЦИМА'!$G$3:$G$11609,"Свега за пројекат 0101-П8:",'[1]ПО КОРИСНИЦИМА'!$H$3:$H$11609)</f>
        <v>#VALUE!</v>
      </c>
      <c r="E164" s="1013" t="e">
        <f t="shared" si="5"/>
        <v>#VALUE!</v>
      </c>
      <c r="F164" s="1020" t="e">
        <f>SUMIF('[1]ПО КОРИСНИЦИМА'!$G$3:$G$11609,"Свега за пројекат 0101-П8:",'[1]ПО КОРИСНИЦИМА'!$I$3:$I$11609)</f>
        <v>#VALUE!</v>
      </c>
      <c r="G164" s="1016" t="e">
        <f t="shared" si="4"/>
        <v>#VALUE!</v>
      </c>
      <c r="H164" s="1017"/>
    </row>
    <row r="165" spans="1:8" ht="12.75" hidden="1">
      <c r="A165" s="1030"/>
      <c r="B165" s="1028" t="s">
        <v>999</v>
      </c>
      <c r="C165" s="1015">
        <f>_xlfn.IFERROR(VLOOKUP(B165,'[1]ПО КОРИСНИЦИМА'!$C$3:$J$11609,5,FALSE),"")</f>
      </c>
      <c r="D165" s="1019" t="e">
        <f>SUMIF('[1]ПО КОРИСНИЦИМА'!$G$3:$G$11609,"Свега за пројекат 0101-П9:",'[1]ПО КОРИСНИЦИМА'!$H$3:$H$11609)</f>
        <v>#VALUE!</v>
      </c>
      <c r="E165" s="1013" t="e">
        <f t="shared" si="5"/>
        <v>#VALUE!</v>
      </c>
      <c r="F165" s="1020" t="e">
        <f>SUMIF('[1]ПО КОРИСНИЦИМА'!$G$3:$G$11609,"Свега за пројекат 0101-П9:",'[1]ПО КОРИСНИЦИМА'!$I$3:$I$11609)</f>
        <v>#VALUE!</v>
      </c>
      <c r="G165" s="1016" t="e">
        <f t="shared" si="4"/>
        <v>#VALUE!</v>
      </c>
      <c r="H165" s="1017"/>
    </row>
    <row r="166" spans="1:8" ht="12.75" hidden="1">
      <c r="A166" s="1030"/>
      <c r="B166" s="1028" t="s">
        <v>1000</v>
      </c>
      <c r="C166" s="1015">
        <f>_xlfn.IFERROR(VLOOKUP(B166,'[1]ПО КОРИСНИЦИМА'!$C$3:$J$11609,5,FALSE),"")</f>
      </c>
      <c r="D166" s="1019" t="e">
        <f>SUMIF('[1]ПО КОРИСНИЦИМА'!$G$3:$G$11609,"Свега за пројекат 0101-П10:",'[1]ПО КОРИСНИЦИМА'!$H$3:$H$11609)</f>
        <v>#VALUE!</v>
      </c>
      <c r="E166" s="1013" t="e">
        <f t="shared" si="5"/>
        <v>#VALUE!</v>
      </c>
      <c r="F166" s="1020" t="e">
        <f>SUMIF('[1]ПО КОРИСНИЦИМА'!$G$3:$G$11609,"Свега за пројекат 0101-П10:",'[1]ПО КОРИСНИЦИМА'!$I$3:$I$11609)</f>
        <v>#VALUE!</v>
      </c>
      <c r="G166" s="1016" t="e">
        <f t="shared" si="4"/>
        <v>#VALUE!</v>
      </c>
      <c r="H166" s="1017"/>
    </row>
    <row r="167" spans="1:8" ht="12.75" hidden="1">
      <c r="A167" s="1030"/>
      <c r="B167" s="1028" t="s">
        <v>1001</v>
      </c>
      <c r="C167" s="1015">
        <f>_xlfn.IFERROR(VLOOKUP(B167,'[1]ПО КОРИСНИЦИМА'!$C$3:$J$11609,5,FALSE),"")</f>
      </c>
      <c r="D167" s="1019" t="e">
        <f>SUMIF('[1]ПО КОРИСНИЦИМА'!$G$3:$G$11609,"Свега за пројекат 0101-П11:",'[1]ПО КОРИСНИЦИМА'!$H$3:$H$11609)</f>
        <v>#VALUE!</v>
      </c>
      <c r="E167" s="1013" t="e">
        <f t="shared" si="5"/>
        <v>#VALUE!</v>
      </c>
      <c r="F167" s="1020" t="e">
        <f>SUMIF('[1]ПО КОРИСНИЦИМА'!$G$3:$G$11609,"Свега за пројекат 0101-П11:",'[1]ПО КОРИСНИЦИМА'!$I$3:$I$11609)</f>
        <v>#VALUE!</v>
      </c>
      <c r="G167" s="1016" t="e">
        <f t="shared" si="4"/>
        <v>#VALUE!</v>
      </c>
      <c r="H167" s="1017"/>
    </row>
    <row r="168" spans="1:8" ht="12.75" hidden="1">
      <c r="A168" s="1030"/>
      <c r="B168" s="1028" t="s">
        <v>1002</v>
      </c>
      <c r="C168" s="1015">
        <f>_xlfn.IFERROR(VLOOKUP(B168,'[1]ПО КОРИСНИЦИМА'!$C$3:$J$11609,5,FALSE),"")</f>
      </c>
      <c r="D168" s="1019" t="e">
        <f>SUMIF('[1]ПО КОРИСНИЦИМА'!$G$3:$G$11609,"Свега за пројекат 0101-П12:",'[1]ПО КОРИСНИЦИМА'!$H$3:$H$11609)</f>
        <v>#VALUE!</v>
      </c>
      <c r="E168" s="1013" t="e">
        <f t="shared" si="5"/>
        <v>#VALUE!</v>
      </c>
      <c r="F168" s="1020" t="e">
        <f>SUMIF('[1]ПО КОРИСНИЦИМА'!$G$3:$G$11609,"Свега за пројекат 0101-П12:",'[1]ПО КОРИСНИЦИМА'!$I$3:$I$11609)</f>
        <v>#VALUE!</v>
      </c>
      <c r="G168" s="1016" t="e">
        <f t="shared" si="4"/>
        <v>#VALUE!</v>
      </c>
      <c r="H168" s="1017"/>
    </row>
    <row r="169" spans="1:8" ht="12.75" hidden="1">
      <c r="A169" s="1030"/>
      <c r="B169" s="1028" t="s">
        <v>1003</v>
      </c>
      <c r="C169" s="1015">
        <f>_xlfn.IFERROR(VLOOKUP(B169,'[1]ПО КОРИСНИЦИМА'!$C$3:$J$11609,5,FALSE),"")</f>
      </c>
      <c r="D169" s="1019" t="e">
        <f>SUMIF('[1]ПО КОРИСНИЦИМА'!$G$3:$G$11609,"Свега за пројекат 0101-П13:",'[1]ПО КОРИСНИЦИМА'!$H$3:$H$11609)</f>
        <v>#VALUE!</v>
      </c>
      <c r="E169" s="1013" t="e">
        <f t="shared" si="5"/>
        <v>#VALUE!</v>
      </c>
      <c r="F169" s="1020" t="e">
        <f>SUMIF('[1]ПО КОРИСНИЦИМА'!$G$3:$G$11609,"Свега за пројекат 0101-П13:",'[1]ПО КОРИСНИЦИМА'!$I$3:$I$11609)</f>
        <v>#VALUE!</v>
      </c>
      <c r="G169" s="1016" t="e">
        <f t="shared" si="4"/>
        <v>#VALUE!</v>
      </c>
      <c r="H169" s="1017"/>
    </row>
    <row r="170" spans="1:8" ht="12.75" hidden="1">
      <c r="A170" s="1030"/>
      <c r="B170" s="1028" t="s">
        <v>1004</v>
      </c>
      <c r="C170" s="1015">
        <f>_xlfn.IFERROR(VLOOKUP(B170,'[1]ПО КОРИСНИЦИМА'!$C$3:$J$11609,5,FALSE),"")</f>
      </c>
      <c r="D170" s="1019" t="e">
        <f>SUMIF('[1]ПО КОРИСНИЦИМА'!$G$3:$G$11609,"Свега за пројекат 0101-П14:",'[1]ПО КОРИСНИЦИМА'!$H$3:$H$11609)</f>
        <v>#VALUE!</v>
      </c>
      <c r="E170" s="1013" t="e">
        <f t="shared" si="5"/>
        <v>#VALUE!</v>
      </c>
      <c r="F170" s="1020" t="e">
        <f>SUMIF('[1]ПО КОРИСНИЦИМА'!$G$3:$G$11609,"Свега за пројекат 0101-П14:",'[1]ПО КОРИСНИЦИМА'!$I$3:$I$11609)</f>
        <v>#VALUE!</v>
      </c>
      <c r="G170" s="1016" t="e">
        <f t="shared" si="4"/>
        <v>#VALUE!</v>
      </c>
      <c r="H170" s="1017"/>
    </row>
    <row r="171" spans="1:8" ht="12.75" hidden="1">
      <c r="A171" s="1030"/>
      <c r="B171" s="1028" t="s">
        <v>1005</v>
      </c>
      <c r="C171" s="1015">
        <f>_xlfn.IFERROR(VLOOKUP(B171,'[1]ПО КОРИСНИЦИМА'!$C$3:$J$11609,5,FALSE),"")</f>
      </c>
      <c r="D171" s="1019" t="e">
        <f>SUMIF('[1]ПО КОРИСНИЦИМА'!$G$3:$G$11609,"Свега за пројекат 0101-П15:",'[1]ПО КОРИСНИЦИМА'!$H$3:$H$11609)</f>
        <v>#VALUE!</v>
      </c>
      <c r="E171" s="1013" t="e">
        <f t="shared" si="5"/>
        <v>#VALUE!</v>
      </c>
      <c r="F171" s="1020" t="e">
        <f>SUMIF('[1]ПО КОРИСНИЦИМА'!$G$3:$G$11609,"Свега за пројекат 0101-П15:",'[1]ПО КОРИСНИЦИМА'!$I$3:$I$11609)</f>
        <v>#VALUE!</v>
      </c>
      <c r="G171" s="1016" t="e">
        <f t="shared" si="4"/>
        <v>#VALUE!</v>
      </c>
      <c r="H171" s="1017"/>
    </row>
    <row r="172" spans="1:8" ht="12.75" hidden="1">
      <c r="A172" s="1030"/>
      <c r="B172" s="1028" t="s">
        <v>1006</v>
      </c>
      <c r="C172" s="1015">
        <f>_xlfn.IFERROR(VLOOKUP(B172,'[1]ПО КОРИСНИЦИМА'!$C$3:$J$11609,5,FALSE),"")</f>
      </c>
      <c r="D172" s="1019" t="e">
        <f>SUMIF('[1]ПО КОРИСНИЦИМА'!$G$3:$G$11609,"Свега за пројекат 0101-П16:",'[1]ПО КОРИСНИЦИМА'!$H$3:$H$11609)</f>
        <v>#VALUE!</v>
      </c>
      <c r="E172" s="1013" t="e">
        <f t="shared" si="5"/>
        <v>#VALUE!</v>
      </c>
      <c r="F172" s="1020" t="e">
        <f>SUMIF('[1]ПО КОРИСНИЦИМА'!$G$3:$G$11609,"Свега за пројекат 0101-П16:",'[1]ПО КОРИСНИЦИМА'!$I$3:$I$11609)</f>
        <v>#VALUE!</v>
      </c>
      <c r="G172" s="1016" t="e">
        <f t="shared" si="4"/>
        <v>#VALUE!</v>
      </c>
      <c r="H172" s="1017"/>
    </row>
    <row r="173" spans="1:8" s="320" customFormat="1" ht="12.75">
      <c r="A173" s="1009" t="s">
        <v>314</v>
      </c>
      <c r="B173" s="1010"/>
      <c r="C173" s="1011" t="s">
        <v>1</v>
      </c>
      <c r="D173" s="1012">
        <f>SUM(D174:D177)</f>
        <v>14050000</v>
      </c>
      <c r="E173" s="1013">
        <f t="shared" si="5"/>
        <v>0.03099584380149936</v>
      </c>
      <c r="F173" s="1012">
        <f>SUM(F174:F177)</f>
        <v>1800000</v>
      </c>
      <c r="G173" s="1012">
        <f t="shared" si="4"/>
        <v>15850000</v>
      </c>
      <c r="H173" s="1027"/>
    </row>
    <row r="174" spans="1:8" ht="12.75">
      <c r="A174" s="1008"/>
      <c r="B174" s="1031" t="s">
        <v>315</v>
      </c>
      <c r="C174" s="1021" t="s">
        <v>1277</v>
      </c>
      <c r="D174" s="1016">
        <f>'Rashodi-2021'!M280</f>
        <v>4900000</v>
      </c>
      <c r="E174" s="1486">
        <f t="shared" si="5"/>
        <v>0.010809938407640347</v>
      </c>
      <c r="F174" s="1018">
        <f>'Rashodi-2021'!T280</f>
        <v>1800000</v>
      </c>
      <c r="G174" s="1016">
        <f t="shared" si="4"/>
        <v>6700000</v>
      </c>
      <c r="H174" s="1017" t="s">
        <v>1166</v>
      </c>
    </row>
    <row r="175" spans="1:8" ht="12.75">
      <c r="A175" s="1008"/>
      <c r="B175" s="1031" t="s">
        <v>1235</v>
      </c>
      <c r="C175" s="1021" t="s">
        <v>326</v>
      </c>
      <c r="D175" s="1016">
        <f>'Rashodi-2021'!M276</f>
        <v>8650000</v>
      </c>
      <c r="E175" s="1486">
        <f t="shared" si="5"/>
        <v>0.019082850454303878</v>
      </c>
      <c r="F175" s="1016">
        <f>'Rashodi-2021'!T276</f>
        <v>0</v>
      </c>
      <c r="G175" s="1016">
        <f t="shared" si="4"/>
        <v>8650000</v>
      </c>
      <c r="H175" s="1017" t="s">
        <v>1166</v>
      </c>
    </row>
    <row r="176" spans="1:8" ht="12.75" customHeight="1" hidden="1">
      <c r="A176" s="1008"/>
      <c r="B176" s="1031" t="s">
        <v>846</v>
      </c>
      <c r="C176" s="1021" t="s">
        <v>847</v>
      </c>
      <c r="D176" s="1016"/>
      <c r="E176" s="1486">
        <f t="shared" si="5"/>
        <v>0</v>
      </c>
      <c r="F176" s="1018"/>
      <c r="G176" s="1016">
        <f t="shared" si="4"/>
        <v>0</v>
      </c>
      <c r="H176" s="1017"/>
    </row>
    <row r="177" spans="1:8" ht="12.75" customHeight="1">
      <c r="A177" s="1008"/>
      <c r="B177" s="1031" t="s">
        <v>848</v>
      </c>
      <c r="C177" s="1021" t="s">
        <v>1347</v>
      </c>
      <c r="D177" s="1016">
        <f>'Rashodi-2021'!M286</f>
        <v>500000</v>
      </c>
      <c r="E177" s="1486">
        <f t="shared" si="5"/>
        <v>0.0011030549395551373</v>
      </c>
      <c r="F177" s="1018">
        <f>'Rashodi-2021'!N287+'Rashodi-2021'!O287+'Rashodi-2021'!P287+'Rashodi-2021'!Q287+'Rashodi-2021'!S287</f>
        <v>0</v>
      </c>
      <c r="G177" s="1016">
        <f t="shared" si="4"/>
        <v>500000</v>
      </c>
      <c r="H177" s="1017" t="s">
        <v>1166</v>
      </c>
    </row>
    <row r="178" spans="1:8" ht="12.75" customHeight="1" hidden="1">
      <c r="A178" s="1008"/>
      <c r="B178" s="1031" t="s">
        <v>1007</v>
      </c>
      <c r="C178" s="1015">
        <f>_xlfn.IFERROR(VLOOKUP(B178,'[1]ПО КОРИСНИЦИМА'!$C$3:$J$11609,5,FALSE),"")</f>
      </c>
      <c r="D178" s="1019"/>
      <c r="E178" s="1013">
        <f t="shared" si="5"/>
        <v>0</v>
      </c>
      <c r="F178" s="1020"/>
      <c r="G178" s="1016">
        <f t="shared" si="4"/>
        <v>0</v>
      </c>
      <c r="H178" s="1017"/>
    </row>
    <row r="179" spans="1:8" ht="12.75" customHeight="1" hidden="1">
      <c r="A179" s="1008"/>
      <c r="B179" s="1031" t="s">
        <v>1008</v>
      </c>
      <c r="C179" s="1015">
        <f>_xlfn.IFERROR(VLOOKUP(B179,'[1]ПО КОРИСНИЦИМА'!$C$3:$J$11609,5,FALSE),"")</f>
      </c>
      <c r="D179" s="1019"/>
      <c r="E179" s="1013">
        <f t="shared" si="5"/>
        <v>0</v>
      </c>
      <c r="F179" s="1020"/>
      <c r="G179" s="1016">
        <f t="shared" si="4"/>
        <v>0</v>
      </c>
      <c r="H179" s="1017"/>
    </row>
    <row r="180" spans="1:8" ht="12.75" customHeight="1" hidden="1">
      <c r="A180" s="1008"/>
      <c r="B180" s="1031" t="s">
        <v>1009</v>
      </c>
      <c r="C180" s="1015">
        <f>_xlfn.IFERROR(VLOOKUP(B180,'[1]ПО КОРИСНИЦИМА'!$C$3:$J$11609,5,FALSE),"")</f>
      </c>
      <c r="D180" s="1019"/>
      <c r="E180" s="1013">
        <f t="shared" si="5"/>
        <v>0</v>
      </c>
      <c r="F180" s="1020"/>
      <c r="G180" s="1016">
        <f t="shared" si="4"/>
        <v>0</v>
      </c>
      <c r="H180" s="1017"/>
    </row>
    <row r="181" spans="1:8" ht="12.75" customHeight="1" hidden="1">
      <c r="A181" s="1008"/>
      <c r="B181" s="1031" t="s">
        <v>1010</v>
      </c>
      <c r="C181" s="1015">
        <f>_xlfn.IFERROR(VLOOKUP(B181,'[1]ПО КОРИСНИЦИМА'!$C$3:$J$11609,5,FALSE),"")</f>
      </c>
      <c r="D181" s="1019"/>
      <c r="E181" s="1013">
        <f t="shared" si="5"/>
        <v>0</v>
      </c>
      <c r="F181" s="1020"/>
      <c r="G181" s="1016">
        <f t="shared" si="4"/>
        <v>0</v>
      </c>
      <c r="H181" s="1017"/>
    </row>
    <row r="182" spans="1:8" ht="12.75" customHeight="1" hidden="1">
      <c r="A182" s="1008"/>
      <c r="B182" s="1031" t="s">
        <v>1011</v>
      </c>
      <c r="C182" s="1015">
        <f>_xlfn.IFERROR(VLOOKUP(B182,'[1]ПО КОРИСНИЦИМА'!$C$3:$J$11609,5,FALSE),"")</f>
      </c>
      <c r="D182" s="1019"/>
      <c r="E182" s="1013">
        <f t="shared" si="5"/>
        <v>0</v>
      </c>
      <c r="F182" s="1020"/>
      <c r="G182" s="1016">
        <f t="shared" si="4"/>
        <v>0</v>
      </c>
      <c r="H182" s="1017"/>
    </row>
    <row r="183" spans="1:8" ht="12.75" customHeight="1" hidden="1">
      <c r="A183" s="1008"/>
      <c r="B183" s="1031" t="s">
        <v>1012</v>
      </c>
      <c r="C183" s="1015">
        <f>_xlfn.IFERROR(VLOOKUP(B183,'[1]ПО КОРИСНИЦИМА'!$C$3:$J$11609,5,FALSE),"")</f>
      </c>
      <c r="D183" s="1019"/>
      <c r="E183" s="1013">
        <f t="shared" si="5"/>
        <v>0</v>
      </c>
      <c r="F183" s="1020"/>
      <c r="G183" s="1016">
        <f t="shared" si="4"/>
        <v>0</v>
      </c>
      <c r="H183" s="1017"/>
    </row>
    <row r="184" spans="1:8" ht="12.75" customHeight="1" hidden="1">
      <c r="A184" s="1008"/>
      <c r="B184" s="1031" t="s">
        <v>1013</v>
      </c>
      <c r="C184" s="1015">
        <f>_xlfn.IFERROR(VLOOKUP(B184,'[1]ПО КОРИСНИЦИМА'!$C$3:$J$11609,5,FALSE),"")</f>
      </c>
      <c r="D184" s="1019"/>
      <c r="E184" s="1013">
        <f t="shared" si="5"/>
        <v>0</v>
      </c>
      <c r="F184" s="1020"/>
      <c r="G184" s="1016">
        <f t="shared" si="4"/>
        <v>0</v>
      </c>
      <c r="H184" s="1017"/>
    </row>
    <row r="185" spans="1:8" ht="12.75" customHeight="1" hidden="1">
      <c r="A185" s="1008"/>
      <c r="B185" s="1031" t="s">
        <v>1014</v>
      </c>
      <c r="C185" s="1015">
        <f>_xlfn.IFERROR(VLOOKUP(B185,'[1]ПО КОРИСНИЦИМА'!$C$3:$J$11609,5,FALSE),"")</f>
      </c>
      <c r="D185" s="1019"/>
      <c r="E185" s="1013">
        <f t="shared" si="5"/>
        <v>0</v>
      </c>
      <c r="F185" s="1020"/>
      <c r="G185" s="1016">
        <f t="shared" si="4"/>
        <v>0</v>
      </c>
      <c r="H185" s="1017"/>
    </row>
    <row r="186" spans="1:8" ht="12.75" customHeight="1" hidden="1">
      <c r="A186" s="1008"/>
      <c r="B186" s="1031" t="s">
        <v>1015</v>
      </c>
      <c r="C186" s="1015">
        <f>_xlfn.IFERROR(VLOOKUP(B186,'[1]ПО КОРИСНИЦИМА'!$C$3:$J$11609,5,FALSE),"")</f>
      </c>
      <c r="D186" s="1019"/>
      <c r="E186" s="1013">
        <f t="shared" si="5"/>
        <v>0</v>
      </c>
      <c r="F186" s="1020"/>
      <c r="G186" s="1016">
        <f t="shared" si="4"/>
        <v>0</v>
      </c>
      <c r="H186" s="1017"/>
    </row>
    <row r="187" spans="1:8" ht="12.75" customHeight="1" hidden="1">
      <c r="A187" s="1008"/>
      <c r="B187" s="1031" t="s">
        <v>1016</v>
      </c>
      <c r="C187" s="1015">
        <f>_xlfn.IFERROR(VLOOKUP(B187,'[1]ПО КОРИСНИЦИМА'!$C$3:$J$11609,5,FALSE),"")</f>
      </c>
      <c r="D187" s="1019"/>
      <c r="E187" s="1013">
        <f t="shared" si="5"/>
        <v>0</v>
      </c>
      <c r="F187" s="1020"/>
      <c r="G187" s="1016">
        <f t="shared" si="4"/>
        <v>0</v>
      </c>
      <c r="H187" s="1017"/>
    </row>
    <row r="188" spans="1:8" ht="12.75" hidden="1">
      <c r="A188" s="1008"/>
      <c r="B188" s="1031" t="s">
        <v>1017</v>
      </c>
      <c r="C188" s="1015">
        <f>_xlfn.IFERROR(VLOOKUP(B188,'[1]ПО КОРИСНИЦИМА'!$C$3:$J$11609,5,FALSE),"")</f>
      </c>
      <c r="D188" s="1019" t="e">
        <f>SUMIF('[1]ПО КОРИСНИЦИМА'!$G$3:$G$11609,"Свега за пројекат 0401-П11:",'[1]ПО КОРИСНИЦИМА'!$H$3:$H$11609)</f>
        <v>#VALUE!</v>
      </c>
      <c r="E188" s="1013" t="e">
        <f t="shared" si="5"/>
        <v>#VALUE!</v>
      </c>
      <c r="F188" s="1020" t="e">
        <f>SUMIF('[1]ПО КОРИСНИЦИМА'!$G$3:$G$11609,"Свега за пројекат 0401-П11:",'[1]ПО КОРИСНИЦИМА'!$I$3:$I$11609)</f>
        <v>#VALUE!</v>
      </c>
      <c r="G188" s="1016" t="e">
        <f t="shared" si="4"/>
        <v>#VALUE!</v>
      </c>
      <c r="H188" s="1017"/>
    </row>
    <row r="189" spans="1:8" ht="12.75" hidden="1">
      <c r="A189" s="1008"/>
      <c r="B189" s="1031" t="s">
        <v>1018</v>
      </c>
      <c r="C189" s="1015">
        <f>_xlfn.IFERROR(VLOOKUP(B189,'[1]ПО КОРИСНИЦИМА'!$C$3:$J$11609,5,FALSE),"")</f>
      </c>
      <c r="D189" s="1019" t="e">
        <f>SUMIF('[1]ПО КОРИСНИЦИМА'!$G$3:$G$11609,"Свега за пројекат 0401-П12:",'[1]ПО КОРИСНИЦИМА'!$H$3:$H$11609)</f>
        <v>#VALUE!</v>
      </c>
      <c r="E189" s="1013" t="e">
        <f t="shared" si="5"/>
        <v>#VALUE!</v>
      </c>
      <c r="F189" s="1020" t="e">
        <f>SUMIF('[1]ПО КОРИСНИЦИМА'!$G$3:$G$11609,"Свега за пројекат 0401-П12:",'[1]ПО КОРИСНИЦИМА'!$I$3:$I$11609)</f>
        <v>#VALUE!</v>
      </c>
      <c r="G189" s="1016" t="e">
        <f t="shared" si="4"/>
        <v>#VALUE!</v>
      </c>
      <c r="H189" s="1017"/>
    </row>
    <row r="190" spans="1:8" ht="12.75" hidden="1">
      <c r="A190" s="1008"/>
      <c r="B190" s="1031" t="s">
        <v>1019</v>
      </c>
      <c r="C190" s="1015">
        <f>_xlfn.IFERROR(VLOOKUP(B190,'[1]ПО КОРИСНИЦИМА'!$C$3:$J$11609,5,FALSE),"")</f>
      </c>
      <c r="D190" s="1019" t="e">
        <f>SUMIF('[1]ПО КОРИСНИЦИМА'!$G$3:$G$11609,"Свега за пројекат 0401-П13:",'[1]ПО КОРИСНИЦИМА'!$H$3:$H$11609)</f>
        <v>#VALUE!</v>
      </c>
      <c r="E190" s="1013" t="e">
        <f t="shared" si="5"/>
        <v>#VALUE!</v>
      </c>
      <c r="F190" s="1020" t="e">
        <f>SUMIF('[1]ПО КОРИСНИЦИМА'!$G$3:$G$11609,"Свега за пројекат 0401-П13:",'[1]ПО КОРИСНИЦИМА'!$I$3:$I$11609)</f>
        <v>#VALUE!</v>
      </c>
      <c r="G190" s="1016" t="e">
        <f t="shared" si="4"/>
        <v>#VALUE!</v>
      </c>
      <c r="H190" s="1017"/>
    </row>
    <row r="191" spans="1:8" ht="12.75" hidden="1">
      <c r="A191" s="1008"/>
      <c r="B191" s="1031" t="s">
        <v>1020</v>
      </c>
      <c r="C191" s="1015">
        <f>_xlfn.IFERROR(VLOOKUP(B191,'[1]ПО КОРИСНИЦИМА'!$C$3:$J$11609,5,FALSE),"")</f>
      </c>
      <c r="D191" s="1019" t="e">
        <f>SUMIF('[1]ПО КОРИСНИЦИМА'!$G$3:$G$11609,"Свега за пројекат 0401-П14:",'[1]ПО КОРИСНИЦИМА'!$H$3:$H$11609)</f>
        <v>#VALUE!</v>
      </c>
      <c r="E191" s="1013" t="e">
        <f t="shared" si="5"/>
        <v>#VALUE!</v>
      </c>
      <c r="F191" s="1020" t="e">
        <f>SUMIF('[1]ПО КОРИСНИЦИМА'!$G$3:$G$11609,"Свега за пројекат 0401-П14:",'[1]ПО КОРИСНИЦИМА'!$I$3:$I$11609)</f>
        <v>#VALUE!</v>
      </c>
      <c r="G191" s="1016" t="e">
        <f t="shared" si="4"/>
        <v>#VALUE!</v>
      </c>
      <c r="H191" s="1017"/>
    </row>
    <row r="192" spans="1:8" ht="12.75" hidden="1">
      <c r="A192" s="1030"/>
      <c r="B192" s="1031" t="s">
        <v>1021</v>
      </c>
      <c r="C192" s="1015">
        <f>_xlfn.IFERROR(VLOOKUP(B192,'[1]ПО КОРИСНИЦИМА'!$C$3:$J$11609,5,FALSE),"")</f>
      </c>
      <c r="D192" s="1019" t="e">
        <f>SUMIF('[1]ПО КОРИСНИЦИМА'!$G$3:$G$11609,"Свега за пројекат 0401-П15:",'[1]ПО КОРИСНИЦИМА'!$H$3:$H$11609)</f>
        <v>#VALUE!</v>
      </c>
      <c r="E192" s="1013" t="e">
        <f t="shared" si="5"/>
        <v>#VALUE!</v>
      </c>
      <c r="F192" s="1020" t="e">
        <f>SUMIF('[1]ПО КОРИСНИЦИМА'!$G$3:$G$11609,"Свега за пројекат 0401-П15:",'[1]ПО КОРИСНИЦИМА'!$I$3:$I$11609)</f>
        <v>#VALUE!</v>
      </c>
      <c r="G192" s="1016" t="e">
        <f t="shared" si="4"/>
        <v>#VALUE!</v>
      </c>
      <c r="H192" s="1017"/>
    </row>
    <row r="193" spans="1:8" s="320" customFormat="1" ht="12.75">
      <c r="A193" s="1009" t="s">
        <v>317</v>
      </c>
      <c r="B193" s="1010"/>
      <c r="C193" s="1011" t="s">
        <v>1331</v>
      </c>
      <c r="D193" s="1012">
        <f>SUM(D194:D201)+D246</f>
        <v>18440000</v>
      </c>
      <c r="E193" s="1013">
        <f t="shared" si="5"/>
        <v>0.04068066617079347</v>
      </c>
      <c r="F193" s="1012">
        <f>SUM(F194:F201)+F246</f>
        <v>33786871.21</v>
      </c>
      <c r="G193" s="1032">
        <f t="shared" si="4"/>
        <v>52226871.21</v>
      </c>
      <c r="H193" s="1027"/>
    </row>
    <row r="194" spans="1:8" ht="12.75" hidden="1">
      <c r="A194" s="1008"/>
      <c r="B194" s="1028" t="s">
        <v>865</v>
      </c>
      <c r="C194" s="1029" t="s">
        <v>849</v>
      </c>
      <c r="D194" s="1016"/>
      <c r="E194" s="1013">
        <f t="shared" si="5"/>
        <v>0</v>
      </c>
      <c r="F194" s="1018"/>
      <c r="G194" s="1016">
        <f t="shared" si="4"/>
        <v>0</v>
      </c>
      <c r="H194" s="1017"/>
    </row>
    <row r="195" spans="1:8" ht="12.75">
      <c r="A195" s="1008"/>
      <c r="B195" s="1028" t="s">
        <v>318</v>
      </c>
      <c r="C195" s="1029" t="s">
        <v>1333</v>
      </c>
      <c r="D195" s="1016">
        <f>'Rashodi-2021'!M341</f>
        <v>15690000</v>
      </c>
      <c r="E195" s="1486">
        <f t="shared" si="5"/>
        <v>0.03461386400324021</v>
      </c>
      <c r="F195" s="1016">
        <f>'Rashodi-2021'!T341</f>
        <v>28286871.21</v>
      </c>
      <c r="G195" s="1016">
        <f t="shared" si="4"/>
        <v>43976871.21</v>
      </c>
      <c r="H195" s="1017" t="s">
        <v>1289</v>
      </c>
    </row>
    <row r="196" spans="1:8" ht="12.75" hidden="1">
      <c r="A196" s="1030"/>
      <c r="B196" s="1030" t="s">
        <v>1022</v>
      </c>
      <c r="C196" s="1015">
        <f>_xlfn.IFERROR(VLOOKUP(B196,'[1]ПО КОРИСНИЦИМА'!$C$3:$J$11609,5,FALSE),"")</f>
      </c>
      <c r="D196" s="1019"/>
      <c r="E196" s="1486">
        <f t="shared" si="5"/>
        <v>0</v>
      </c>
      <c r="F196" s="1020"/>
      <c r="G196" s="1016">
        <f aca="true" t="shared" si="6" ref="G196:G260">D196+F196</f>
        <v>0</v>
      </c>
      <c r="H196" s="1017"/>
    </row>
    <row r="197" spans="1:8" ht="12.75" hidden="1">
      <c r="A197" s="1030"/>
      <c r="B197" s="1030" t="s">
        <v>1023</v>
      </c>
      <c r="C197" s="1015">
        <f>_xlfn.IFERROR(VLOOKUP(B197,'[1]ПО КОРИСНИЦИМА'!$C$3:$J$11609,5,FALSE),"")</f>
      </c>
      <c r="D197" s="1019"/>
      <c r="E197" s="1486">
        <f t="shared" si="5"/>
        <v>0</v>
      </c>
      <c r="F197" s="1020"/>
      <c r="G197" s="1016">
        <f t="shared" si="6"/>
        <v>0</v>
      </c>
      <c r="H197" s="1017"/>
    </row>
    <row r="198" spans="1:8" ht="12.75" hidden="1">
      <c r="A198" s="1030"/>
      <c r="B198" s="1030" t="s">
        <v>1024</v>
      </c>
      <c r="C198" s="1015">
        <f>_xlfn.IFERROR(VLOOKUP(B198,'[1]ПО КОРИСНИЦИМА'!$C$3:$J$11609,5,FALSE),"")</f>
      </c>
      <c r="D198" s="1019"/>
      <c r="E198" s="1486">
        <f aca="true" t="shared" si="7" ref="E198:E261">D198/453286579</f>
        <v>0</v>
      </c>
      <c r="F198" s="1020"/>
      <c r="G198" s="1016">
        <f t="shared" si="6"/>
        <v>0</v>
      </c>
      <c r="H198" s="1017"/>
    </row>
    <row r="199" spans="1:8" ht="12.75" hidden="1">
      <c r="A199" s="1030"/>
      <c r="B199" s="1030" t="s">
        <v>1025</v>
      </c>
      <c r="C199" s="1015">
        <f>_xlfn.IFERROR(VLOOKUP(B199,'[1]ПО КОРИСНИЦИМА'!$C$3:$J$11609,5,FALSE),"")</f>
      </c>
      <c r="D199" s="1019"/>
      <c r="E199" s="1486">
        <f t="shared" si="7"/>
        <v>0</v>
      </c>
      <c r="F199" s="1020"/>
      <c r="G199" s="1016">
        <f t="shared" si="6"/>
        <v>0</v>
      </c>
      <c r="H199" s="1017"/>
    </row>
    <row r="200" spans="1:8" ht="12.75" hidden="1">
      <c r="A200" s="1030"/>
      <c r="B200" s="1030" t="s">
        <v>1026</v>
      </c>
      <c r="C200" s="1015">
        <f>_xlfn.IFERROR(VLOOKUP(B200,'[1]ПО КОРИСНИЦИМА'!$C$3:$J$11609,5,FALSE),"")</f>
      </c>
      <c r="D200" s="1019"/>
      <c r="E200" s="1486">
        <f t="shared" si="7"/>
        <v>0</v>
      </c>
      <c r="F200" s="1020"/>
      <c r="G200" s="1016">
        <f t="shared" si="6"/>
        <v>0</v>
      </c>
      <c r="H200" s="1017"/>
    </row>
    <row r="201" spans="1:8" ht="12.75" hidden="1">
      <c r="A201" s="1030"/>
      <c r="B201" s="1030" t="s">
        <v>1027</v>
      </c>
      <c r="C201" s="1015">
        <f>_xlfn.IFERROR(VLOOKUP(B201,'[1]ПО КОРИСНИЦИМА'!$C$3:$J$11609,5,FALSE),"")</f>
      </c>
      <c r="D201" s="1019"/>
      <c r="E201" s="1486">
        <f t="shared" si="7"/>
        <v>0</v>
      </c>
      <c r="F201" s="1020"/>
      <c r="G201" s="1016">
        <f t="shared" si="6"/>
        <v>0</v>
      </c>
      <c r="H201" s="1017"/>
    </row>
    <row r="202" spans="1:8" ht="12.75" hidden="1">
      <c r="A202" s="1030"/>
      <c r="B202" s="1030" t="s">
        <v>1028</v>
      </c>
      <c r="C202" s="1015">
        <f>_xlfn.IFERROR(VLOOKUP(B202,'[1]ПО КОРИСНИЦИМА'!$C$3:$J$11609,5,FALSE),"")</f>
      </c>
      <c r="D202" s="1019" t="e">
        <f>SUMIF('[1]ПО КОРИСНИЦИМА'!$G$3:$G$11609,"Свега за пројекат 0701-П7:",'[1]ПО КОРИСНИЦИМА'!$H$3:$H$11609)</f>
        <v>#VALUE!</v>
      </c>
      <c r="E202" s="1486" t="e">
        <f t="shared" si="7"/>
        <v>#VALUE!</v>
      </c>
      <c r="F202" s="1020"/>
      <c r="G202" s="1016" t="e">
        <f t="shared" si="6"/>
        <v>#VALUE!</v>
      </c>
      <c r="H202" s="1017"/>
    </row>
    <row r="203" spans="1:8" ht="12.75" hidden="1">
      <c r="A203" s="1030"/>
      <c r="B203" s="1030" t="s">
        <v>1029</v>
      </c>
      <c r="C203" s="1015">
        <f>_xlfn.IFERROR(VLOOKUP(B203,'[1]ПО КОРИСНИЦИМА'!$C$3:$J$11609,5,FALSE),"")</f>
      </c>
      <c r="D203" s="1019" t="e">
        <f>SUMIF('[1]ПО КОРИСНИЦИМА'!$G$3:$G$11609,"Свега за пројекат 0701-П8:",'[1]ПО КОРИСНИЦИМА'!$H$3:$H$11609)</f>
        <v>#VALUE!</v>
      </c>
      <c r="E203" s="1486" t="e">
        <f t="shared" si="7"/>
        <v>#VALUE!</v>
      </c>
      <c r="F203" s="1020"/>
      <c r="G203" s="1016" t="e">
        <f t="shared" si="6"/>
        <v>#VALUE!</v>
      </c>
      <c r="H203" s="1017"/>
    </row>
    <row r="204" spans="1:8" ht="12.75" hidden="1">
      <c r="A204" s="1030"/>
      <c r="B204" s="1030" t="s">
        <v>1030</v>
      </c>
      <c r="C204" s="1015">
        <f>_xlfn.IFERROR(VLOOKUP(B204,'[1]ПО КОРИСНИЦИМА'!$C$3:$J$11609,5,FALSE),"")</f>
      </c>
      <c r="D204" s="1019" t="e">
        <f>SUMIF('[1]ПО КОРИСНИЦИМА'!$G$3:$G$11609,"Свега за пројекат 0701-П9:",'[1]ПО КОРИСНИЦИМА'!$H$3:$H$11609)</f>
        <v>#VALUE!</v>
      </c>
      <c r="E204" s="1486" t="e">
        <f t="shared" si="7"/>
        <v>#VALUE!</v>
      </c>
      <c r="F204" s="1020"/>
      <c r="G204" s="1016" t="e">
        <f t="shared" si="6"/>
        <v>#VALUE!</v>
      </c>
      <c r="H204" s="1017"/>
    </row>
    <row r="205" spans="1:8" ht="12.75" hidden="1">
      <c r="A205" s="1030"/>
      <c r="B205" s="1030" t="s">
        <v>1031</v>
      </c>
      <c r="C205" s="1015">
        <f>_xlfn.IFERROR(VLOOKUP(B205,'[1]ПО КОРИСНИЦИМА'!$C$3:$J$11609,5,FALSE),"")</f>
      </c>
      <c r="D205" s="1019" t="e">
        <f>SUMIF('[1]ПО КОРИСНИЦИМА'!$G$3:$G$11609,"Свега за пројекат 0701-П10:",'[1]ПО КОРИСНИЦИМА'!$H$3:$H$11609)</f>
        <v>#VALUE!</v>
      </c>
      <c r="E205" s="1486" t="e">
        <f t="shared" si="7"/>
        <v>#VALUE!</v>
      </c>
      <c r="F205" s="1020"/>
      <c r="G205" s="1016" t="e">
        <f t="shared" si="6"/>
        <v>#VALUE!</v>
      </c>
      <c r="H205" s="1017"/>
    </row>
    <row r="206" spans="1:8" ht="12.75" hidden="1">
      <c r="A206" s="1030"/>
      <c r="B206" s="1030" t="s">
        <v>1032</v>
      </c>
      <c r="C206" s="1015">
        <f>_xlfn.IFERROR(VLOOKUP(B206,'[1]ПО КОРИСНИЦИМА'!$C$3:$J$11609,5,FALSE),"")</f>
      </c>
      <c r="D206" s="1019" t="e">
        <f>SUMIF('[1]ПО КОРИСНИЦИМА'!$G$3:$G$11609,"Свега за пројекат 0701-П11:",'[1]ПО КОРИСНИЦИМА'!$H$3:$H$11609)</f>
        <v>#VALUE!</v>
      </c>
      <c r="E206" s="1486" t="e">
        <f t="shared" si="7"/>
        <v>#VALUE!</v>
      </c>
      <c r="F206" s="1020"/>
      <c r="G206" s="1016" t="e">
        <f t="shared" si="6"/>
        <v>#VALUE!</v>
      </c>
      <c r="H206" s="1017"/>
    </row>
    <row r="207" spans="1:8" ht="12.75" hidden="1">
      <c r="A207" s="1030"/>
      <c r="B207" s="1030" t="s">
        <v>1033</v>
      </c>
      <c r="C207" s="1015">
        <f>_xlfn.IFERROR(VLOOKUP(B207,'[1]ПО КОРИСНИЦИМА'!$C$3:$J$11609,5,FALSE),"")</f>
      </c>
      <c r="D207" s="1019" t="e">
        <f>SUMIF('[1]ПО КОРИСНИЦИМА'!$G$3:$G$11609,"Свега за пројекат 0701-П12:",'[1]ПО КОРИСНИЦИМА'!$H$3:$H$11609)</f>
        <v>#VALUE!</v>
      </c>
      <c r="E207" s="1486" t="e">
        <f t="shared" si="7"/>
        <v>#VALUE!</v>
      </c>
      <c r="F207" s="1020"/>
      <c r="G207" s="1016" t="e">
        <f t="shared" si="6"/>
        <v>#VALUE!</v>
      </c>
      <c r="H207" s="1017"/>
    </row>
    <row r="208" spans="1:8" ht="12.75" hidden="1">
      <c r="A208" s="1030"/>
      <c r="B208" s="1030" t="s">
        <v>1034</v>
      </c>
      <c r="C208" s="1015">
        <f>_xlfn.IFERROR(VLOOKUP(B208,'[1]ПО КОРИСНИЦИМА'!$C$3:$J$11609,5,FALSE),"")</f>
      </c>
      <c r="D208" s="1019" t="e">
        <f>SUMIF('[1]ПО КОРИСНИЦИМА'!$G$3:$G$11609,"Свега за пројекат 0701-П13:",'[1]ПО КОРИСНИЦИМА'!$H$3:$H$11609)</f>
        <v>#VALUE!</v>
      </c>
      <c r="E208" s="1486" t="e">
        <f t="shared" si="7"/>
        <v>#VALUE!</v>
      </c>
      <c r="F208" s="1020"/>
      <c r="G208" s="1016" t="e">
        <f t="shared" si="6"/>
        <v>#VALUE!</v>
      </c>
      <c r="H208" s="1017"/>
    </row>
    <row r="209" spans="1:8" ht="12.75" hidden="1">
      <c r="A209" s="1030"/>
      <c r="B209" s="1030" t="s">
        <v>1035</v>
      </c>
      <c r="C209" s="1015">
        <f>_xlfn.IFERROR(VLOOKUP(B209,'[1]ПО КОРИСНИЦИМА'!$C$3:$J$11609,5,FALSE),"")</f>
      </c>
      <c r="D209" s="1019" t="e">
        <f>SUMIF('[1]ПО КОРИСНИЦИМА'!$G$3:$G$11609,"Свега за пројекат 0701-П14:",'[1]ПО КОРИСНИЦИМА'!$H$3:$H$11609)</f>
        <v>#VALUE!</v>
      </c>
      <c r="E209" s="1486" t="e">
        <f t="shared" si="7"/>
        <v>#VALUE!</v>
      </c>
      <c r="F209" s="1020"/>
      <c r="G209" s="1016" t="e">
        <f t="shared" si="6"/>
        <v>#VALUE!</v>
      </c>
      <c r="H209" s="1017"/>
    </row>
    <row r="210" spans="1:8" ht="12.75" hidden="1">
      <c r="A210" s="1030"/>
      <c r="B210" s="1030" t="s">
        <v>1036</v>
      </c>
      <c r="C210" s="1015">
        <f>_xlfn.IFERROR(VLOOKUP(B210,'[1]ПО КОРИСНИЦИМА'!$C$3:$J$11609,5,FALSE),"")</f>
      </c>
      <c r="D210" s="1019" t="e">
        <f>SUMIF('[1]ПО КОРИСНИЦИМА'!$G$3:$G$11609,"Свега за пројекат 0701-П15:",'[1]ПО КОРИСНИЦИМА'!$H$3:$H$11609)</f>
        <v>#VALUE!</v>
      </c>
      <c r="E210" s="1486" t="e">
        <f t="shared" si="7"/>
        <v>#VALUE!</v>
      </c>
      <c r="F210" s="1020"/>
      <c r="G210" s="1016" t="e">
        <f t="shared" si="6"/>
        <v>#VALUE!</v>
      </c>
      <c r="H210" s="1017"/>
    </row>
    <row r="211" spans="1:8" ht="12.75" hidden="1">
      <c r="A211" s="1030"/>
      <c r="B211" s="1030" t="s">
        <v>1037</v>
      </c>
      <c r="C211" s="1015">
        <f>_xlfn.IFERROR(VLOOKUP(B211,'[1]ПО КОРИСНИЦИМА'!$C$3:$J$11609,5,FALSE),"")</f>
      </c>
      <c r="D211" s="1019" t="e">
        <f>SUMIF('[1]ПО КОРИСНИЦИМА'!$G$3:$G$11609,"Свега за пројекат 0701-П16:",'[1]ПО КОРИСНИЦИМА'!$H$3:$H$11609)</f>
        <v>#VALUE!</v>
      </c>
      <c r="E211" s="1486" t="e">
        <f t="shared" si="7"/>
        <v>#VALUE!</v>
      </c>
      <c r="F211" s="1020"/>
      <c r="G211" s="1016" t="e">
        <f t="shared" si="6"/>
        <v>#VALUE!</v>
      </c>
      <c r="H211" s="1017"/>
    </row>
    <row r="212" spans="1:8" ht="12.75" hidden="1">
      <c r="A212" s="1030"/>
      <c r="B212" s="1030" t="s">
        <v>1038</v>
      </c>
      <c r="C212" s="1015">
        <f>_xlfn.IFERROR(VLOOKUP(B212,'[1]ПО КОРИСНИЦИМА'!$C$3:$J$11609,5,FALSE),"")</f>
      </c>
      <c r="D212" s="1019" t="e">
        <f>SUMIF('[1]ПО КОРИСНИЦИМА'!$G$3:$G$11609,"Свега за пројекат 0701-П17:",'[1]ПО КОРИСНИЦИМА'!$H$3:$H$11609)</f>
        <v>#VALUE!</v>
      </c>
      <c r="E212" s="1486" t="e">
        <f t="shared" si="7"/>
        <v>#VALUE!</v>
      </c>
      <c r="F212" s="1020"/>
      <c r="G212" s="1016" t="e">
        <f t="shared" si="6"/>
        <v>#VALUE!</v>
      </c>
      <c r="H212" s="1017"/>
    </row>
    <row r="213" spans="1:8" ht="12.75" hidden="1">
      <c r="A213" s="1030"/>
      <c r="B213" s="1030" t="s">
        <v>1039</v>
      </c>
      <c r="C213" s="1015">
        <f>_xlfn.IFERROR(VLOOKUP(B213,'[1]ПО КОРИСНИЦИМА'!$C$3:$J$11609,5,FALSE),"")</f>
      </c>
      <c r="D213" s="1019" t="e">
        <f>SUMIF('[1]ПО КОРИСНИЦИМА'!$G$3:$G$11609,"Свега за пројекат 0701-П18:",'[1]ПО КОРИСНИЦИМА'!$H$3:$H$11609)</f>
        <v>#VALUE!</v>
      </c>
      <c r="E213" s="1486" t="e">
        <f t="shared" si="7"/>
        <v>#VALUE!</v>
      </c>
      <c r="F213" s="1020"/>
      <c r="G213" s="1016" t="e">
        <f t="shared" si="6"/>
        <v>#VALUE!</v>
      </c>
      <c r="H213" s="1017"/>
    </row>
    <row r="214" spans="1:8" ht="12.75" hidden="1">
      <c r="A214" s="1030"/>
      <c r="B214" s="1030" t="s">
        <v>1040</v>
      </c>
      <c r="C214" s="1015">
        <f>_xlfn.IFERROR(VLOOKUP(B214,'[1]ПО КОРИСНИЦИМА'!$C$3:$J$11609,5,FALSE),"")</f>
      </c>
      <c r="D214" s="1019" t="e">
        <f>SUMIF('[1]ПО КОРИСНИЦИМА'!$G$3:$G$11609,"Свега за пројекат 0701-П19:",'[1]ПО КОРИСНИЦИМА'!$H$3:$H$11609)</f>
        <v>#VALUE!</v>
      </c>
      <c r="E214" s="1486" t="e">
        <f t="shared" si="7"/>
        <v>#VALUE!</v>
      </c>
      <c r="F214" s="1020"/>
      <c r="G214" s="1016" t="e">
        <f t="shared" si="6"/>
        <v>#VALUE!</v>
      </c>
      <c r="H214" s="1017"/>
    </row>
    <row r="215" spans="1:8" ht="12.75" hidden="1">
      <c r="A215" s="1030"/>
      <c r="B215" s="1030" t="s">
        <v>1041</v>
      </c>
      <c r="C215" s="1015">
        <f>_xlfn.IFERROR(VLOOKUP(B215,'[1]ПО КОРИСНИЦИМА'!$C$3:$J$11609,5,FALSE),"")</f>
      </c>
      <c r="D215" s="1019" t="e">
        <f>SUMIF('[1]ПО КОРИСНИЦИМА'!$G$3:$G$11609,"Свега за пројекат 0701-П20:",'[1]ПО КОРИСНИЦИМА'!$H$3:$H$11609)</f>
        <v>#VALUE!</v>
      </c>
      <c r="E215" s="1486" t="e">
        <f t="shared" si="7"/>
        <v>#VALUE!</v>
      </c>
      <c r="F215" s="1020"/>
      <c r="G215" s="1016" t="e">
        <f t="shared" si="6"/>
        <v>#VALUE!</v>
      </c>
      <c r="H215" s="1017"/>
    </row>
    <row r="216" spans="1:8" ht="12.75" hidden="1">
      <c r="A216" s="1030"/>
      <c r="B216" s="1030" t="s">
        <v>1042</v>
      </c>
      <c r="C216" s="1015">
        <f>_xlfn.IFERROR(VLOOKUP(B216,'[1]ПО КОРИСНИЦИМА'!$C$3:$J$11609,5,FALSE),"")</f>
      </c>
      <c r="D216" s="1019" t="e">
        <f>SUMIF('[1]ПО КОРИСНИЦИМА'!$G$3:$G$11609,"Свега за пројекат 0701-П21:",'[1]ПО КОРИСНИЦИМА'!$H$3:$H$11609)</f>
        <v>#VALUE!</v>
      </c>
      <c r="E216" s="1486" t="e">
        <f t="shared" si="7"/>
        <v>#VALUE!</v>
      </c>
      <c r="F216" s="1020"/>
      <c r="G216" s="1016" t="e">
        <f t="shared" si="6"/>
        <v>#VALUE!</v>
      </c>
      <c r="H216" s="1017"/>
    </row>
    <row r="217" spans="1:8" ht="12.75" hidden="1">
      <c r="A217" s="1030"/>
      <c r="B217" s="1030" t="s">
        <v>1043</v>
      </c>
      <c r="C217" s="1015">
        <f>_xlfn.IFERROR(VLOOKUP(B217,'[1]ПО КОРИСНИЦИМА'!$C$3:$J$11609,5,FALSE),"")</f>
      </c>
      <c r="D217" s="1019" t="e">
        <f>SUMIF('[1]ПО КОРИСНИЦИМА'!$G$3:$G$11609,"Свега за пројекат 0701-П22:",'[1]ПО КОРИСНИЦИМА'!$H$3:$H$11609)</f>
        <v>#VALUE!</v>
      </c>
      <c r="E217" s="1486" t="e">
        <f t="shared" si="7"/>
        <v>#VALUE!</v>
      </c>
      <c r="F217" s="1020"/>
      <c r="G217" s="1016" t="e">
        <f t="shared" si="6"/>
        <v>#VALUE!</v>
      </c>
      <c r="H217" s="1017"/>
    </row>
    <row r="218" spans="1:8" ht="12.75" hidden="1">
      <c r="A218" s="1030"/>
      <c r="B218" s="1030" t="s">
        <v>1044</v>
      </c>
      <c r="C218" s="1015">
        <f>_xlfn.IFERROR(VLOOKUP(B218,'[1]ПО КОРИСНИЦИМА'!$C$3:$J$11609,5,FALSE),"")</f>
      </c>
      <c r="D218" s="1019" t="e">
        <f>SUMIF('[1]ПО КОРИСНИЦИМА'!$G$3:$G$11609,"Свега за пројекат 0701-П23:",'[1]ПО КОРИСНИЦИМА'!$H$3:$H$11609)</f>
        <v>#VALUE!</v>
      </c>
      <c r="E218" s="1486" t="e">
        <f t="shared" si="7"/>
        <v>#VALUE!</v>
      </c>
      <c r="F218" s="1020"/>
      <c r="G218" s="1016" t="e">
        <f t="shared" si="6"/>
        <v>#VALUE!</v>
      </c>
      <c r="H218" s="1017"/>
    </row>
    <row r="219" spans="1:8" ht="12.75" hidden="1">
      <c r="A219" s="1030"/>
      <c r="B219" s="1030" t="s">
        <v>1045</v>
      </c>
      <c r="C219" s="1015">
        <f>_xlfn.IFERROR(VLOOKUP(B219,'[1]ПО КОРИСНИЦИМА'!$C$3:$J$11609,5,FALSE),"")</f>
      </c>
      <c r="D219" s="1019" t="e">
        <f>SUMIF('[1]ПО КОРИСНИЦИМА'!$G$3:$G$11609,"Свега за пројекат 0701-П24:",'[1]ПО КОРИСНИЦИМА'!$H$3:$H$11609)</f>
        <v>#VALUE!</v>
      </c>
      <c r="E219" s="1486" t="e">
        <f t="shared" si="7"/>
        <v>#VALUE!</v>
      </c>
      <c r="F219" s="1020"/>
      <c r="G219" s="1016" t="e">
        <f t="shared" si="6"/>
        <v>#VALUE!</v>
      </c>
      <c r="H219" s="1017"/>
    </row>
    <row r="220" spans="1:8" ht="12.75" hidden="1">
      <c r="A220" s="1030"/>
      <c r="B220" s="1030" t="s">
        <v>1046</v>
      </c>
      <c r="C220" s="1015">
        <f>_xlfn.IFERROR(VLOOKUP(B220,'[1]ПО КОРИСНИЦИМА'!$C$3:$J$11609,5,FALSE),"")</f>
      </c>
      <c r="D220" s="1019" t="e">
        <f>SUMIF('[1]ПО КОРИСНИЦИМА'!$G$3:$G$11609,"Свега за пројекат 0701-П25:",'[1]ПО КОРИСНИЦИМА'!$H$3:$H$11609)</f>
        <v>#VALUE!</v>
      </c>
      <c r="E220" s="1486" t="e">
        <f t="shared" si="7"/>
        <v>#VALUE!</v>
      </c>
      <c r="F220" s="1020"/>
      <c r="G220" s="1016" t="e">
        <f t="shared" si="6"/>
        <v>#VALUE!</v>
      </c>
      <c r="H220" s="1017"/>
    </row>
    <row r="221" spans="1:8" ht="12.75" hidden="1">
      <c r="A221" s="1030"/>
      <c r="B221" s="1030" t="s">
        <v>1047</v>
      </c>
      <c r="C221" s="1015">
        <f>_xlfn.IFERROR(VLOOKUP(B221,'[1]ПО КОРИСНИЦИМА'!$C$3:$J$11609,5,FALSE),"")</f>
      </c>
      <c r="D221" s="1019" t="e">
        <f>SUMIF('[1]ПО КОРИСНИЦИМА'!$G$3:$G$11609,"Свега за пројекат 0701-П26:",'[1]ПО КОРИСНИЦИМА'!$H$3:$H$11609)</f>
        <v>#VALUE!</v>
      </c>
      <c r="E221" s="1486" t="e">
        <f t="shared" si="7"/>
        <v>#VALUE!</v>
      </c>
      <c r="F221" s="1020"/>
      <c r="G221" s="1016" t="e">
        <f t="shared" si="6"/>
        <v>#VALUE!</v>
      </c>
      <c r="H221" s="1017"/>
    </row>
    <row r="222" spans="1:8" ht="12.75" hidden="1">
      <c r="A222" s="1030"/>
      <c r="B222" s="1030" t="s">
        <v>1048</v>
      </c>
      <c r="C222" s="1015">
        <f>_xlfn.IFERROR(VLOOKUP(B222,'[1]ПО КОРИСНИЦИМА'!$C$3:$J$11609,5,FALSE),"")</f>
      </c>
      <c r="D222" s="1019" t="e">
        <f>SUMIF('[1]ПО КОРИСНИЦИМА'!$G$3:$G$11609,"Свега за пројекат 0701-П27:",'[1]ПО КОРИСНИЦИМА'!$H$3:$H$11609)</f>
        <v>#VALUE!</v>
      </c>
      <c r="E222" s="1486" t="e">
        <f t="shared" si="7"/>
        <v>#VALUE!</v>
      </c>
      <c r="F222" s="1020"/>
      <c r="G222" s="1016" t="e">
        <f t="shared" si="6"/>
        <v>#VALUE!</v>
      </c>
      <c r="H222" s="1017"/>
    </row>
    <row r="223" spans="1:8" ht="12.75" hidden="1">
      <c r="A223" s="1030"/>
      <c r="B223" s="1030" t="s">
        <v>1049</v>
      </c>
      <c r="C223" s="1015">
        <f>_xlfn.IFERROR(VLOOKUP(B223,'[1]ПО КОРИСНИЦИМА'!$C$3:$J$11609,5,FALSE),"")</f>
      </c>
      <c r="D223" s="1019" t="e">
        <f>SUMIF('[1]ПО КОРИСНИЦИМА'!$G$3:$G$11609,"Свега за пројекат 0701-П28:",'[1]ПО КОРИСНИЦИМА'!$H$3:$H$11609)</f>
        <v>#VALUE!</v>
      </c>
      <c r="E223" s="1486" t="e">
        <f t="shared" si="7"/>
        <v>#VALUE!</v>
      </c>
      <c r="F223" s="1020"/>
      <c r="G223" s="1016" t="e">
        <f t="shared" si="6"/>
        <v>#VALUE!</v>
      </c>
      <c r="H223" s="1017"/>
    </row>
    <row r="224" spans="1:8" ht="12.75" hidden="1">
      <c r="A224" s="1030"/>
      <c r="B224" s="1030" t="s">
        <v>1050</v>
      </c>
      <c r="C224" s="1015">
        <f>_xlfn.IFERROR(VLOOKUP(B224,'[1]ПО КОРИСНИЦИМА'!$C$3:$J$11609,5,FALSE),"")</f>
      </c>
      <c r="D224" s="1019" t="e">
        <f>SUMIF('[1]ПО КОРИСНИЦИМА'!$G$3:$G$11609,"Свега за пројекат 0701-П29:",'[1]ПО КОРИСНИЦИМА'!$H$3:$H$11609)</f>
        <v>#VALUE!</v>
      </c>
      <c r="E224" s="1486" t="e">
        <f t="shared" si="7"/>
        <v>#VALUE!</v>
      </c>
      <c r="F224" s="1020"/>
      <c r="G224" s="1016" t="e">
        <f t="shared" si="6"/>
        <v>#VALUE!</v>
      </c>
      <c r="H224" s="1017"/>
    </row>
    <row r="225" spans="1:8" ht="12.75" hidden="1">
      <c r="A225" s="1030"/>
      <c r="B225" s="1030" t="s">
        <v>1051</v>
      </c>
      <c r="C225" s="1015">
        <f>_xlfn.IFERROR(VLOOKUP(B225,'[1]ПО КОРИСНИЦИМА'!$C$3:$J$11609,5,FALSE),"")</f>
      </c>
      <c r="D225" s="1019" t="e">
        <f>SUMIF('[1]ПО КОРИСНИЦИМА'!$G$3:$G$11609,"Свега за пројекат 0701-П30:",'[1]ПО КОРИСНИЦИМА'!$H$3:$H$11609)</f>
        <v>#VALUE!</v>
      </c>
      <c r="E225" s="1486" t="e">
        <f t="shared" si="7"/>
        <v>#VALUE!</v>
      </c>
      <c r="F225" s="1020"/>
      <c r="G225" s="1016" t="e">
        <f t="shared" si="6"/>
        <v>#VALUE!</v>
      </c>
      <c r="H225" s="1017"/>
    </row>
    <row r="226" spans="1:8" ht="12.75" hidden="1">
      <c r="A226" s="1030"/>
      <c r="B226" s="1030" t="s">
        <v>1052</v>
      </c>
      <c r="C226" s="1015">
        <f>_xlfn.IFERROR(VLOOKUP(B226,'[1]ПО КОРИСНИЦИМА'!$C$3:$J$11609,5,FALSE),"")</f>
      </c>
      <c r="D226" s="1019" t="e">
        <f>SUMIF('[1]ПО КОРИСНИЦИМА'!$G$3:$G$11609,"Свега за пројекат 0701-П31:",'[1]ПО КОРИСНИЦИМА'!$H$3:$H$11609)</f>
        <v>#VALUE!</v>
      </c>
      <c r="E226" s="1486" t="e">
        <f t="shared" si="7"/>
        <v>#VALUE!</v>
      </c>
      <c r="F226" s="1020"/>
      <c r="G226" s="1016" t="e">
        <f t="shared" si="6"/>
        <v>#VALUE!</v>
      </c>
      <c r="H226" s="1017"/>
    </row>
    <row r="227" spans="1:8" ht="12.75" hidden="1">
      <c r="A227" s="1030"/>
      <c r="B227" s="1030" t="s">
        <v>1053</v>
      </c>
      <c r="C227" s="1015">
        <f>_xlfn.IFERROR(VLOOKUP(B227,'[1]ПО КОРИСНИЦИМА'!$C$3:$J$11609,5,FALSE),"")</f>
      </c>
      <c r="D227" s="1019" t="e">
        <f>SUMIF('[1]ПО КОРИСНИЦИМА'!$G$3:$G$11609,"Свега за пројекат 0701-П32:",'[1]ПО КОРИСНИЦИМА'!$H$3:$H$11609)</f>
        <v>#VALUE!</v>
      </c>
      <c r="E227" s="1486" t="e">
        <f t="shared" si="7"/>
        <v>#VALUE!</v>
      </c>
      <c r="F227" s="1020"/>
      <c r="G227" s="1016" t="e">
        <f t="shared" si="6"/>
        <v>#VALUE!</v>
      </c>
      <c r="H227" s="1017"/>
    </row>
    <row r="228" spans="1:8" ht="12.75" hidden="1">
      <c r="A228" s="1030"/>
      <c r="B228" s="1030" t="s">
        <v>1054</v>
      </c>
      <c r="C228" s="1015">
        <f>_xlfn.IFERROR(VLOOKUP(B228,'[1]ПО КОРИСНИЦИМА'!$C$3:$J$11609,5,FALSE),"")</f>
      </c>
      <c r="D228" s="1019" t="e">
        <f>SUMIF('[1]ПО КОРИСНИЦИМА'!$G$3:$G$11609,"Свега за пројекат 0701-П33:",'[1]ПО КОРИСНИЦИМА'!$H$3:$H$11609)</f>
        <v>#VALUE!</v>
      </c>
      <c r="E228" s="1486" t="e">
        <f t="shared" si="7"/>
        <v>#VALUE!</v>
      </c>
      <c r="F228" s="1020"/>
      <c r="G228" s="1016" t="e">
        <f t="shared" si="6"/>
        <v>#VALUE!</v>
      </c>
      <c r="H228" s="1017"/>
    </row>
    <row r="229" spans="1:8" ht="12.75" hidden="1">
      <c r="A229" s="1030"/>
      <c r="B229" s="1030" t="s">
        <v>1055</v>
      </c>
      <c r="C229" s="1015">
        <f>_xlfn.IFERROR(VLOOKUP(B229,'[1]ПО КОРИСНИЦИМА'!$C$3:$J$11609,5,FALSE),"")</f>
      </c>
      <c r="D229" s="1019" t="e">
        <f>SUMIF('[1]ПО КОРИСНИЦИМА'!$G$3:$G$11609,"Свега за пројекат 0701-П34:",'[1]ПО КОРИСНИЦИМА'!$H$3:$H$11609)</f>
        <v>#VALUE!</v>
      </c>
      <c r="E229" s="1486" t="e">
        <f t="shared" si="7"/>
        <v>#VALUE!</v>
      </c>
      <c r="F229" s="1020"/>
      <c r="G229" s="1016" t="e">
        <f t="shared" si="6"/>
        <v>#VALUE!</v>
      </c>
      <c r="H229" s="1017"/>
    </row>
    <row r="230" spans="1:8" ht="12.75" hidden="1">
      <c r="A230" s="1030"/>
      <c r="B230" s="1030" t="s">
        <v>1056</v>
      </c>
      <c r="C230" s="1015">
        <f>_xlfn.IFERROR(VLOOKUP(B230,'[1]ПО КОРИСНИЦИМА'!$C$3:$J$11609,5,FALSE),"")</f>
      </c>
      <c r="D230" s="1019" t="e">
        <f>SUMIF('[1]ПО КОРИСНИЦИМА'!$G$3:$G$11609,"Свега за пројекат 0701-П35:",'[1]ПО КОРИСНИЦИМА'!$H$3:$H$11609)</f>
        <v>#VALUE!</v>
      </c>
      <c r="E230" s="1486" t="e">
        <f t="shared" si="7"/>
        <v>#VALUE!</v>
      </c>
      <c r="F230" s="1020"/>
      <c r="G230" s="1016" t="e">
        <f t="shared" si="6"/>
        <v>#VALUE!</v>
      </c>
      <c r="H230" s="1017"/>
    </row>
    <row r="231" spans="1:8" ht="12.75" hidden="1">
      <c r="A231" s="1030"/>
      <c r="B231" s="1030" t="s">
        <v>1057</v>
      </c>
      <c r="C231" s="1015">
        <f>_xlfn.IFERROR(VLOOKUP(B231,'[1]ПО КОРИСНИЦИМА'!$C$3:$J$11609,5,FALSE),"")</f>
      </c>
      <c r="D231" s="1019" t="e">
        <f>SUMIF('[1]ПО КОРИСНИЦИМА'!$G$3:$G$11609,"Свега за пројекат 0701-П36:",'[1]ПО КОРИСНИЦИМА'!$H$3:$H$11609)</f>
        <v>#VALUE!</v>
      </c>
      <c r="E231" s="1486" t="e">
        <f t="shared" si="7"/>
        <v>#VALUE!</v>
      </c>
      <c r="F231" s="1020"/>
      <c r="G231" s="1016" t="e">
        <f t="shared" si="6"/>
        <v>#VALUE!</v>
      </c>
      <c r="H231" s="1017"/>
    </row>
    <row r="232" spans="1:8" ht="12.75" hidden="1">
      <c r="A232" s="1030"/>
      <c r="B232" s="1030" t="s">
        <v>1058</v>
      </c>
      <c r="C232" s="1015">
        <f>_xlfn.IFERROR(VLOOKUP(B232,'[1]ПО КОРИСНИЦИМА'!$C$3:$J$11609,5,FALSE),"")</f>
      </c>
      <c r="D232" s="1019" t="e">
        <f>SUMIF('[1]ПО КОРИСНИЦИМА'!$G$3:$G$11609,"Свега за пројекат 0701-П37:",'[1]ПО КОРИСНИЦИМА'!$H$3:$H$11609)</f>
        <v>#VALUE!</v>
      </c>
      <c r="E232" s="1486" t="e">
        <f t="shared" si="7"/>
        <v>#VALUE!</v>
      </c>
      <c r="F232" s="1020"/>
      <c r="G232" s="1016" t="e">
        <f t="shared" si="6"/>
        <v>#VALUE!</v>
      </c>
      <c r="H232" s="1017"/>
    </row>
    <row r="233" spans="1:8" ht="12.75" hidden="1">
      <c r="A233" s="1030"/>
      <c r="B233" s="1030" t="s">
        <v>1059</v>
      </c>
      <c r="C233" s="1015">
        <f>_xlfn.IFERROR(VLOOKUP(B233,'[1]ПО КОРИСНИЦИМА'!$C$3:$J$11609,5,FALSE),"")</f>
      </c>
      <c r="D233" s="1019" t="e">
        <f>SUMIF('[1]ПО КОРИСНИЦИМА'!$G$3:$G$11609,"Свега за пројекат 0701-П38:",'[1]ПО КОРИСНИЦИМА'!$H$3:$H$11609)</f>
        <v>#VALUE!</v>
      </c>
      <c r="E233" s="1486" t="e">
        <f t="shared" si="7"/>
        <v>#VALUE!</v>
      </c>
      <c r="F233" s="1020"/>
      <c r="G233" s="1016" t="e">
        <f t="shared" si="6"/>
        <v>#VALUE!</v>
      </c>
      <c r="H233" s="1017"/>
    </row>
    <row r="234" spans="1:8" ht="12.75" hidden="1">
      <c r="A234" s="1030"/>
      <c r="B234" s="1030" t="s">
        <v>1060</v>
      </c>
      <c r="C234" s="1015">
        <f>_xlfn.IFERROR(VLOOKUP(B234,'[1]ПО КОРИСНИЦИМА'!$C$3:$J$11609,5,FALSE),"")</f>
      </c>
      <c r="D234" s="1019" t="e">
        <f>SUMIF('[1]ПО КОРИСНИЦИМА'!$G$3:$G$11609,"Свега за пројекат 0701-П39:",'[1]ПО КОРИСНИЦИМА'!$H$3:$H$11609)</f>
        <v>#VALUE!</v>
      </c>
      <c r="E234" s="1486" t="e">
        <f t="shared" si="7"/>
        <v>#VALUE!</v>
      </c>
      <c r="F234" s="1020"/>
      <c r="G234" s="1016" t="e">
        <f t="shared" si="6"/>
        <v>#VALUE!</v>
      </c>
      <c r="H234" s="1017"/>
    </row>
    <row r="235" spans="1:8" ht="12.75" hidden="1">
      <c r="A235" s="1030"/>
      <c r="B235" s="1030" t="s">
        <v>1061</v>
      </c>
      <c r="C235" s="1015">
        <f>_xlfn.IFERROR(VLOOKUP(B235,'[1]ПО КОРИСНИЦИМА'!$C$3:$J$11609,5,FALSE),"")</f>
      </c>
      <c r="D235" s="1019" t="e">
        <f>SUMIF('[1]ПО КОРИСНИЦИМА'!$G$3:$G$11609,"Свега за пројекат 0701-П40:",'[1]ПО КОРИСНИЦИМА'!$H$3:$H$11609)</f>
        <v>#VALUE!</v>
      </c>
      <c r="E235" s="1486" t="e">
        <f t="shared" si="7"/>
        <v>#VALUE!</v>
      </c>
      <c r="F235" s="1020"/>
      <c r="G235" s="1016" t="e">
        <f t="shared" si="6"/>
        <v>#VALUE!</v>
      </c>
      <c r="H235" s="1017"/>
    </row>
    <row r="236" spans="1:8" ht="12.75" hidden="1">
      <c r="A236" s="1030"/>
      <c r="B236" s="1030" t="s">
        <v>1062</v>
      </c>
      <c r="C236" s="1015">
        <f>_xlfn.IFERROR(VLOOKUP(B236,'[1]ПО КОРИСНИЦИМА'!$C$3:$J$11609,5,FALSE),"")</f>
      </c>
      <c r="D236" s="1019" t="e">
        <f>SUMIF('[1]ПО КОРИСНИЦИМА'!$G$3:$G$11609,"Свега за пројекат 0701-П41:",'[1]ПО КОРИСНИЦИМА'!$H$3:$H$11609)</f>
        <v>#VALUE!</v>
      </c>
      <c r="E236" s="1486" t="e">
        <f t="shared" si="7"/>
        <v>#VALUE!</v>
      </c>
      <c r="F236" s="1020"/>
      <c r="G236" s="1016" t="e">
        <f t="shared" si="6"/>
        <v>#VALUE!</v>
      </c>
      <c r="H236" s="1017"/>
    </row>
    <row r="237" spans="1:8" ht="12.75" hidden="1">
      <c r="A237" s="1030"/>
      <c r="B237" s="1030" t="s">
        <v>1063</v>
      </c>
      <c r="C237" s="1015">
        <f>_xlfn.IFERROR(VLOOKUP(B237,'[1]ПО КОРИСНИЦИМА'!$C$3:$J$11609,5,FALSE),"")</f>
      </c>
      <c r="D237" s="1019" t="e">
        <f>SUMIF('[1]ПО КОРИСНИЦИМА'!$G$3:$G$11609,"Свега за пројекат 0701-П42:",'[1]ПО КОРИСНИЦИМА'!$H$3:$H$11609)</f>
        <v>#VALUE!</v>
      </c>
      <c r="E237" s="1486" t="e">
        <f t="shared" si="7"/>
        <v>#VALUE!</v>
      </c>
      <c r="F237" s="1020"/>
      <c r="G237" s="1016" t="e">
        <f t="shared" si="6"/>
        <v>#VALUE!</v>
      </c>
      <c r="H237" s="1017"/>
    </row>
    <row r="238" spans="1:8" ht="12.75" hidden="1">
      <c r="A238" s="1030"/>
      <c r="B238" s="1030" t="s">
        <v>1064</v>
      </c>
      <c r="C238" s="1015">
        <f>_xlfn.IFERROR(VLOOKUP(B238,'[1]ПО КОРИСНИЦИМА'!$C$3:$J$11609,5,FALSE),"")</f>
      </c>
      <c r="D238" s="1019" t="e">
        <f>SUMIF('[1]ПО КОРИСНИЦИМА'!$G$3:$G$11609,"Свега за пројекат 0701-П43:",'[1]ПО КОРИСНИЦИМА'!$H$3:$H$11609)</f>
        <v>#VALUE!</v>
      </c>
      <c r="E238" s="1486" t="e">
        <f t="shared" si="7"/>
        <v>#VALUE!</v>
      </c>
      <c r="F238" s="1020"/>
      <c r="G238" s="1016" t="e">
        <f t="shared" si="6"/>
        <v>#VALUE!</v>
      </c>
      <c r="H238" s="1017"/>
    </row>
    <row r="239" spans="1:8" ht="12.75" hidden="1">
      <c r="A239" s="1030"/>
      <c r="B239" s="1030" t="s">
        <v>1065</v>
      </c>
      <c r="C239" s="1015">
        <f>_xlfn.IFERROR(VLOOKUP(B239,'[1]ПО КОРИСНИЦИМА'!$C$3:$J$11609,5,FALSE),"")</f>
      </c>
      <c r="D239" s="1019" t="e">
        <f>SUMIF('[1]ПО КОРИСНИЦИМА'!$G$3:$G$11609,"Свега за пројекат 0701-П44:",'[1]ПО КОРИСНИЦИМА'!$H$3:$H$11609)</f>
        <v>#VALUE!</v>
      </c>
      <c r="E239" s="1486" t="e">
        <f t="shared" si="7"/>
        <v>#VALUE!</v>
      </c>
      <c r="F239" s="1020"/>
      <c r="G239" s="1016" t="e">
        <f t="shared" si="6"/>
        <v>#VALUE!</v>
      </c>
      <c r="H239" s="1017"/>
    </row>
    <row r="240" spans="1:8" ht="12.75" hidden="1">
      <c r="A240" s="1030"/>
      <c r="B240" s="1030" t="s">
        <v>1066</v>
      </c>
      <c r="C240" s="1015">
        <f>_xlfn.IFERROR(VLOOKUP(B240,'[1]ПО КОРИСНИЦИМА'!$C$3:$J$11609,5,FALSE),"")</f>
      </c>
      <c r="D240" s="1019" t="e">
        <f>SUMIF('[1]ПО КОРИСНИЦИМА'!$G$3:$G$11609,"Свега за пројекат 0701-П45:",'[1]ПО КОРИСНИЦИМА'!$H$3:$H$11609)</f>
        <v>#VALUE!</v>
      </c>
      <c r="E240" s="1486" t="e">
        <f t="shared" si="7"/>
        <v>#VALUE!</v>
      </c>
      <c r="F240" s="1020"/>
      <c r="G240" s="1016" t="e">
        <f t="shared" si="6"/>
        <v>#VALUE!</v>
      </c>
      <c r="H240" s="1017"/>
    </row>
    <row r="241" spans="1:8" ht="12.75" hidden="1">
      <c r="A241" s="1030"/>
      <c r="B241" s="1030" t="s">
        <v>1067</v>
      </c>
      <c r="C241" s="1015">
        <f>_xlfn.IFERROR(VLOOKUP(B241,'[1]ПО КОРИСНИЦИМА'!$C$3:$J$11609,5,FALSE),"")</f>
      </c>
      <c r="D241" s="1019" t="e">
        <f>SUMIF('[1]ПО КОРИСНИЦИМА'!$G$3:$G$11609,"Свега за пројекат 0701-П46:",'[1]ПО КОРИСНИЦИМА'!$H$3:$H$11609)</f>
        <v>#VALUE!</v>
      </c>
      <c r="E241" s="1486" t="e">
        <f t="shared" si="7"/>
        <v>#VALUE!</v>
      </c>
      <c r="F241" s="1020"/>
      <c r="G241" s="1016" t="e">
        <f t="shared" si="6"/>
        <v>#VALUE!</v>
      </c>
      <c r="H241" s="1017"/>
    </row>
    <row r="242" spans="1:8" ht="12.75" hidden="1">
      <c r="A242" s="1030"/>
      <c r="B242" s="1030" t="s">
        <v>1068</v>
      </c>
      <c r="C242" s="1015">
        <f>_xlfn.IFERROR(VLOOKUP(B242,'[1]ПО КОРИСНИЦИМА'!$C$3:$J$11609,5,FALSE),"")</f>
      </c>
      <c r="D242" s="1019" t="e">
        <f>SUMIF('[1]ПО КОРИСНИЦИМА'!$G$3:$G$11609,"Свега за пројекат 0701-П47:",'[1]ПО КОРИСНИЦИМА'!$H$3:$H$11609)</f>
        <v>#VALUE!</v>
      </c>
      <c r="E242" s="1486" t="e">
        <f t="shared" si="7"/>
        <v>#VALUE!</v>
      </c>
      <c r="F242" s="1020"/>
      <c r="G242" s="1016" t="e">
        <f t="shared" si="6"/>
        <v>#VALUE!</v>
      </c>
      <c r="H242" s="1017"/>
    </row>
    <row r="243" spans="1:8" ht="12.75" hidden="1">
      <c r="A243" s="1030"/>
      <c r="B243" s="1030" t="s">
        <v>1069</v>
      </c>
      <c r="C243" s="1015">
        <f>_xlfn.IFERROR(VLOOKUP(B243,'[1]ПО КОРИСНИЦИМА'!$C$3:$J$11609,5,FALSE),"")</f>
      </c>
      <c r="D243" s="1019" t="e">
        <f>SUMIF('[1]ПО КОРИСНИЦИМА'!$G$3:$G$11609,"Свега за пројекат 0701-П48:",'[1]ПО КОРИСНИЦИМА'!$H$3:$H$11609)</f>
        <v>#VALUE!</v>
      </c>
      <c r="E243" s="1486" t="e">
        <f t="shared" si="7"/>
        <v>#VALUE!</v>
      </c>
      <c r="F243" s="1020"/>
      <c r="G243" s="1016" t="e">
        <f t="shared" si="6"/>
        <v>#VALUE!</v>
      </c>
      <c r="H243" s="1017"/>
    </row>
    <row r="244" spans="1:8" ht="12.75" hidden="1">
      <c r="A244" s="1030"/>
      <c r="B244" s="1030" t="s">
        <v>1070</v>
      </c>
      <c r="C244" s="1015">
        <f>_xlfn.IFERROR(VLOOKUP(B244,'[1]ПО КОРИСНИЦИМА'!$C$3:$J$11609,5,FALSE),"")</f>
      </c>
      <c r="D244" s="1019" t="e">
        <f>SUMIF('[1]ПО КОРИСНИЦИМА'!$G$3:$G$11609,"Свега за пројекат 0701-П49:",'[1]ПО КОРИСНИЦИМА'!$H$3:$H$11609)</f>
        <v>#VALUE!</v>
      </c>
      <c r="E244" s="1486" t="e">
        <f t="shared" si="7"/>
        <v>#VALUE!</v>
      </c>
      <c r="F244" s="1020"/>
      <c r="G244" s="1016" t="e">
        <f t="shared" si="6"/>
        <v>#VALUE!</v>
      </c>
      <c r="H244" s="1033"/>
    </row>
    <row r="245" spans="1:8" ht="12.75" hidden="1">
      <c r="A245" s="1030"/>
      <c r="B245" s="1030" t="s">
        <v>1071</v>
      </c>
      <c r="C245" s="1015">
        <f>_xlfn.IFERROR(VLOOKUP(B245,'[1]ПО КОРИСНИЦИМА'!$C$3:$J$11609,5,FALSE),"")</f>
      </c>
      <c r="D245" s="1019" t="e">
        <f>SUMIF('[1]ПО КОРИСНИЦИМА'!$G$3:$G$11609,"Свега за пројекат 0701-П50:",'[1]ПО КОРИСНИЦИМА'!$H$3:$H$11609)</f>
        <v>#VALUE!</v>
      </c>
      <c r="E245" s="1486" t="e">
        <f t="shared" si="7"/>
        <v>#VALUE!</v>
      </c>
      <c r="F245" s="1020"/>
      <c r="G245" s="1016" t="e">
        <f t="shared" si="6"/>
        <v>#VALUE!</v>
      </c>
      <c r="H245" s="1033"/>
    </row>
    <row r="246" spans="1:8" ht="12.75">
      <c r="A246" s="1030"/>
      <c r="B246" s="1030" t="s">
        <v>1523</v>
      </c>
      <c r="C246" s="1015" t="s">
        <v>1524</v>
      </c>
      <c r="D246" s="1019">
        <f>'Rashodi-2021'!M353</f>
        <v>2750000</v>
      </c>
      <c r="E246" s="1486">
        <f t="shared" si="7"/>
        <v>0.006066802167553256</v>
      </c>
      <c r="F246" s="1020">
        <f>'Rashodi-2021'!Q353</f>
        <v>5500000</v>
      </c>
      <c r="G246" s="1016">
        <f>D246+F246</f>
        <v>8250000</v>
      </c>
      <c r="H246" s="1033" t="s">
        <v>1166</v>
      </c>
    </row>
    <row r="247" spans="1:8" s="320" customFormat="1" ht="12.75">
      <c r="A247" s="1009" t="s">
        <v>292</v>
      </c>
      <c r="B247" s="1010"/>
      <c r="C247" s="1011" t="s">
        <v>3</v>
      </c>
      <c r="D247" s="1012">
        <f>SUM(D248:D255)</f>
        <v>63094886</v>
      </c>
      <c r="E247" s="1013">
        <f t="shared" si="7"/>
        <v>0.13919425132593657</v>
      </c>
      <c r="F247" s="1012">
        <f>SUM(F248:F255)</f>
        <v>5818925</v>
      </c>
      <c r="G247" s="1012">
        <f t="shared" si="6"/>
        <v>68913811</v>
      </c>
      <c r="H247" s="1027"/>
    </row>
    <row r="248" spans="1:8" ht="12.75">
      <c r="A248" s="1008"/>
      <c r="B248" s="1030" t="s">
        <v>288</v>
      </c>
      <c r="C248" s="1029" t="s">
        <v>1335</v>
      </c>
      <c r="D248" s="1016">
        <f>'Rashodi-2021'!M360</f>
        <v>63094886</v>
      </c>
      <c r="E248" s="1486">
        <f t="shared" si="7"/>
        <v>0.13919425132593657</v>
      </c>
      <c r="F248" s="1016">
        <f>'Rashodi-2021'!T360</f>
        <v>5818925</v>
      </c>
      <c r="G248" s="1016">
        <f t="shared" si="6"/>
        <v>68913811</v>
      </c>
      <c r="H248" s="1034" t="s">
        <v>1215</v>
      </c>
    </row>
    <row r="249" spans="1:8" ht="12.75" hidden="1">
      <c r="A249" s="1030"/>
      <c r="B249" s="1030" t="s">
        <v>1072</v>
      </c>
      <c r="C249" s="1015">
        <f>_xlfn.IFERROR(VLOOKUP(B249,'[1]ПО КОРИСНИЦИМА'!$C$3:$J$11609,5,FALSE),"")</f>
      </c>
      <c r="D249" s="1019"/>
      <c r="E249" s="1013">
        <f t="shared" si="7"/>
        <v>0</v>
      </c>
      <c r="F249" s="1020"/>
      <c r="G249" s="1016">
        <f t="shared" si="6"/>
        <v>0</v>
      </c>
      <c r="H249" s="1034"/>
    </row>
    <row r="250" spans="1:8" ht="12.75" hidden="1">
      <c r="A250" s="1030"/>
      <c r="B250" s="1030" t="s">
        <v>1073</v>
      </c>
      <c r="C250" s="1015">
        <f>_xlfn.IFERROR(VLOOKUP(B250,'[1]ПО КОРИСНИЦИМА'!$C$3:$J$11609,5,FALSE),"")</f>
      </c>
      <c r="D250" s="1019"/>
      <c r="E250" s="1013">
        <f t="shared" si="7"/>
        <v>0</v>
      </c>
      <c r="F250" s="1020"/>
      <c r="G250" s="1016">
        <f t="shared" si="6"/>
        <v>0</v>
      </c>
      <c r="H250" s="1034"/>
    </row>
    <row r="251" spans="1:8" ht="12.75" hidden="1">
      <c r="A251" s="1030"/>
      <c r="B251" s="1030" t="s">
        <v>1074</v>
      </c>
      <c r="C251" s="1015">
        <f>_xlfn.IFERROR(VLOOKUP(B251,'[1]ПО КОРИСНИЦИМА'!$C$3:$J$11609,5,FALSE),"")</f>
      </c>
      <c r="D251" s="1019"/>
      <c r="E251" s="1013">
        <f t="shared" si="7"/>
        <v>0</v>
      </c>
      <c r="F251" s="1020"/>
      <c r="G251" s="1016">
        <f t="shared" si="6"/>
        <v>0</v>
      </c>
      <c r="H251" s="1034"/>
    </row>
    <row r="252" spans="1:8" ht="12.75" hidden="1">
      <c r="A252" s="1030"/>
      <c r="B252" s="1030" t="s">
        <v>1075</v>
      </c>
      <c r="C252" s="1015">
        <f>_xlfn.IFERROR(VLOOKUP(B252,'[1]ПО КОРИСНИЦИМА'!$C$3:$J$11609,5,FALSE),"")</f>
      </c>
      <c r="D252" s="1019"/>
      <c r="E252" s="1013">
        <f t="shared" si="7"/>
        <v>0</v>
      </c>
      <c r="F252" s="1020"/>
      <c r="G252" s="1016">
        <f t="shared" si="6"/>
        <v>0</v>
      </c>
      <c r="H252" s="1034"/>
    </row>
    <row r="253" spans="1:8" ht="12.75" hidden="1">
      <c r="A253" s="1030"/>
      <c r="B253" s="1030" t="s">
        <v>1076</v>
      </c>
      <c r="C253" s="1015">
        <f>_xlfn.IFERROR(VLOOKUP(B253,'[1]ПО КОРИСНИЦИМА'!$C$3:$J$11609,5,FALSE),"")</f>
      </c>
      <c r="D253" s="1019"/>
      <c r="E253" s="1013">
        <f t="shared" si="7"/>
        <v>0</v>
      </c>
      <c r="F253" s="1020"/>
      <c r="G253" s="1016">
        <f t="shared" si="6"/>
        <v>0</v>
      </c>
      <c r="H253" s="1034"/>
    </row>
    <row r="254" spans="1:8" ht="12.75" hidden="1">
      <c r="A254" s="1030"/>
      <c r="B254" s="1030" t="s">
        <v>1077</v>
      </c>
      <c r="C254" s="1015">
        <f>_xlfn.IFERROR(VLOOKUP(B254,'[1]ПО КОРИСНИЦИМА'!$C$3:$J$11609,5,FALSE),"")</f>
      </c>
      <c r="D254" s="1019"/>
      <c r="E254" s="1013">
        <f t="shared" si="7"/>
        <v>0</v>
      </c>
      <c r="F254" s="1020"/>
      <c r="G254" s="1016">
        <f t="shared" si="6"/>
        <v>0</v>
      </c>
      <c r="H254" s="1034"/>
    </row>
    <row r="255" spans="1:8" ht="12.75" hidden="1">
      <c r="A255" s="1030"/>
      <c r="B255" s="1030" t="s">
        <v>1078</v>
      </c>
      <c r="C255" s="1015">
        <f>_xlfn.IFERROR(VLOOKUP(B255,'[1]ПО КОРИСНИЦИМА'!$C$3:$J$11609,5,FALSE),"")</f>
      </c>
      <c r="D255" s="1019"/>
      <c r="E255" s="1013">
        <f t="shared" si="7"/>
        <v>0</v>
      </c>
      <c r="F255" s="1020"/>
      <c r="G255" s="1016">
        <f t="shared" si="6"/>
        <v>0</v>
      </c>
      <c r="H255" s="1034"/>
    </row>
    <row r="256" spans="1:8" ht="12.75" hidden="1">
      <c r="A256" s="1030"/>
      <c r="B256" s="1030" t="s">
        <v>1079</v>
      </c>
      <c r="C256" s="1015">
        <f>_xlfn.IFERROR(VLOOKUP(B256,'[1]ПО КОРИСНИЦИМА'!$C$3:$J$11609,5,FALSE),"")</f>
      </c>
      <c r="D256" s="1019" t="e">
        <f>SUMIF('[1]ПО КОРИСНИЦИМА'!$G$3:$G$11609,"Свега за пројекат 2001-П8:",'[1]ПО КОРИСНИЦИМА'!$H$3:$H$11609)</f>
        <v>#VALUE!</v>
      </c>
      <c r="E256" s="1013" t="e">
        <f t="shared" si="7"/>
        <v>#VALUE!</v>
      </c>
      <c r="F256" s="1020" t="e">
        <f>SUMIF('[1]ПО КОРИСНИЦИМА'!$G$3:$G$11609,"Свега за пројекат 2001-П8:",'[1]ПО КОРИСНИЦИМА'!$I$3:$I$11609)</f>
        <v>#VALUE!</v>
      </c>
      <c r="G256" s="1016" t="e">
        <f t="shared" si="6"/>
        <v>#VALUE!</v>
      </c>
      <c r="H256" s="1034"/>
    </row>
    <row r="257" spans="1:8" ht="12.75" hidden="1">
      <c r="A257" s="1030"/>
      <c r="B257" s="1030" t="s">
        <v>1080</v>
      </c>
      <c r="C257" s="1015">
        <f>_xlfn.IFERROR(VLOOKUP(B257,'[1]ПО КОРИСНИЦИМА'!$C$3:$J$11609,5,FALSE),"")</f>
      </c>
      <c r="D257" s="1019" t="e">
        <f>SUMIF('[1]ПО КОРИСНИЦИМА'!$G$3:$G$11609,"Свега за пројекат 2001-П9:",'[1]ПО КОРИСНИЦИМА'!$H$3:$H$11609)</f>
        <v>#VALUE!</v>
      </c>
      <c r="E257" s="1013" t="e">
        <f t="shared" si="7"/>
        <v>#VALUE!</v>
      </c>
      <c r="F257" s="1020" t="e">
        <f>SUMIF('[1]ПО КОРИСНИЦИМА'!$G$3:$G$11609,"Свега за пројекат 2001-П9:",'[1]ПО КОРИСНИЦИМА'!$I$3:$I$11609)</f>
        <v>#VALUE!</v>
      </c>
      <c r="G257" s="1016" t="e">
        <f t="shared" si="6"/>
        <v>#VALUE!</v>
      </c>
      <c r="H257" s="1034"/>
    </row>
    <row r="258" spans="1:8" ht="12.75" hidden="1">
      <c r="A258" s="1030"/>
      <c r="B258" s="1030" t="s">
        <v>1081</v>
      </c>
      <c r="C258" s="1015">
        <f>_xlfn.IFERROR(VLOOKUP(B258,'[1]ПО КОРИСНИЦИМА'!$C$3:$J$11609,5,FALSE),"")</f>
      </c>
      <c r="D258" s="1019" t="e">
        <f>SUMIF('[1]ПО КОРИСНИЦИМА'!$G$3:$G$11609,"Свега за пројекат 2001-П10:",'[1]ПО КОРИСНИЦИМА'!$H$3:$H$11609)</f>
        <v>#VALUE!</v>
      </c>
      <c r="E258" s="1013" t="e">
        <f t="shared" si="7"/>
        <v>#VALUE!</v>
      </c>
      <c r="F258" s="1020" t="e">
        <f>SUMIF('[1]ПО КОРИСНИЦИМА'!$G$3:$G$11609,"Свега за пројекат 2001-П10:",'[1]ПО КОРИСНИЦИМА'!$I$3:$I$11609)</f>
        <v>#VALUE!</v>
      </c>
      <c r="G258" s="1016" t="e">
        <f t="shared" si="6"/>
        <v>#VALUE!</v>
      </c>
      <c r="H258" s="1034"/>
    </row>
    <row r="259" spans="1:8" ht="12.75" hidden="1">
      <c r="A259" s="1030"/>
      <c r="B259" s="1030" t="s">
        <v>1082</v>
      </c>
      <c r="C259" s="1015">
        <f>_xlfn.IFERROR(VLOOKUP(B259,'[1]ПО КОРИСНИЦИМА'!$C$3:$J$11609,5,FALSE),"")</f>
      </c>
      <c r="D259" s="1019" t="e">
        <f>SUMIF('[1]ПО КОРИСНИЦИМА'!$G$3:$G$11609,"Свега за пројекат 2001-П11:",'[1]ПО КОРИСНИЦИМА'!$H$3:$H$11609)</f>
        <v>#VALUE!</v>
      </c>
      <c r="E259" s="1013" t="e">
        <f t="shared" si="7"/>
        <v>#VALUE!</v>
      </c>
      <c r="F259" s="1020" t="e">
        <f>SUMIF('[1]ПО КОРИСНИЦИМА'!$G$3:$G$11609,"Свега за пројекат 2001-П11:",'[1]ПО КОРИСНИЦИМА'!$I$3:$I$11609)</f>
        <v>#VALUE!</v>
      </c>
      <c r="G259" s="1016" t="e">
        <f t="shared" si="6"/>
        <v>#VALUE!</v>
      </c>
      <c r="H259" s="1034"/>
    </row>
    <row r="260" spans="1:8" ht="12.75" hidden="1">
      <c r="A260" s="1030"/>
      <c r="B260" s="1030" t="s">
        <v>1083</v>
      </c>
      <c r="C260" s="1015">
        <f>_xlfn.IFERROR(VLOOKUP(B260,'[1]ПО КОРИСНИЦИМА'!$C$3:$J$11609,5,FALSE),"")</f>
      </c>
      <c r="D260" s="1019" t="e">
        <f>SUMIF('[1]ПО КОРИСНИЦИМА'!$G$3:$G$11609,"Свега за пројекат 2001-П12:",'[1]ПО КОРИСНИЦИМА'!$H$3:$H$11609)</f>
        <v>#VALUE!</v>
      </c>
      <c r="E260" s="1013" t="e">
        <f t="shared" si="7"/>
        <v>#VALUE!</v>
      </c>
      <c r="F260" s="1020" t="e">
        <f>SUMIF('[1]ПО КОРИСНИЦИМА'!$G$3:$G$11609,"Свега за пројекат 2001-П12:",'[1]ПО КОРИСНИЦИМА'!$I$3:$I$11609)</f>
        <v>#VALUE!</v>
      </c>
      <c r="G260" s="1016" t="e">
        <f t="shared" si="6"/>
        <v>#VALUE!</v>
      </c>
      <c r="H260" s="1034"/>
    </row>
    <row r="261" spans="1:8" ht="12.75" hidden="1">
      <c r="A261" s="1030"/>
      <c r="B261" s="1030" t="s">
        <v>1084</v>
      </c>
      <c r="C261" s="1015">
        <f>_xlfn.IFERROR(VLOOKUP(B261,'[1]ПО КОРИСНИЦИМА'!$C$3:$J$11609,5,FALSE),"")</f>
      </c>
      <c r="D261" s="1019" t="e">
        <f>SUMIF('[1]ПО КОРИСНИЦИМА'!$G$3:$G$11609,"Свега за пројекат 2001-П13:",'[1]ПО КОРИСНИЦИМА'!$H$3:$H$11609)</f>
        <v>#VALUE!</v>
      </c>
      <c r="E261" s="1013" t="e">
        <f t="shared" si="7"/>
        <v>#VALUE!</v>
      </c>
      <c r="F261" s="1020" t="e">
        <f>SUMIF('[1]ПО КОРИСНИЦИМА'!$G$3:$G$11609,"Свега за пројекат 2001-П13:",'[1]ПО КОРИСНИЦИМА'!$I$3:$I$11609)</f>
        <v>#VALUE!</v>
      </c>
      <c r="G261" s="1016" t="e">
        <f aca="true" t="shared" si="8" ref="G261:G324">D261+F261</f>
        <v>#VALUE!</v>
      </c>
      <c r="H261" s="1034"/>
    </row>
    <row r="262" spans="1:8" ht="12.75" hidden="1">
      <c r="A262" s="1030"/>
      <c r="B262" s="1030" t="s">
        <v>1085</v>
      </c>
      <c r="C262" s="1015">
        <f>_xlfn.IFERROR(VLOOKUP(B262,'[1]ПО КОРИСНИЦИМА'!$C$3:$J$11609,5,FALSE),"")</f>
      </c>
      <c r="D262" s="1019" t="e">
        <f>SUMIF('[1]ПО КОРИСНИЦИМА'!$G$3:$G$11609,"Свега за пројекат 2001-П14:",'[1]ПО КОРИСНИЦИМА'!$H$3:$H$11609)</f>
        <v>#VALUE!</v>
      </c>
      <c r="E262" s="1013" t="e">
        <f aca="true" t="shared" si="9" ref="E262:E325">D262/453286579</f>
        <v>#VALUE!</v>
      </c>
      <c r="F262" s="1020" t="e">
        <f>SUMIF('[1]ПО КОРИСНИЦИМА'!$G$3:$G$11609,"Свега за пројекат 2001-П14:",'[1]ПО КОРИСНИЦИМА'!$I$3:$I$11609)</f>
        <v>#VALUE!</v>
      </c>
      <c r="G262" s="1016" t="e">
        <f t="shared" si="8"/>
        <v>#VALUE!</v>
      </c>
      <c r="H262" s="1034"/>
    </row>
    <row r="263" spans="1:8" ht="12.75" hidden="1">
      <c r="A263" s="1030"/>
      <c r="B263" s="1030" t="s">
        <v>1086</v>
      </c>
      <c r="C263" s="1015">
        <f>_xlfn.IFERROR(VLOOKUP(B263,'[1]ПО КОРИСНИЦИМА'!$C$3:$J$11609,5,FALSE),"")</f>
      </c>
      <c r="D263" s="1019" t="e">
        <f>SUMIF('[1]ПО КОРИСНИЦИМА'!$G$3:$G$11609,"Свега за пројекат 2001-П15:",'[1]ПО КОРИСНИЦИМА'!$H$3:$H$11609)</f>
        <v>#VALUE!</v>
      </c>
      <c r="E263" s="1013" t="e">
        <f t="shared" si="9"/>
        <v>#VALUE!</v>
      </c>
      <c r="F263" s="1020" t="e">
        <f>SUMIF('[1]ПО КОРИСНИЦИМА'!$G$3:$G$11609,"Свега за пројекат 2001-П15:",'[1]ПО КОРИСНИЦИМА'!$I$3:$I$11609)</f>
        <v>#VALUE!</v>
      </c>
      <c r="G263" s="1016" t="e">
        <f t="shared" si="8"/>
        <v>#VALUE!</v>
      </c>
      <c r="H263" s="1034"/>
    </row>
    <row r="264" spans="1:8" ht="12.75" hidden="1">
      <c r="A264" s="1030"/>
      <c r="B264" s="1030" t="s">
        <v>1087</v>
      </c>
      <c r="C264" s="1015">
        <f>_xlfn.IFERROR(VLOOKUP(B264,'[1]ПО КОРИСНИЦИМА'!$C$3:$J$11609,5,FALSE),"")</f>
      </c>
      <c r="D264" s="1019" t="e">
        <f>SUMIF('[1]ПО КОРИСНИЦИМА'!$G$3:$G$11609,"Свега за пројекат 2001-П16:",'[1]ПО КОРИСНИЦИМА'!$H$3:$H$11609)</f>
        <v>#VALUE!</v>
      </c>
      <c r="E264" s="1013" t="e">
        <f t="shared" si="9"/>
        <v>#VALUE!</v>
      </c>
      <c r="F264" s="1020" t="e">
        <f>SUMIF('[1]ПО КОРИСНИЦИМА'!$G$3:$G$11609,"Свега за пројекат 2001-П16:",'[1]ПО КОРИСНИЦИМА'!$I$3:$I$11609)</f>
        <v>#VALUE!</v>
      </c>
      <c r="G264" s="1016" t="e">
        <f t="shared" si="8"/>
        <v>#VALUE!</v>
      </c>
      <c r="H264" s="1034"/>
    </row>
    <row r="265" spans="1:8" ht="12.75" hidden="1">
      <c r="A265" s="1030"/>
      <c r="B265" s="1030" t="s">
        <v>1088</v>
      </c>
      <c r="C265" s="1015">
        <f>_xlfn.IFERROR(VLOOKUP(B265,'[1]ПО КОРИСНИЦИМА'!$C$3:$J$11609,5,FALSE),"")</f>
      </c>
      <c r="D265" s="1019" t="e">
        <f>SUMIF('[1]ПО КОРИСНИЦИМА'!$G$3:$G$11609,"Свега за пројекат 2001-П17:",'[1]ПО КОРИСНИЦИМА'!$H$3:$H$11609)</f>
        <v>#VALUE!</v>
      </c>
      <c r="E265" s="1013" t="e">
        <f t="shared" si="9"/>
        <v>#VALUE!</v>
      </c>
      <c r="F265" s="1020" t="e">
        <f>SUMIF('[1]ПО КОРИСНИЦИМА'!$G$3:$G$11609,"Свега за пројекат 2001-П17:",'[1]ПО КОРИСНИЦИМА'!$I$3:$I$11609)</f>
        <v>#VALUE!</v>
      </c>
      <c r="G265" s="1016" t="e">
        <f t="shared" si="8"/>
        <v>#VALUE!</v>
      </c>
      <c r="H265" s="1034"/>
    </row>
    <row r="266" spans="1:8" ht="12.75" hidden="1">
      <c r="A266" s="1030"/>
      <c r="B266" s="1030" t="s">
        <v>1089</v>
      </c>
      <c r="C266" s="1015">
        <f>_xlfn.IFERROR(VLOOKUP(B266,'[1]ПО КОРИСНИЦИМА'!$C$3:$J$11609,5,FALSE),"")</f>
      </c>
      <c r="D266" s="1019" t="e">
        <f>SUMIF('[1]ПО КОРИСНИЦИМА'!$G$3:$G$11609,"Свега за пројекат 2001-П18:",'[1]ПО КОРИСНИЦИМА'!$H$3:$H$11609)</f>
        <v>#VALUE!</v>
      </c>
      <c r="E266" s="1013" t="e">
        <f t="shared" si="9"/>
        <v>#VALUE!</v>
      </c>
      <c r="F266" s="1020" t="e">
        <f>SUMIF('[1]ПО КОРИСНИЦИМА'!$G$3:$G$11609,"Свега за пројекат 2001-П18:",'[1]ПО КОРИСНИЦИМА'!$I$3:$I$11609)</f>
        <v>#VALUE!</v>
      </c>
      <c r="G266" s="1016" t="e">
        <f t="shared" si="8"/>
        <v>#VALUE!</v>
      </c>
      <c r="H266" s="1034"/>
    </row>
    <row r="267" spans="1:8" ht="12.75" hidden="1">
      <c r="A267" s="1030"/>
      <c r="B267" s="1030" t="s">
        <v>1090</v>
      </c>
      <c r="C267" s="1015">
        <f>_xlfn.IFERROR(VLOOKUP(B267,'[1]ПО КОРИСНИЦИМА'!$C$3:$J$11609,5,FALSE),"")</f>
      </c>
      <c r="D267" s="1019" t="e">
        <f>SUMIF('[1]ПО КОРИСНИЦИМА'!$G$3:$G$11609,"Свега за пројекат 2001-П19:",'[1]ПО КОРИСНИЦИМА'!$H$3:$H$11609)</f>
        <v>#VALUE!</v>
      </c>
      <c r="E267" s="1013" t="e">
        <f t="shared" si="9"/>
        <v>#VALUE!</v>
      </c>
      <c r="F267" s="1020" t="e">
        <f>SUMIF('[1]ПО КОРИСНИЦИМА'!$G$3:$G$11609,"Свега за пројекат 2001-П19:",'[1]ПО КОРИСНИЦИМА'!$I$3:$I$11609)</f>
        <v>#VALUE!</v>
      </c>
      <c r="G267" s="1016" t="e">
        <f t="shared" si="8"/>
        <v>#VALUE!</v>
      </c>
      <c r="H267" s="1034"/>
    </row>
    <row r="268" spans="1:8" ht="12.75" hidden="1">
      <c r="A268" s="1030"/>
      <c r="B268" s="1030" t="s">
        <v>1091</v>
      </c>
      <c r="C268" s="1015">
        <f>_xlfn.IFERROR(VLOOKUP(B268,'[1]ПО КОРИСНИЦИМА'!$C$3:$J$11609,5,FALSE),"")</f>
      </c>
      <c r="D268" s="1019" t="e">
        <f>SUMIF('[1]ПО КОРИСНИЦИМА'!$G$3:$G$11609,"Свега за пројекат 2001-П20:",'[1]ПО КОРИСНИЦИМА'!$H$3:$H$11609)</f>
        <v>#VALUE!</v>
      </c>
      <c r="E268" s="1013" t="e">
        <f t="shared" si="9"/>
        <v>#VALUE!</v>
      </c>
      <c r="F268" s="1020" t="e">
        <f>SUMIF('[1]ПО КОРИСНИЦИМА'!$G$3:$G$11609,"Свега за пројекат 2001-П20:",'[1]ПО КОРИСНИЦИМА'!$I$3:$I$11609)</f>
        <v>#VALUE!</v>
      </c>
      <c r="G268" s="1016" t="e">
        <f t="shared" si="8"/>
        <v>#VALUE!</v>
      </c>
      <c r="H268" s="1034"/>
    </row>
    <row r="269" spans="1:8" ht="12.75" hidden="1">
      <c r="A269" s="1030"/>
      <c r="B269" s="1030" t="s">
        <v>1092</v>
      </c>
      <c r="C269" s="1015">
        <f>_xlfn.IFERROR(VLOOKUP(B269,'[1]ПО КОРИСНИЦИМА'!$C$3:$J$11609,5,FALSE),"")</f>
      </c>
      <c r="D269" s="1019" t="e">
        <f>SUMIF('[1]ПО КОРИСНИЦИМА'!$G$3:$G$11609,"Свега за пројекат 2001-П21:",'[1]ПО КОРИСНИЦИМА'!$H$3:$H$11609)</f>
        <v>#VALUE!</v>
      </c>
      <c r="E269" s="1013" t="e">
        <f t="shared" si="9"/>
        <v>#VALUE!</v>
      </c>
      <c r="F269" s="1020" t="e">
        <f>SUMIF('[1]ПО КОРИСНИЦИМА'!$G$3:$G$11609,"Свега за пројекат 2001-П21:",'[1]ПО КОРИСНИЦИМА'!$I$3:$I$11609)</f>
        <v>#VALUE!</v>
      </c>
      <c r="G269" s="1016" t="e">
        <f t="shared" si="8"/>
        <v>#VALUE!</v>
      </c>
      <c r="H269" s="1034"/>
    </row>
    <row r="270" spans="1:8" ht="12.75" hidden="1">
      <c r="A270" s="1030"/>
      <c r="B270" s="1030" t="s">
        <v>1093</v>
      </c>
      <c r="C270" s="1015">
        <f>_xlfn.IFERROR(VLOOKUP(B270,'[1]ПО КОРИСНИЦИМА'!$C$3:$J$11609,5,FALSE),"")</f>
      </c>
      <c r="D270" s="1019" t="e">
        <f>SUMIF('[1]ПО КОРИСНИЦИМА'!$G$3:$G$11609,"Свега за пројекат 2001-П22:",'[1]ПО КОРИСНИЦИМА'!$H$3:$H$11609)</f>
        <v>#VALUE!</v>
      </c>
      <c r="E270" s="1013" t="e">
        <f t="shared" si="9"/>
        <v>#VALUE!</v>
      </c>
      <c r="F270" s="1020" t="e">
        <f>SUMIF('[1]ПО КОРИСНИЦИМА'!$G$3:$G$11609,"Свега за пројекат 2001-П22:",'[1]ПО КОРИСНИЦИМА'!$I$3:$I$11609)</f>
        <v>#VALUE!</v>
      </c>
      <c r="G270" s="1016" t="e">
        <f t="shared" si="8"/>
        <v>#VALUE!</v>
      </c>
      <c r="H270" s="1034"/>
    </row>
    <row r="271" spans="1:8" ht="12.75" hidden="1">
      <c r="A271" s="1030"/>
      <c r="B271" s="1030" t="s">
        <v>1094</v>
      </c>
      <c r="C271" s="1015">
        <f>_xlfn.IFERROR(VLOOKUP(B271,'[1]ПО КОРИСНИЦИМА'!$C$3:$J$11609,5,FALSE),"")</f>
      </c>
      <c r="D271" s="1019" t="e">
        <f>SUMIF('[1]ПО КОРИСНИЦИМА'!$G$3:$G$11609,"Свега за пројекат 2001-П23:",'[1]ПО КОРИСНИЦИМА'!$H$3:$H$11609)</f>
        <v>#VALUE!</v>
      </c>
      <c r="E271" s="1013" t="e">
        <f t="shared" si="9"/>
        <v>#VALUE!</v>
      </c>
      <c r="F271" s="1020" t="e">
        <f>SUMIF('[1]ПО КОРИСНИЦИМА'!$G$3:$G$11609,"Свега за пројекат 2001-П23:",'[1]ПО КОРИСНИЦИМА'!$I$3:$I$11609)</f>
        <v>#VALUE!</v>
      </c>
      <c r="G271" s="1016" t="e">
        <f t="shared" si="8"/>
        <v>#VALUE!</v>
      </c>
      <c r="H271" s="1034"/>
    </row>
    <row r="272" spans="1:8" ht="12.75" hidden="1">
      <c r="A272" s="1030"/>
      <c r="B272" s="1030" t="s">
        <v>1095</v>
      </c>
      <c r="C272" s="1015">
        <f>_xlfn.IFERROR(VLOOKUP(B272,'[1]ПО КОРИСНИЦИМА'!$C$3:$J$11609,5,FALSE),"")</f>
      </c>
      <c r="D272" s="1019" t="e">
        <f>SUMIF('[1]ПО КОРИСНИЦИМА'!$G$3:$G$11609,"Свега за пројекат 2001-П24:",'[1]ПО КОРИСНИЦИМА'!$H$3:$H$11609)</f>
        <v>#VALUE!</v>
      </c>
      <c r="E272" s="1013" t="e">
        <f t="shared" si="9"/>
        <v>#VALUE!</v>
      </c>
      <c r="F272" s="1020" t="e">
        <f>SUMIF('[1]ПО КОРИСНИЦИМА'!$G$3:$G$11609,"Свега за пројекат 2001-П24:",'[1]ПО КОРИСНИЦИМА'!$I$3:$I$11609)</f>
        <v>#VALUE!</v>
      </c>
      <c r="G272" s="1016" t="e">
        <f t="shared" si="8"/>
        <v>#VALUE!</v>
      </c>
      <c r="H272" s="1034"/>
    </row>
    <row r="273" spans="1:8" ht="12.75" hidden="1">
      <c r="A273" s="1030"/>
      <c r="B273" s="1030" t="s">
        <v>1096</v>
      </c>
      <c r="C273" s="1015">
        <f>_xlfn.IFERROR(VLOOKUP(B273,'[1]ПО КОРИСНИЦИМА'!$C$3:$J$11609,5,FALSE),"")</f>
      </c>
      <c r="D273" s="1019" t="e">
        <f>SUMIF('[1]ПО КОРИСНИЦИМА'!$G$3:$G$11609,"Свега за пројекат 2001-П25:",'[1]ПО КОРИСНИЦИМА'!$H$3:$H$11609)</f>
        <v>#VALUE!</v>
      </c>
      <c r="E273" s="1013" t="e">
        <f t="shared" si="9"/>
        <v>#VALUE!</v>
      </c>
      <c r="F273" s="1020" t="e">
        <f>SUMIF('[1]ПО КОРИСНИЦИМА'!$G$3:$G$11609,"Свега за пројекат 2001-П25:",'[1]ПО КОРИСНИЦИМА'!$I$3:$I$11609)</f>
        <v>#VALUE!</v>
      </c>
      <c r="G273" s="1016" t="e">
        <f t="shared" si="8"/>
        <v>#VALUE!</v>
      </c>
      <c r="H273" s="1034"/>
    </row>
    <row r="274" spans="1:8" ht="12.75" hidden="1">
      <c r="A274" s="1030"/>
      <c r="B274" s="1030" t="s">
        <v>1097</v>
      </c>
      <c r="C274" s="1015">
        <f>_xlfn.IFERROR(VLOOKUP(B274,'[1]ПО КОРИСНИЦИМА'!$C$3:$J$11609,5,FALSE),"")</f>
      </c>
      <c r="D274" s="1019" t="e">
        <f>SUMIF('[1]ПО КОРИСНИЦИМА'!$G$3:$G$11609,"Свега за пројекат 2001-П26:",'[1]ПО КОРИСНИЦИМА'!$H$3:$H$11609)</f>
        <v>#VALUE!</v>
      </c>
      <c r="E274" s="1013" t="e">
        <f t="shared" si="9"/>
        <v>#VALUE!</v>
      </c>
      <c r="F274" s="1020" t="e">
        <f>SUMIF('[1]ПО КОРИСНИЦИМА'!$G$3:$G$11609,"Свега за пројекат 2001-П26:",'[1]ПО КОРИСНИЦИМА'!$I$3:$I$11609)</f>
        <v>#VALUE!</v>
      </c>
      <c r="G274" s="1016" t="e">
        <f t="shared" si="8"/>
        <v>#VALUE!</v>
      </c>
      <c r="H274" s="1034"/>
    </row>
    <row r="275" spans="1:8" ht="12.75" hidden="1">
      <c r="A275" s="1030"/>
      <c r="B275" s="1030" t="s">
        <v>1098</v>
      </c>
      <c r="C275" s="1015">
        <f>_xlfn.IFERROR(VLOOKUP(B275,'[1]ПО КОРИСНИЦИМА'!$C$3:$J$11609,5,FALSE),"")</f>
      </c>
      <c r="D275" s="1019" t="e">
        <f>SUMIF('[1]ПО КОРИСНИЦИМА'!$G$3:$G$11609,"Свега за пројекат 2001-П27:",'[1]ПО КОРИСНИЦИМА'!$H$3:$H$11609)</f>
        <v>#VALUE!</v>
      </c>
      <c r="E275" s="1013" t="e">
        <f t="shared" si="9"/>
        <v>#VALUE!</v>
      </c>
      <c r="F275" s="1020" t="e">
        <f>SUMIF('[1]ПО КОРИСНИЦИМА'!$G$3:$G$11609,"Свега за пројекат 2001-П27:",'[1]ПО КОРИСНИЦИМА'!$I$3:$I$11609)</f>
        <v>#VALUE!</v>
      </c>
      <c r="G275" s="1016" t="e">
        <f t="shared" si="8"/>
        <v>#VALUE!</v>
      </c>
      <c r="H275" s="1034"/>
    </row>
    <row r="276" spans="1:8" ht="12.75" hidden="1">
      <c r="A276" s="1030"/>
      <c r="B276" s="1030" t="s">
        <v>1099</v>
      </c>
      <c r="C276" s="1015">
        <f>_xlfn.IFERROR(VLOOKUP(B276,'[1]ПО КОРИСНИЦИМА'!$C$3:$J$11609,5,FALSE),"")</f>
      </c>
      <c r="D276" s="1019" t="e">
        <f>SUMIF('[1]ПО КОРИСНИЦИМА'!$G$3:$G$11609,"Свега за пројекат 2001-П28:",'[1]ПО КОРИСНИЦИМА'!$H$3:$H$11609)</f>
        <v>#VALUE!</v>
      </c>
      <c r="E276" s="1013" t="e">
        <f t="shared" si="9"/>
        <v>#VALUE!</v>
      </c>
      <c r="F276" s="1020" t="e">
        <f>SUMIF('[1]ПО КОРИСНИЦИМА'!$G$3:$G$11609,"Свега за пројекат 2001-П28:",'[1]ПО КОРИСНИЦИМА'!$I$3:$I$11609)</f>
        <v>#VALUE!</v>
      </c>
      <c r="G276" s="1016" t="e">
        <f t="shared" si="8"/>
        <v>#VALUE!</v>
      </c>
      <c r="H276" s="1033"/>
    </row>
    <row r="277" spans="1:8" ht="12.75" hidden="1">
      <c r="A277" s="1030"/>
      <c r="B277" s="1030" t="s">
        <v>1100</v>
      </c>
      <c r="C277" s="1015">
        <f>_xlfn.IFERROR(VLOOKUP(B277,'[1]ПО КОРИСНИЦИМА'!$C$3:$J$11609,5,FALSE),"")</f>
      </c>
      <c r="D277" s="1019" t="e">
        <f>SUMIF('[1]ПО КОРИСНИЦИМА'!$G$3:$G$11609,"Свега за пројекат 2001-П29:",'[1]ПО КОРИСНИЦИМА'!$H$3:$H$11609)</f>
        <v>#VALUE!</v>
      </c>
      <c r="E277" s="1013" t="e">
        <f t="shared" si="9"/>
        <v>#VALUE!</v>
      </c>
      <c r="F277" s="1020" t="e">
        <f>SUMIF('[1]ПО КОРИСНИЦИМА'!$G$3:$G$11609,"Свега за пројекат 2001-П29:",'[1]ПО КОРИСНИЦИМА'!$I$3:$I$11609)</f>
        <v>#VALUE!</v>
      </c>
      <c r="G277" s="1016" t="e">
        <f t="shared" si="8"/>
        <v>#VALUE!</v>
      </c>
      <c r="H277" s="1033"/>
    </row>
    <row r="278" spans="1:8" ht="12.75" hidden="1">
      <c r="A278" s="1030"/>
      <c r="B278" s="1030" t="s">
        <v>593</v>
      </c>
      <c r="C278" s="1015">
        <f>_xlfn.IFERROR(VLOOKUP(B278,'[1]ПО КОРИСНИЦИМА'!$C$3:$J$11609,5,FALSE),"")</f>
      </c>
      <c r="D278" s="1019" t="e">
        <f>SUMIF('[1]ПО КОРИСНИЦИМА'!$G$3:$G$11609,"Свега за пројекат 2001-П30:",'[1]ПО КОРИСНИЦИМА'!$H$3:$H$11609)</f>
        <v>#VALUE!</v>
      </c>
      <c r="E278" s="1013" t="e">
        <f t="shared" si="9"/>
        <v>#VALUE!</v>
      </c>
      <c r="F278" s="1020" t="e">
        <f>SUMIF('[1]ПО КОРИСНИЦИМА'!$G$3:$G$11609,"Свега за пројекат 2001-П30:",'[1]ПО КОРИСНИЦИМА'!$I$3:$I$11609)</f>
        <v>#VALUE!</v>
      </c>
      <c r="G278" s="1016" t="e">
        <f t="shared" si="8"/>
        <v>#VALUE!</v>
      </c>
      <c r="H278" s="1017"/>
    </row>
    <row r="279" spans="1:8" s="320" customFormat="1" ht="12.75">
      <c r="A279" s="1009" t="s">
        <v>291</v>
      </c>
      <c r="B279" s="1010"/>
      <c r="C279" s="1011" t="s">
        <v>1274</v>
      </c>
      <c r="D279" s="1012">
        <f>SUM(D280:D287)</f>
        <v>41680762</v>
      </c>
      <c r="E279" s="1013">
        <f t="shared" si="9"/>
        <v>0.09195234081704413</v>
      </c>
      <c r="F279" s="1012">
        <f>SUM(F280:F287)</f>
        <v>0</v>
      </c>
      <c r="G279" s="1012">
        <f t="shared" si="8"/>
        <v>41680762</v>
      </c>
      <c r="H279" s="1027"/>
    </row>
    <row r="280" spans="1:8" ht="42" customHeight="1">
      <c r="A280" s="1035"/>
      <c r="B280" s="1028" t="s">
        <v>289</v>
      </c>
      <c r="C280" s="1036" t="s">
        <v>321</v>
      </c>
      <c r="D280" s="1016">
        <f>'Rashodi-2021'!M144+'Rashodi-2021'!M160+'Rashodi-2021'!M175</f>
        <v>41680762</v>
      </c>
      <c r="E280" s="1486">
        <f t="shared" si="9"/>
        <v>0.09195234081704413</v>
      </c>
      <c r="F280" s="1016">
        <f>'Rashodi-2021'!T144+'Rashodi-2021'!T160+'Rashodi-2021'!T175</f>
        <v>0</v>
      </c>
      <c r="G280" s="1016">
        <f t="shared" si="8"/>
        <v>41680762</v>
      </c>
      <c r="H280" s="1037" t="s">
        <v>1283</v>
      </c>
    </row>
    <row r="281" spans="1:8" ht="12.75" hidden="1">
      <c r="A281" s="1008"/>
      <c r="B281" s="1030" t="s">
        <v>1101</v>
      </c>
      <c r="C281" s="1015">
        <f>_xlfn.IFERROR(VLOOKUP(B281,'[1]ПО КОРИСНИЦИМА'!$C$3:$J$11609,5,FALSE),"")</f>
      </c>
      <c r="D281" s="1019"/>
      <c r="E281" s="1013">
        <f t="shared" si="9"/>
        <v>0</v>
      </c>
      <c r="F281" s="1020"/>
      <c r="G281" s="1016">
        <f t="shared" si="8"/>
        <v>0</v>
      </c>
      <c r="H281" s="1017"/>
    </row>
    <row r="282" spans="1:8" ht="12.75" hidden="1">
      <c r="A282" s="1008"/>
      <c r="B282" s="1030" t="s">
        <v>1102</v>
      </c>
      <c r="C282" s="1015">
        <f>_xlfn.IFERROR(VLOOKUP(B282,'[1]ПО КОРИСНИЦИМА'!$C$3:$J$11609,5,FALSE),"")</f>
      </c>
      <c r="D282" s="1019"/>
      <c r="E282" s="1013">
        <f t="shared" si="9"/>
        <v>0</v>
      </c>
      <c r="F282" s="1020"/>
      <c r="G282" s="1016">
        <f t="shared" si="8"/>
        <v>0</v>
      </c>
      <c r="H282" s="1017"/>
    </row>
    <row r="283" spans="1:8" ht="12.75" hidden="1">
      <c r="A283" s="1008"/>
      <c r="B283" s="1030" t="s">
        <v>1103</v>
      </c>
      <c r="C283" s="1015">
        <f>_xlfn.IFERROR(VLOOKUP(B283,'[1]ПО КОРИСНИЦИМА'!$C$3:$J$11609,5,FALSE),"")</f>
      </c>
      <c r="D283" s="1019"/>
      <c r="E283" s="1013">
        <f t="shared" si="9"/>
        <v>0</v>
      </c>
      <c r="F283" s="1020"/>
      <c r="G283" s="1016">
        <f t="shared" si="8"/>
        <v>0</v>
      </c>
      <c r="H283" s="1017"/>
    </row>
    <row r="284" spans="1:8" ht="12.75" hidden="1">
      <c r="A284" s="1008"/>
      <c r="B284" s="1030" t="s">
        <v>1104</v>
      </c>
      <c r="C284" s="1015">
        <f>_xlfn.IFERROR(VLOOKUP(B284,'[1]ПО КОРИСНИЦИМА'!$C$3:$J$11609,5,FALSE),"")</f>
      </c>
      <c r="D284" s="1019"/>
      <c r="E284" s="1013">
        <f t="shared" si="9"/>
        <v>0</v>
      </c>
      <c r="F284" s="1020"/>
      <c r="G284" s="1016">
        <f t="shared" si="8"/>
        <v>0</v>
      </c>
      <c r="H284" s="1017"/>
    </row>
    <row r="285" spans="1:8" ht="12.75" hidden="1">
      <c r="A285" s="1008"/>
      <c r="B285" s="1030" t="s">
        <v>1105</v>
      </c>
      <c r="C285" s="1015">
        <f>_xlfn.IFERROR(VLOOKUP(B285,'[1]ПО КОРИСНИЦИМА'!$C$3:$J$11609,5,FALSE),"")</f>
      </c>
      <c r="D285" s="1019"/>
      <c r="E285" s="1013">
        <f t="shared" si="9"/>
        <v>0</v>
      </c>
      <c r="F285" s="1020"/>
      <c r="G285" s="1016">
        <f t="shared" si="8"/>
        <v>0</v>
      </c>
      <c r="H285" s="1017"/>
    </row>
    <row r="286" spans="1:8" ht="12.75" hidden="1">
      <c r="A286" s="1008"/>
      <c r="B286" s="1030" t="s">
        <v>1106</v>
      </c>
      <c r="C286" s="1015">
        <f>_xlfn.IFERROR(VLOOKUP(B286,'[1]ПО КОРИСНИЦИМА'!$C$3:$J$11609,5,FALSE),"")</f>
      </c>
      <c r="D286" s="1019"/>
      <c r="E286" s="1013">
        <f t="shared" si="9"/>
        <v>0</v>
      </c>
      <c r="F286" s="1020"/>
      <c r="G286" s="1016">
        <f t="shared" si="8"/>
        <v>0</v>
      </c>
      <c r="H286" s="1017"/>
    </row>
    <row r="287" spans="1:8" ht="12.75" hidden="1">
      <c r="A287" s="1008"/>
      <c r="B287" s="1030" t="s">
        <v>1107</v>
      </c>
      <c r="C287" s="1015">
        <f>_xlfn.IFERROR(VLOOKUP(B287,'[1]ПО КОРИСНИЦИМА'!$C$3:$J$11609,5,FALSE),"")</f>
      </c>
      <c r="D287" s="1019"/>
      <c r="E287" s="1013">
        <f t="shared" si="9"/>
        <v>0</v>
      </c>
      <c r="F287" s="1020"/>
      <c r="G287" s="1016">
        <f t="shared" si="8"/>
        <v>0</v>
      </c>
      <c r="H287" s="1017"/>
    </row>
    <row r="288" spans="1:8" ht="12.75" hidden="1">
      <c r="A288" s="1008"/>
      <c r="B288" s="1030" t="s">
        <v>1108</v>
      </c>
      <c r="C288" s="1015">
        <f>_xlfn.IFERROR(VLOOKUP(B288,'[1]ПО КОРИСНИЦИМА'!$C$3:$J$11609,5,FALSE),"")</f>
      </c>
      <c r="D288" s="1019" t="e">
        <f>SUMIF('[1]ПО КОРИСНИЦИМА'!$G$3:$G$11609,"Свега за пројекат 2002-П8:",'[1]ПО КОРИСНИЦИМА'!$H$3:$H$11609)</f>
        <v>#VALUE!</v>
      </c>
      <c r="E288" s="1013" t="e">
        <f t="shared" si="9"/>
        <v>#VALUE!</v>
      </c>
      <c r="F288" s="1020" t="e">
        <f>SUMIF('[1]ПО КОРИСНИЦИМА'!$G$3:$G$11609,"Свега за пројекат 2002-П8:",'[1]ПО КОРИСНИЦИМА'!$I$3:$I$11609)</f>
        <v>#VALUE!</v>
      </c>
      <c r="G288" s="1016" t="e">
        <f t="shared" si="8"/>
        <v>#VALUE!</v>
      </c>
      <c r="H288" s="1017"/>
    </row>
    <row r="289" spans="1:8" ht="12.75" hidden="1">
      <c r="A289" s="1008"/>
      <c r="B289" s="1030" t="s">
        <v>1109</v>
      </c>
      <c r="C289" s="1015">
        <f>_xlfn.IFERROR(VLOOKUP(B289,'[1]ПО КОРИСНИЦИМА'!$C$3:$J$11609,5,FALSE),"")</f>
      </c>
      <c r="D289" s="1019" t="e">
        <f>SUMIF('[1]ПО КОРИСНИЦИМА'!$G$3:$G$11609,"Свега за пројекат 2002-П9:",'[1]ПО КОРИСНИЦИМА'!$H$3:$H$11609)</f>
        <v>#VALUE!</v>
      </c>
      <c r="E289" s="1013" t="e">
        <f t="shared" si="9"/>
        <v>#VALUE!</v>
      </c>
      <c r="F289" s="1020" t="e">
        <f>SUMIF('[1]ПО КОРИСНИЦИМА'!$G$3:$G$11609,"Свега за пројекат 2002-П9:",'[1]ПО КОРИСНИЦИМА'!$I$3:$I$11609)</f>
        <v>#VALUE!</v>
      </c>
      <c r="G289" s="1016" t="e">
        <f t="shared" si="8"/>
        <v>#VALUE!</v>
      </c>
      <c r="H289" s="1017"/>
    </row>
    <row r="290" spans="1:8" ht="12.75" hidden="1">
      <c r="A290" s="1008"/>
      <c r="B290" s="1030" t="s">
        <v>1110</v>
      </c>
      <c r="C290" s="1015">
        <f>_xlfn.IFERROR(VLOOKUP(B290,'[1]ПО КОРИСНИЦИМА'!$C$3:$J$11609,5,FALSE),"")</f>
      </c>
      <c r="D290" s="1019" t="e">
        <f>SUMIF('[1]ПО КОРИСНИЦИМА'!$G$3:$G$11609,"Свега за пројекат 2002-П10:",'[1]ПО КОРИСНИЦИМА'!$H$3:$H$11609)</f>
        <v>#VALUE!</v>
      </c>
      <c r="E290" s="1013" t="e">
        <f t="shared" si="9"/>
        <v>#VALUE!</v>
      </c>
      <c r="F290" s="1020" t="e">
        <f>SUMIF('[1]ПО КОРИСНИЦИМА'!$G$3:$G$11609,"Свега за пројекат 2002-П10:",'[1]ПО КОРИСНИЦИМА'!$I$3:$I$11609)</f>
        <v>#VALUE!</v>
      </c>
      <c r="G290" s="1016" t="e">
        <f t="shared" si="8"/>
        <v>#VALUE!</v>
      </c>
      <c r="H290" s="1017"/>
    </row>
    <row r="291" spans="1:8" ht="12.75" hidden="1">
      <c r="A291" s="1008"/>
      <c r="B291" s="1030" t="s">
        <v>1111</v>
      </c>
      <c r="C291" s="1015">
        <f>_xlfn.IFERROR(VLOOKUP(B291,'[1]ПО КОРИСНИЦИМА'!$C$3:$J$11609,5,FALSE),"")</f>
      </c>
      <c r="D291" s="1019" t="e">
        <f>SUMIF('[1]ПО КОРИСНИЦИМА'!$G$3:$G$11609,"Свега за пројекат 2002-П11:",'[1]ПО КОРИСНИЦИМА'!$H$3:$H$11609)</f>
        <v>#VALUE!</v>
      </c>
      <c r="E291" s="1013" t="e">
        <f t="shared" si="9"/>
        <v>#VALUE!</v>
      </c>
      <c r="F291" s="1020" t="e">
        <f>SUMIF('[1]ПО КОРИСНИЦИМА'!$G$3:$G$11609,"Свега за пројекат 2002-П11:",'[1]ПО КОРИСНИЦИМА'!$I$3:$I$11609)</f>
        <v>#VALUE!</v>
      </c>
      <c r="G291" s="1016" t="e">
        <f t="shared" si="8"/>
        <v>#VALUE!</v>
      </c>
      <c r="H291" s="1017"/>
    </row>
    <row r="292" spans="1:8" ht="12.75" hidden="1">
      <c r="A292" s="1008"/>
      <c r="B292" s="1030" t="s">
        <v>1112</v>
      </c>
      <c r="C292" s="1015">
        <f>_xlfn.IFERROR(VLOOKUP(B292,'[1]ПО КОРИСНИЦИМА'!$C$3:$J$11609,5,FALSE),"")</f>
      </c>
      <c r="D292" s="1019" t="e">
        <f>SUMIF('[1]ПО КОРИСНИЦИМА'!$G$3:$G$11609,"Свега за пројекат 2002-П12:",'[1]ПО КОРИСНИЦИМА'!$H$3:$H$11609)</f>
        <v>#VALUE!</v>
      </c>
      <c r="E292" s="1013" t="e">
        <f t="shared" si="9"/>
        <v>#VALUE!</v>
      </c>
      <c r="F292" s="1020" t="e">
        <f>SUMIF('[1]ПО КОРИСНИЦИМА'!$G$3:$G$11609,"Свега за пројекат 2002-П12:",'[1]ПО КОРИСНИЦИМА'!$I$3:$I$11609)</f>
        <v>#VALUE!</v>
      </c>
      <c r="G292" s="1016" t="e">
        <f t="shared" si="8"/>
        <v>#VALUE!</v>
      </c>
      <c r="H292" s="1017"/>
    </row>
    <row r="293" spans="1:8" ht="12.75" hidden="1">
      <c r="A293" s="1008"/>
      <c r="B293" s="1030" t="s">
        <v>1113</v>
      </c>
      <c r="C293" s="1015">
        <f>_xlfn.IFERROR(VLOOKUP(B293,'[1]ПО КОРИСНИЦИМА'!$C$3:$J$11609,5,FALSE),"")</f>
      </c>
      <c r="D293" s="1019" t="e">
        <f>SUMIF('[1]ПО КОРИСНИЦИМА'!$G$3:$G$11609,"Свега за пројекат 2002-П13:",'[1]ПО КОРИСНИЦИМА'!$H$3:$H$11609)</f>
        <v>#VALUE!</v>
      </c>
      <c r="E293" s="1013" t="e">
        <f t="shared" si="9"/>
        <v>#VALUE!</v>
      </c>
      <c r="F293" s="1020" t="e">
        <f>SUMIF('[1]ПО КОРИСНИЦИМА'!$G$3:$G$11609,"Свега за пројекат 2002-П13:",'[1]ПО КОРИСНИЦИМА'!$I$3:$I$11609)</f>
        <v>#VALUE!</v>
      </c>
      <c r="G293" s="1016" t="e">
        <f t="shared" si="8"/>
        <v>#VALUE!</v>
      </c>
      <c r="H293" s="1017"/>
    </row>
    <row r="294" spans="1:8" ht="12.75" hidden="1">
      <c r="A294" s="1008"/>
      <c r="B294" s="1030" t="s">
        <v>1114</v>
      </c>
      <c r="C294" s="1015">
        <f>_xlfn.IFERROR(VLOOKUP(B294,'[1]ПО КОРИСНИЦИМА'!$C$3:$J$11609,5,FALSE),"")</f>
      </c>
      <c r="D294" s="1019" t="e">
        <f>SUMIF('[1]ПО КОРИСНИЦИМА'!$G$3:$G$11609,"Свега за пројекат 2002-П14:",'[1]ПО КОРИСНИЦИМА'!$H$3:$H$11609)</f>
        <v>#VALUE!</v>
      </c>
      <c r="E294" s="1013" t="e">
        <f t="shared" si="9"/>
        <v>#VALUE!</v>
      </c>
      <c r="F294" s="1020" t="e">
        <f>SUMIF('[1]ПО КОРИСНИЦИМА'!$G$3:$G$11609,"Свега за пројекат 2002-П14:",'[1]ПО КОРИСНИЦИМА'!$I$3:$I$11609)</f>
        <v>#VALUE!</v>
      </c>
      <c r="G294" s="1016" t="e">
        <f t="shared" si="8"/>
        <v>#VALUE!</v>
      </c>
      <c r="H294" s="1017"/>
    </row>
    <row r="295" spans="1:8" ht="12.75" hidden="1">
      <c r="A295" s="1008"/>
      <c r="B295" s="1030" t="s">
        <v>1115</v>
      </c>
      <c r="C295" s="1015">
        <f>_xlfn.IFERROR(VLOOKUP(B295,'[1]ПО КОРИСНИЦИМА'!$C$3:$J$11609,5,FALSE),"")</f>
      </c>
      <c r="D295" s="1019" t="e">
        <f>SUMIF('[1]ПО КОРИСНИЦИМА'!$G$3:$G$11609,"Свега за пројекат 2002-П15:",'[1]ПО КОРИСНИЦИМА'!$H$3:$H$11609)</f>
        <v>#VALUE!</v>
      </c>
      <c r="E295" s="1013" t="e">
        <f t="shared" si="9"/>
        <v>#VALUE!</v>
      </c>
      <c r="F295" s="1020" t="e">
        <f>SUMIF('[1]ПО КОРИСНИЦИМА'!$G$3:$G$11609,"Свега за пројекат 2002-П15:",'[1]ПО КОРИСНИЦИМА'!$I$3:$I$11609)</f>
        <v>#VALUE!</v>
      </c>
      <c r="G295" s="1016" t="e">
        <f t="shared" si="8"/>
        <v>#VALUE!</v>
      </c>
      <c r="H295" s="1017"/>
    </row>
    <row r="296" spans="1:8" ht="12.75" hidden="1">
      <c r="A296" s="1008"/>
      <c r="B296" s="1030" t="s">
        <v>1116</v>
      </c>
      <c r="C296" s="1015">
        <f>_xlfn.IFERROR(VLOOKUP(B296,'[1]ПО КОРИСНИЦИМА'!$C$3:$J$11609,5,FALSE),"")</f>
      </c>
      <c r="D296" s="1019" t="e">
        <f>SUMIF('[1]ПО КОРИСНИЦИМА'!$G$3:$G$11609,"Свега за пројекат 2002-П16:",'[1]ПО КОРИСНИЦИМА'!$H$3:$H$11609)</f>
        <v>#VALUE!</v>
      </c>
      <c r="E296" s="1013" t="e">
        <f t="shared" si="9"/>
        <v>#VALUE!</v>
      </c>
      <c r="F296" s="1020" t="e">
        <f>SUMIF('[1]ПО КОРИСНИЦИМА'!$G$3:$G$11609,"Свега за пројекат 2002-П16:",'[1]ПО КОРИСНИЦИМА'!$I$3:$I$11609)</f>
        <v>#VALUE!</v>
      </c>
      <c r="G296" s="1016" t="e">
        <f t="shared" si="8"/>
        <v>#VALUE!</v>
      </c>
      <c r="H296" s="1017"/>
    </row>
    <row r="297" spans="1:8" ht="12.75" hidden="1">
      <c r="A297" s="1008"/>
      <c r="B297" s="1030" t="s">
        <v>1117</v>
      </c>
      <c r="C297" s="1015">
        <f>_xlfn.IFERROR(VLOOKUP(B297,'[1]ПО КОРИСНИЦИМА'!$C$3:$J$11609,5,FALSE),"")</f>
      </c>
      <c r="D297" s="1019" t="e">
        <f>SUMIF('[1]ПО КОРИСНИЦИМА'!$G$3:$G$11609,"Свега за пројекат 2002-П17:",'[1]ПО КОРИСНИЦИМА'!$H$3:$H$11609)</f>
        <v>#VALUE!</v>
      </c>
      <c r="E297" s="1013" t="e">
        <f t="shared" si="9"/>
        <v>#VALUE!</v>
      </c>
      <c r="F297" s="1020" t="e">
        <f>SUMIF('[1]ПО КОРИСНИЦИМА'!$G$3:$G$11609,"Свега за пројекат 2002-П17:",'[1]ПО КОРИСНИЦИМА'!$I$3:$I$11609)</f>
        <v>#VALUE!</v>
      </c>
      <c r="G297" s="1016" t="e">
        <f t="shared" si="8"/>
        <v>#VALUE!</v>
      </c>
      <c r="H297" s="1017"/>
    </row>
    <row r="298" spans="1:8" ht="12.75" hidden="1">
      <c r="A298" s="1008"/>
      <c r="B298" s="1030" t="s">
        <v>1118</v>
      </c>
      <c r="C298" s="1015">
        <f>_xlfn.IFERROR(VLOOKUP(B298,'[1]ПО КОРИСНИЦИМА'!$C$3:$J$11609,5,FALSE),"")</f>
      </c>
      <c r="D298" s="1019" t="e">
        <f>SUMIF('[1]ПО КОРИСНИЦИМА'!$G$3:$G$11609,"Свега за пројекат 2002-П18:",'[1]ПО КОРИСНИЦИМА'!$H$3:$H$11609)</f>
        <v>#VALUE!</v>
      </c>
      <c r="E298" s="1013" t="e">
        <f t="shared" si="9"/>
        <v>#VALUE!</v>
      </c>
      <c r="F298" s="1020" t="e">
        <f>SUMIF('[1]ПО КОРИСНИЦИМА'!$G$3:$G$11609,"Свега за пројекат 2002-П18:",'[1]ПО КОРИСНИЦИМА'!$I$3:$I$11609)</f>
        <v>#VALUE!</v>
      </c>
      <c r="G298" s="1016" t="e">
        <f t="shared" si="8"/>
        <v>#VALUE!</v>
      </c>
      <c r="H298" s="1017"/>
    </row>
    <row r="299" spans="1:8" ht="12.75" hidden="1">
      <c r="A299" s="1008"/>
      <c r="B299" s="1030" t="s">
        <v>1119</v>
      </c>
      <c r="C299" s="1015">
        <f>_xlfn.IFERROR(VLOOKUP(B299,'[1]ПО КОРИСНИЦИМА'!$C$3:$J$11609,5,FALSE),"")</f>
      </c>
      <c r="D299" s="1019" t="e">
        <f>SUMIF('[1]ПО КОРИСНИЦИМА'!$G$3:$G$11609,"Свега за пројекат 2002-П19:",'[1]ПО КОРИСНИЦИМА'!$H$3:$H$11609)</f>
        <v>#VALUE!</v>
      </c>
      <c r="E299" s="1013" t="e">
        <f t="shared" si="9"/>
        <v>#VALUE!</v>
      </c>
      <c r="F299" s="1020" t="e">
        <f>SUMIF('[1]ПО КОРИСНИЦИМА'!$G$3:$G$11609,"Свега за пројекат 2002-П19:",'[1]ПО КОРИСНИЦИМА'!$I$3:$I$11609)</f>
        <v>#VALUE!</v>
      </c>
      <c r="G299" s="1016" t="e">
        <f t="shared" si="8"/>
        <v>#VALUE!</v>
      </c>
      <c r="H299" s="1017"/>
    </row>
    <row r="300" spans="1:8" ht="12.75" hidden="1">
      <c r="A300" s="1008"/>
      <c r="B300" s="1030" t="s">
        <v>1120</v>
      </c>
      <c r="C300" s="1015">
        <f>_xlfn.IFERROR(VLOOKUP(B300,'[1]ПО КОРИСНИЦИМА'!$C$3:$J$11609,5,FALSE),"")</f>
      </c>
      <c r="D300" s="1019" t="e">
        <f>SUMIF('[1]ПО КОРИСНИЦИМА'!$G$3:$G$11609,"Свега за пројекат 2002-П20:",'[1]ПО КОРИСНИЦИМА'!$H$3:$H$11609)</f>
        <v>#VALUE!</v>
      </c>
      <c r="E300" s="1013" t="e">
        <f t="shared" si="9"/>
        <v>#VALUE!</v>
      </c>
      <c r="F300" s="1020" t="e">
        <f>SUMIF('[1]ПО КОРИСНИЦИМА'!$G$3:$G$11609,"Свега за пројекат 2002-П20:",'[1]ПО КОРИСНИЦИМА'!$I$3:$I$11609)</f>
        <v>#VALUE!</v>
      </c>
      <c r="G300" s="1016" t="e">
        <f t="shared" si="8"/>
        <v>#VALUE!</v>
      </c>
      <c r="H300" s="1017"/>
    </row>
    <row r="301" spans="1:8" ht="12.75" hidden="1">
      <c r="A301" s="1008"/>
      <c r="B301" s="1030" t="s">
        <v>1121</v>
      </c>
      <c r="C301" s="1015">
        <f>_xlfn.IFERROR(VLOOKUP(B301,'[1]ПО КОРИСНИЦИМА'!$C$3:$J$11609,5,FALSE),"")</f>
      </c>
      <c r="D301" s="1019" t="e">
        <f>SUMIF('[1]ПО КОРИСНИЦИМА'!$G$3:$G$11609,"Свега за пројекат 2002-П21:",'[1]ПО КОРИСНИЦИМА'!$H$3:$H$11609)</f>
        <v>#VALUE!</v>
      </c>
      <c r="E301" s="1013" t="e">
        <f t="shared" si="9"/>
        <v>#VALUE!</v>
      </c>
      <c r="F301" s="1020" t="e">
        <f>SUMIF('[1]ПО КОРИСНИЦИМА'!$G$3:$G$11609,"Свега за пројекат 2002-П21:",'[1]ПО КОРИСНИЦИМА'!$I$3:$I$11609)</f>
        <v>#VALUE!</v>
      </c>
      <c r="G301" s="1016" t="e">
        <f t="shared" si="8"/>
        <v>#VALUE!</v>
      </c>
      <c r="H301" s="1017"/>
    </row>
    <row r="302" spans="1:8" ht="12.75" hidden="1">
      <c r="A302" s="1008"/>
      <c r="B302" s="1030" t="s">
        <v>1122</v>
      </c>
      <c r="C302" s="1015">
        <f>_xlfn.IFERROR(VLOOKUP(B302,'[1]ПО КОРИСНИЦИМА'!$C$3:$J$11609,5,FALSE),"")</f>
      </c>
      <c r="D302" s="1019" t="e">
        <f>SUMIF('[1]ПО КОРИСНИЦИМА'!$G$3:$G$11609,"Свега за пројекат 2002-П22:",'[1]ПО КОРИСНИЦИМА'!$H$3:$H$11609)</f>
        <v>#VALUE!</v>
      </c>
      <c r="E302" s="1013" t="e">
        <f t="shared" si="9"/>
        <v>#VALUE!</v>
      </c>
      <c r="F302" s="1020" t="e">
        <f>SUMIF('[1]ПО КОРИСНИЦИМА'!$G$3:$G$11609,"Свега за пројекат 2002-П22:",'[1]ПО КОРИСНИЦИМА'!$I$3:$I$11609)</f>
        <v>#VALUE!</v>
      </c>
      <c r="G302" s="1016" t="e">
        <f t="shared" si="8"/>
        <v>#VALUE!</v>
      </c>
      <c r="H302" s="1017"/>
    </row>
    <row r="303" spans="1:8" ht="12.75" hidden="1">
      <c r="A303" s="1008"/>
      <c r="B303" s="1030" t="s">
        <v>1123</v>
      </c>
      <c r="C303" s="1015">
        <f>_xlfn.IFERROR(VLOOKUP(B303,'[1]ПО КОРИСНИЦИМА'!$C$3:$J$11609,5,FALSE),"")</f>
      </c>
      <c r="D303" s="1019" t="e">
        <f>SUMIF('[1]ПО КОРИСНИЦИМА'!$G$3:$G$11609,"Свега за пројекат 2002-П23:",'[1]ПО КОРИСНИЦИМА'!$H$3:$H$11609)</f>
        <v>#VALUE!</v>
      </c>
      <c r="E303" s="1013" t="e">
        <f t="shared" si="9"/>
        <v>#VALUE!</v>
      </c>
      <c r="F303" s="1020" t="e">
        <f>SUMIF('[1]ПО КОРИСНИЦИМА'!$G$3:$G$11609,"Свега за пројекат 2002-П23:",'[1]ПО КОРИСНИЦИМА'!$I$3:$I$11609)</f>
        <v>#VALUE!</v>
      </c>
      <c r="G303" s="1016" t="e">
        <f t="shared" si="8"/>
        <v>#VALUE!</v>
      </c>
      <c r="H303" s="1017"/>
    </row>
    <row r="304" spans="1:8" ht="12.75" hidden="1">
      <c r="A304" s="1008"/>
      <c r="B304" s="1030" t="s">
        <v>1124</v>
      </c>
      <c r="C304" s="1015">
        <f>_xlfn.IFERROR(VLOOKUP(B304,'[1]ПО КОРИСНИЦИМА'!$C$3:$J$11609,5,FALSE),"")</f>
      </c>
      <c r="D304" s="1019" t="e">
        <f>SUMIF('[1]ПО КОРИСНИЦИМА'!$G$3:$G$11609,"Свега за пројекат 2002-П24:",'[1]ПО КОРИСНИЦИМА'!$H$3:$H$11609)</f>
        <v>#VALUE!</v>
      </c>
      <c r="E304" s="1013" t="e">
        <f t="shared" si="9"/>
        <v>#VALUE!</v>
      </c>
      <c r="F304" s="1020" t="e">
        <f>SUMIF('[1]ПО КОРИСНИЦИМА'!$G$3:$G$11609,"Свега за пројекат 2002-П24:",'[1]ПО КОРИСНИЦИМА'!$I$3:$I$11609)</f>
        <v>#VALUE!</v>
      </c>
      <c r="G304" s="1016" t="e">
        <f t="shared" si="8"/>
        <v>#VALUE!</v>
      </c>
      <c r="H304" s="1017"/>
    </row>
    <row r="305" spans="1:8" ht="12.75" hidden="1">
      <c r="A305" s="1008"/>
      <c r="B305" s="1030" t="s">
        <v>1125</v>
      </c>
      <c r="C305" s="1015">
        <f>_xlfn.IFERROR(VLOOKUP(B305,'[1]ПО КОРИСНИЦИМА'!$C$3:$J$11609,5,FALSE),"")</f>
      </c>
      <c r="D305" s="1019" t="e">
        <f>SUMIF('[1]ПО КОРИСНИЦИМА'!$G$3:$G$11609,"Свега за пројекат 2002-П25:",'[1]ПО КОРИСНИЦИМА'!$H$3:$H$11609)</f>
        <v>#VALUE!</v>
      </c>
      <c r="E305" s="1013" t="e">
        <f t="shared" si="9"/>
        <v>#VALUE!</v>
      </c>
      <c r="F305" s="1020" t="e">
        <f>SUMIF('[1]ПО КОРИСНИЦИМА'!$G$3:$G$11609,"Свега за пројекат 2002-П25:",'[1]ПО КОРИСНИЦИМА'!$I$3:$I$11609)</f>
        <v>#VALUE!</v>
      </c>
      <c r="G305" s="1016" t="e">
        <f t="shared" si="8"/>
        <v>#VALUE!</v>
      </c>
      <c r="H305" s="1017"/>
    </row>
    <row r="306" spans="1:8" ht="12.75" hidden="1">
      <c r="A306" s="1030"/>
      <c r="B306" s="1030" t="s">
        <v>1126</v>
      </c>
      <c r="C306" s="1015">
        <f>_xlfn.IFERROR(VLOOKUP(B306,'[1]ПО КОРИСНИЦИМА'!$C$3:$J$11609,5,FALSE),"")</f>
      </c>
      <c r="D306" s="1019" t="e">
        <f>SUMIF('[1]ПО КОРИСНИЦИМА'!$G$3:$G$11609,"Свега за пројекат 2002-П26:",'[1]ПО КОРИСНИЦИМА'!$H$3:$H$11609)</f>
        <v>#VALUE!</v>
      </c>
      <c r="E306" s="1013" t="e">
        <f t="shared" si="9"/>
        <v>#VALUE!</v>
      </c>
      <c r="F306" s="1020" t="e">
        <f>SUMIF('[1]ПО КОРИСНИЦИМА'!$G$3:$G$11609,"Свега за пројекат 2002-П26:",'[1]ПО КОРИСНИЦИМА'!$I$3:$I$11609)</f>
        <v>#VALUE!</v>
      </c>
      <c r="G306" s="1016" t="e">
        <f t="shared" si="8"/>
        <v>#VALUE!</v>
      </c>
      <c r="H306" s="1017"/>
    </row>
    <row r="307" spans="1:8" ht="12.75" hidden="1">
      <c r="A307" s="1030"/>
      <c r="B307" s="1030" t="s">
        <v>1127</v>
      </c>
      <c r="C307" s="1015">
        <f>_xlfn.IFERROR(VLOOKUP(B307,'[1]ПО КОРИСНИЦИМА'!$C$3:$J$11609,5,FALSE),"")</f>
      </c>
      <c r="D307" s="1019" t="e">
        <f>SUMIF('[1]ПО КОРИСНИЦИМА'!$G$3:$G$11609,"Свега за пројекат 2002-П27:",'[1]ПО КОРИСНИЦИМА'!$H$3:$H$11609)</f>
        <v>#VALUE!</v>
      </c>
      <c r="E307" s="1013" t="e">
        <f t="shared" si="9"/>
        <v>#VALUE!</v>
      </c>
      <c r="F307" s="1020" t="e">
        <f>SUMIF('[1]ПО КОРИСНИЦИМА'!$G$3:$G$11609,"Свега за пројекат 2002-П27:",'[1]ПО КОРИСНИЦИМА'!$I$3:$I$11609)</f>
        <v>#VALUE!</v>
      </c>
      <c r="G307" s="1016" t="e">
        <f t="shared" si="8"/>
        <v>#VALUE!</v>
      </c>
      <c r="H307" s="1017"/>
    </row>
    <row r="308" spans="1:8" ht="12.75" hidden="1">
      <c r="A308" s="1030"/>
      <c r="B308" s="1030" t="s">
        <v>1128</v>
      </c>
      <c r="C308" s="1015">
        <f>_xlfn.IFERROR(VLOOKUP(B308,'[1]ПО КОРИСНИЦИМА'!$C$3:$J$11609,5,FALSE),"")</f>
      </c>
      <c r="D308" s="1019" t="e">
        <f>SUMIF('[1]ПО КОРИСНИЦИМА'!$G$3:$G$11609,"Свега за пројекат 2002-П28:",'[1]ПО КОРИСНИЦИМА'!$H$3:$H$11609)</f>
        <v>#VALUE!</v>
      </c>
      <c r="E308" s="1013" t="e">
        <f t="shared" si="9"/>
        <v>#VALUE!</v>
      </c>
      <c r="F308" s="1020" t="e">
        <f>SUMIF('[1]ПО КОРИСНИЦИМА'!$G$3:$G$11609,"Свега за пројекат 2002-П28:",'[1]ПО КОРИСНИЦИМА'!$I$3:$I$11609)</f>
        <v>#VALUE!</v>
      </c>
      <c r="G308" s="1016" t="e">
        <f t="shared" si="8"/>
        <v>#VALUE!</v>
      </c>
      <c r="H308" s="1017"/>
    </row>
    <row r="309" spans="1:8" ht="12.75" hidden="1">
      <c r="A309" s="1030"/>
      <c r="B309" s="1030" t="s">
        <v>1129</v>
      </c>
      <c r="C309" s="1015">
        <f>_xlfn.IFERROR(VLOOKUP(B309,'[1]ПО КОРИСНИЦИМА'!$C$3:$J$11609,5,FALSE),"")</f>
      </c>
      <c r="D309" s="1019" t="e">
        <f>SUMIF('[1]ПО КОРИСНИЦИМА'!$G$3:$G$11609,"Свега за пројекат 2002-П29:",'[1]ПО КОРИСНИЦИМА'!$H$3:$H$11609)</f>
        <v>#VALUE!</v>
      </c>
      <c r="E309" s="1013" t="e">
        <f t="shared" si="9"/>
        <v>#VALUE!</v>
      </c>
      <c r="F309" s="1020" t="e">
        <f>SUMIF('[1]ПО КОРИСНИЦИМА'!$G$3:$G$11609,"Свега за пројекат 2002-П29:",'[1]ПО КОРИСНИЦИМА'!$I$3:$I$11609)</f>
        <v>#VALUE!</v>
      </c>
      <c r="G309" s="1016" t="e">
        <f t="shared" si="8"/>
        <v>#VALUE!</v>
      </c>
      <c r="H309" s="1017"/>
    </row>
    <row r="310" spans="1:8" ht="12.75" hidden="1">
      <c r="A310" s="1030"/>
      <c r="B310" s="1030" t="s">
        <v>1130</v>
      </c>
      <c r="C310" s="1015">
        <f>_xlfn.IFERROR(VLOOKUP(B310,'[1]ПО КОРИСНИЦИМА'!$C$3:$J$11609,5,FALSE),"")</f>
      </c>
      <c r="D310" s="1019" t="e">
        <f>SUMIF('[1]ПО КОРИСНИЦИМА'!$G$3:$G$11609,"Свега за пројекат 2002-П30:",'[1]ПО КОРИСНИЦИМА'!$H$3:$H$11609)</f>
        <v>#VALUE!</v>
      </c>
      <c r="E310" s="1013" t="e">
        <f t="shared" si="9"/>
        <v>#VALUE!</v>
      </c>
      <c r="F310" s="1020" t="e">
        <f>SUMIF('[1]ПО КОРИСНИЦИМА'!$G$3:$G$11609,"Свега за пројекат 2002-П30:",'[1]ПО КОРИСНИЦИМА'!$I$3:$I$11609)</f>
        <v>#VALUE!</v>
      </c>
      <c r="G310" s="1016" t="e">
        <f t="shared" si="8"/>
        <v>#VALUE!</v>
      </c>
      <c r="H310" s="1017"/>
    </row>
    <row r="311" spans="1:8" s="320" customFormat="1" ht="12.75">
      <c r="A311" s="1009" t="s">
        <v>290</v>
      </c>
      <c r="B311" s="1010"/>
      <c r="C311" s="1011" t="s">
        <v>1275</v>
      </c>
      <c r="D311" s="1012">
        <f>SUM(D312:D322)</f>
        <v>6875439</v>
      </c>
      <c r="E311" s="1013">
        <f t="shared" si="9"/>
        <v>0.015167973901120069</v>
      </c>
      <c r="F311" s="1012">
        <f>SUM(F312:F322)</f>
        <v>0</v>
      </c>
      <c r="G311" s="1012">
        <f t="shared" si="8"/>
        <v>6875439</v>
      </c>
      <c r="H311" s="1027"/>
    </row>
    <row r="312" spans="1:8" ht="12.75">
      <c r="A312" s="1038"/>
      <c r="B312" s="1030" t="s">
        <v>293</v>
      </c>
      <c r="C312" s="1029" t="s">
        <v>322</v>
      </c>
      <c r="D312" s="1016">
        <f>'Rashodi-2021'!M191</f>
        <v>6875439</v>
      </c>
      <c r="E312" s="1486">
        <f t="shared" si="9"/>
        <v>0.015167973901120069</v>
      </c>
      <c r="F312" s="1018">
        <f>'Rashodi-2021'!T191</f>
        <v>0</v>
      </c>
      <c r="G312" s="1016">
        <f t="shared" si="8"/>
        <v>6875439</v>
      </c>
      <c r="H312" s="1017" t="s">
        <v>1295</v>
      </c>
    </row>
    <row r="313" spans="1:8" ht="12.75" hidden="1">
      <c r="A313" s="1030"/>
      <c r="B313" s="1030" t="s">
        <v>1131</v>
      </c>
      <c r="C313" s="1015">
        <f>_xlfn.IFERROR(VLOOKUP(B313,'[1]ПО КОРИСНИЦИМА'!$C$3:$J$11609,5,FALSE),"")</f>
      </c>
      <c r="D313" s="1019"/>
      <c r="E313" s="1013">
        <f t="shared" si="9"/>
        <v>0</v>
      </c>
      <c r="F313" s="1020"/>
      <c r="G313" s="1016">
        <f t="shared" si="8"/>
        <v>0</v>
      </c>
      <c r="H313" s="1017"/>
    </row>
    <row r="314" spans="1:8" ht="12.75" hidden="1">
      <c r="A314" s="1030"/>
      <c r="B314" s="1030" t="s">
        <v>1132</v>
      </c>
      <c r="C314" s="1015">
        <f>_xlfn.IFERROR(VLOOKUP(B314,'[1]ПО КОРИСНИЦИМА'!$C$3:$J$11609,5,FALSE),"")</f>
      </c>
      <c r="D314" s="1019"/>
      <c r="E314" s="1013">
        <f t="shared" si="9"/>
        <v>0</v>
      </c>
      <c r="F314" s="1020"/>
      <c r="G314" s="1016">
        <f t="shared" si="8"/>
        <v>0</v>
      </c>
      <c r="H314" s="1017"/>
    </row>
    <row r="315" spans="1:8" ht="12.75" hidden="1">
      <c r="A315" s="1030"/>
      <c r="B315" s="1030" t="s">
        <v>1133</v>
      </c>
      <c r="C315" s="1015">
        <f>_xlfn.IFERROR(VLOOKUP(B315,'[1]ПО КОРИСНИЦИМА'!$C$3:$J$11609,5,FALSE),"")</f>
      </c>
      <c r="D315" s="1019"/>
      <c r="E315" s="1013">
        <f t="shared" si="9"/>
        <v>0</v>
      </c>
      <c r="F315" s="1020"/>
      <c r="G315" s="1016">
        <f t="shared" si="8"/>
        <v>0</v>
      </c>
      <c r="H315" s="1017"/>
    </row>
    <row r="316" spans="1:8" ht="12.75" hidden="1">
      <c r="A316" s="1030"/>
      <c r="B316" s="1030" t="s">
        <v>1134</v>
      </c>
      <c r="C316" s="1015">
        <f>_xlfn.IFERROR(VLOOKUP(B316,'[1]ПО КОРИСНИЦИМА'!$C$3:$J$11609,5,FALSE),"")</f>
      </c>
      <c r="D316" s="1019"/>
      <c r="E316" s="1013">
        <f t="shared" si="9"/>
        <v>0</v>
      </c>
      <c r="F316" s="1020"/>
      <c r="G316" s="1016">
        <f t="shared" si="8"/>
        <v>0</v>
      </c>
      <c r="H316" s="1017"/>
    </row>
    <row r="317" spans="1:8" ht="12.75" hidden="1">
      <c r="A317" s="1030"/>
      <c r="B317" s="1030" t="s">
        <v>1135</v>
      </c>
      <c r="C317" s="1015">
        <f>_xlfn.IFERROR(VLOOKUP(B317,'[1]ПО КОРИСНИЦИМА'!$C$3:$J$11609,5,FALSE),"")</f>
      </c>
      <c r="D317" s="1019"/>
      <c r="E317" s="1013">
        <f t="shared" si="9"/>
        <v>0</v>
      </c>
      <c r="F317" s="1020"/>
      <c r="G317" s="1016">
        <f t="shared" si="8"/>
        <v>0</v>
      </c>
      <c r="H317" s="1017"/>
    </row>
    <row r="318" spans="1:8" ht="12.75" hidden="1">
      <c r="A318" s="1030"/>
      <c r="B318" s="1030" t="s">
        <v>1136</v>
      </c>
      <c r="C318" s="1015">
        <f>_xlfn.IFERROR(VLOOKUP(B318,'[1]ПО КОРИСНИЦИМА'!$C$3:$J$11609,5,FALSE),"")</f>
      </c>
      <c r="D318" s="1019"/>
      <c r="E318" s="1013">
        <f t="shared" si="9"/>
        <v>0</v>
      </c>
      <c r="F318" s="1020"/>
      <c r="G318" s="1016">
        <f t="shared" si="8"/>
        <v>0</v>
      </c>
      <c r="H318" s="1017"/>
    </row>
    <row r="319" spans="1:8" ht="12.75" hidden="1">
      <c r="A319" s="1030"/>
      <c r="B319" s="1030" t="s">
        <v>1137</v>
      </c>
      <c r="C319" s="1015">
        <f>_xlfn.IFERROR(VLOOKUP(B319,'[1]ПО КОРИСНИЦИМА'!$C$3:$J$11609,5,FALSE),"")</f>
      </c>
      <c r="D319" s="1019"/>
      <c r="E319" s="1013">
        <f t="shared" si="9"/>
        <v>0</v>
      </c>
      <c r="F319" s="1020"/>
      <c r="G319" s="1016">
        <f t="shared" si="8"/>
        <v>0</v>
      </c>
      <c r="H319" s="1017"/>
    </row>
    <row r="320" spans="1:8" ht="12.75" hidden="1">
      <c r="A320" s="1030"/>
      <c r="B320" s="1030" t="s">
        <v>1138</v>
      </c>
      <c r="C320" s="1015">
        <f>_xlfn.IFERROR(VLOOKUP(B320,'[1]ПО КОРИСНИЦИМА'!$C$3:$J$11609,5,FALSE),"")</f>
      </c>
      <c r="D320" s="1019"/>
      <c r="E320" s="1013">
        <f t="shared" si="9"/>
        <v>0</v>
      </c>
      <c r="F320" s="1020"/>
      <c r="G320" s="1016">
        <f t="shared" si="8"/>
        <v>0</v>
      </c>
      <c r="H320" s="1017"/>
    </row>
    <row r="321" spans="1:8" ht="12.75" hidden="1">
      <c r="A321" s="1030"/>
      <c r="B321" s="1030" t="s">
        <v>1139</v>
      </c>
      <c r="C321" s="1015">
        <f>_xlfn.IFERROR(VLOOKUP(B321,'[1]ПО КОРИСНИЦИМА'!$C$3:$J$11609,5,FALSE),"")</f>
      </c>
      <c r="D321" s="1019"/>
      <c r="E321" s="1013">
        <f t="shared" si="9"/>
        <v>0</v>
      </c>
      <c r="F321" s="1020"/>
      <c r="G321" s="1016">
        <f t="shared" si="8"/>
        <v>0</v>
      </c>
      <c r="H321" s="1017"/>
    </row>
    <row r="322" spans="1:8" ht="12.75" hidden="1">
      <c r="A322" s="1030"/>
      <c r="B322" s="1030" t="s">
        <v>1140</v>
      </c>
      <c r="C322" s="1015">
        <f>_xlfn.IFERROR(VLOOKUP(B322,'[1]ПО КОРИСНИЦИМА'!$C$3:$J$11609,5,FALSE),"")</f>
      </c>
      <c r="D322" s="1019"/>
      <c r="E322" s="1013">
        <f t="shared" si="9"/>
        <v>0</v>
      </c>
      <c r="F322" s="1020"/>
      <c r="G322" s="1016">
        <f t="shared" si="8"/>
        <v>0</v>
      </c>
      <c r="H322" s="1017"/>
    </row>
    <row r="323" spans="1:8" ht="12.75" hidden="1">
      <c r="A323" s="1030"/>
      <c r="B323" s="1030" t="s">
        <v>1141</v>
      </c>
      <c r="C323" s="1015">
        <f>_xlfn.IFERROR(VLOOKUP(B323,'[1]ПО КОРИСНИЦИМА'!$C$3:$J$11609,5,FALSE),"")</f>
      </c>
      <c r="D323" s="1019" t="e">
        <f>SUMIF('[1]ПО КОРИСНИЦИМА'!$G$3:$G$11609,"Свега за пројекат 2003-П11:",'[1]ПО КОРИСНИЦИМА'!$H$3:$H$11609)</f>
        <v>#VALUE!</v>
      </c>
      <c r="E323" s="1013" t="e">
        <f t="shared" si="9"/>
        <v>#VALUE!</v>
      </c>
      <c r="F323" s="1020" t="e">
        <f>SUMIF('[1]ПО КОРИСНИЦИМА'!$G$3:$G$11609,"Свега за пројекат 2003-П11:",'[1]ПО КОРИСНИЦИМА'!$I$3:$I$11609)</f>
        <v>#VALUE!</v>
      </c>
      <c r="G323" s="1016" t="e">
        <f t="shared" si="8"/>
        <v>#VALUE!</v>
      </c>
      <c r="H323" s="1017"/>
    </row>
    <row r="324" spans="1:8" ht="12.75" hidden="1">
      <c r="A324" s="1030"/>
      <c r="B324" s="1030" t="s">
        <v>1142</v>
      </c>
      <c r="C324" s="1015">
        <f>_xlfn.IFERROR(VLOOKUP(B324,'[1]ПО КОРИСНИЦИМА'!$C$3:$J$11609,5,FALSE),"")</f>
      </c>
      <c r="D324" s="1019" t="e">
        <f>SUMIF('[1]ПО КОРИСНИЦИМА'!$G$3:$G$11609,"Свега за пројекат 2003-П12:",'[1]ПО КОРИСНИЦИМА'!$H$3:$H$11609)</f>
        <v>#VALUE!</v>
      </c>
      <c r="E324" s="1013" t="e">
        <f t="shared" si="9"/>
        <v>#VALUE!</v>
      </c>
      <c r="F324" s="1020" t="e">
        <f>SUMIF('[1]ПО КОРИСНИЦИМА'!$G$3:$G$11609,"Свега за пројекат 2003-П12:",'[1]ПО КОРИСНИЦИМА'!$I$3:$I$11609)</f>
        <v>#VALUE!</v>
      </c>
      <c r="G324" s="1016" t="e">
        <f t="shared" si="8"/>
        <v>#VALUE!</v>
      </c>
      <c r="H324" s="1017"/>
    </row>
    <row r="325" spans="1:8" ht="12.75" hidden="1">
      <c r="A325" s="1030"/>
      <c r="B325" s="1030" t="s">
        <v>1143</v>
      </c>
      <c r="C325" s="1015">
        <f>_xlfn.IFERROR(VLOOKUP(B325,'[1]ПО КОРИСНИЦИМА'!$C$3:$J$11609,5,FALSE),"")</f>
      </c>
      <c r="D325" s="1019" t="e">
        <f>SUMIF('[1]ПО КОРИСНИЦИМА'!$G$3:$G$11609,"Свега за пројекат 2003-П13:",'[1]ПО КОРИСНИЦИМА'!$H$3:$H$11609)</f>
        <v>#VALUE!</v>
      </c>
      <c r="E325" s="1013" t="e">
        <f t="shared" si="9"/>
        <v>#VALUE!</v>
      </c>
      <c r="F325" s="1020" t="e">
        <f>SUMIF('[1]ПО КОРИСНИЦИМА'!$G$3:$G$11609,"Свега за пројекат 2003-П13:",'[1]ПО КОРИСНИЦИМА'!$I$3:$I$11609)</f>
        <v>#VALUE!</v>
      </c>
      <c r="G325" s="1016" t="e">
        <f aca="true" t="shared" si="10" ref="G325:G389">D325+F325</f>
        <v>#VALUE!</v>
      </c>
      <c r="H325" s="1017"/>
    </row>
    <row r="326" spans="1:8" ht="12.75" hidden="1">
      <c r="A326" s="1030"/>
      <c r="B326" s="1030" t="s">
        <v>1144</v>
      </c>
      <c r="C326" s="1015">
        <f>_xlfn.IFERROR(VLOOKUP(B326,'[1]ПО КОРИСНИЦИМА'!$C$3:$J$11609,5,FALSE),"")</f>
      </c>
      <c r="D326" s="1019" t="e">
        <f>SUMIF('[1]ПО КОРИСНИЦИМА'!$G$3:$G$11609,"Свега за пројекат 2003-П14:",'[1]ПО КОРИСНИЦИМА'!$H$3:$H$11609)</f>
        <v>#VALUE!</v>
      </c>
      <c r="E326" s="1013" t="e">
        <f aca="true" t="shared" si="11" ref="E326:E389">D326/453286579</f>
        <v>#VALUE!</v>
      </c>
      <c r="F326" s="1020" t="e">
        <f>SUMIF('[1]ПО КОРИСНИЦИМА'!$G$3:$G$11609,"Свега за пројекат 2003-П14:",'[1]ПО КОРИСНИЦИМА'!$I$3:$I$11609)</f>
        <v>#VALUE!</v>
      </c>
      <c r="G326" s="1016" t="e">
        <f t="shared" si="10"/>
        <v>#VALUE!</v>
      </c>
      <c r="H326" s="1017"/>
    </row>
    <row r="327" spans="1:8" ht="12.75" hidden="1">
      <c r="A327" s="1030"/>
      <c r="B327" s="1030" t="s">
        <v>1145</v>
      </c>
      <c r="C327" s="1015">
        <f>_xlfn.IFERROR(VLOOKUP(B327,'[1]ПО КОРИСНИЦИМА'!$C$3:$J$11609,5,FALSE),"")</f>
      </c>
      <c r="D327" s="1019" t="e">
        <f>SUMIF('[1]ПО КОРИСНИЦИМА'!$G$3:$G$11609,"Свега за пројекат 2003-П15:",'[1]ПО КОРИСНИЦИМА'!$H$3:$H$11609)</f>
        <v>#VALUE!</v>
      </c>
      <c r="E327" s="1013" t="e">
        <f t="shared" si="11"/>
        <v>#VALUE!</v>
      </c>
      <c r="F327" s="1020" t="e">
        <f>SUMIF('[1]ПО КОРИСНИЦИМА'!$G$3:$G$11609,"Свега за пројекат 2003-П15:",'[1]ПО КОРИСНИЦИМА'!$I$3:$I$11609)</f>
        <v>#VALUE!</v>
      </c>
      <c r="G327" s="1016" t="e">
        <f t="shared" si="10"/>
        <v>#VALUE!</v>
      </c>
      <c r="H327" s="1017"/>
    </row>
    <row r="328" spans="1:8" ht="12.75" hidden="1">
      <c r="A328" s="1030"/>
      <c r="B328" s="1030" t="s">
        <v>1146</v>
      </c>
      <c r="C328" s="1015">
        <f>_xlfn.IFERROR(VLOOKUP(B328,'[1]ПО КОРИСНИЦИМА'!$C$3:$J$11609,5,FALSE),"")</f>
      </c>
      <c r="D328" s="1019" t="e">
        <f>SUMIF('[1]ПО КОРИСНИЦИМА'!$G$3:$G$11609,"Свега за пројекат 2003-П16:",'[1]ПО КОРИСНИЦИМА'!$H$3:$H$11609)</f>
        <v>#VALUE!</v>
      </c>
      <c r="E328" s="1013" t="e">
        <f t="shared" si="11"/>
        <v>#VALUE!</v>
      </c>
      <c r="F328" s="1020" t="e">
        <f>SUMIF('[1]ПО КОРИСНИЦИМА'!$G$3:$G$11609,"Свега за пројекат 2003-П16:",'[1]ПО КОРИСНИЦИМА'!$I$3:$I$11609)</f>
        <v>#VALUE!</v>
      </c>
      <c r="G328" s="1016" t="e">
        <f t="shared" si="10"/>
        <v>#VALUE!</v>
      </c>
      <c r="H328" s="1017"/>
    </row>
    <row r="329" spans="1:8" ht="12.75" hidden="1">
      <c r="A329" s="1030"/>
      <c r="B329" s="1030" t="s">
        <v>1147</v>
      </c>
      <c r="C329" s="1015">
        <f>_xlfn.IFERROR(VLOOKUP(B329,'[1]ПО КОРИСНИЦИМА'!$C$3:$J$11609,5,FALSE),"")</f>
      </c>
      <c r="D329" s="1019" t="e">
        <f>SUMIF('[1]ПО КОРИСНИЦИМА'!$G$3:$G$11609,"Свега за пројекат 2003-П17:",'[1]ПО КОРИСНИЦИМА'!$H$3:$H$11609)</f>
        <v>#VALUE!</v>
      </c>
      <c r="E329" s="1013" t="e">
        <f t="shared" si="11"/>
        <v>#VALUE!</v>
      </c>
      <c r="F329" s="1020" t="e">
        <f>SUMIF('[1]ПО КОРИСНИЦИМА'!$G$3:$G$11609,"Свега за пројекат 2003-П17:",'[1]ПО КОРИСНИЦИМА'!$I$3:$I$11609)</f>
        <v>#VALUE!</v>
      </c>
      <c r="G329" s="1016" t="e">
        <f t="shared" si="10"/>
        <v>#VALUE!</v>
      </c>
      <c r="H329" s="1017"/>
    </row>
    <row r="330" spans="1:8" ht="12.75" hidden="1">
      <c r="A330" s="1030"/>
      <c r="B330" s="1030" t="s">
        <v>1148</v>
      </c>
      <c r="C330" s="1015">
        <f>_xlfn.IFERROR(VLOOKUP(B330,'[1]ПО КОРИСНИЦИМА'!$C$3:$J$11609,5,FALSE),"")</f>
      </c>
      <c r="D330" s="1019" t="e">
        <f>SUMIF('[1]ПО КОРИСНИЦИМА'!$G$3:$G$11609,"Свега за пројекат 2003-П18:",'[1]ПО КОРИСНИЦИМА'!$H$3:$H$11609)</f>
        <v>#VALUE!</v>
      </c>
      <c r="E330" s="1013" t="e">
        <f t="shared" si="11"/>
        <v>#VALUE!</v>
      </c>
      <c r="F330" s="1020" t="e">
        <f>SUMIF('[1]ПО КОРИСНИЦИМА'!$G$3:$G$11609,"Свега за пројекат 2003-П18:",'[1]ПО КОРИСНИЦИМА'!$I$3:$I$11609)</f>
        <v>#VALUE!</v>
      </c>
      <c r="G330" s="1016" t="e">
        <f t="shared" si="10"/>
        <v>#VALUE!</v>
      </c>
      <c r="H330" s="1017"/>
    </row>
    <row r="331" spans="1:8" ht="12.75" hidden="1">
      <c r="A331" s="1030"/>
      <c r="B331" s="1030" t="s">
        <v>1149</v>
      </c>
      <c r="C331" s="1015">
        <f>_xlfn.IFERROR(VLOOKUP(B331,'[1]ПО КОРИСНИЦИМА'!$C$3:$J$11609,5,FALSE),"")</f>
      </c>
      <c r="D331" s="1019" t="e">
        <f>SUMIF('[1]ПО КОРИСНИЦИМА'!$G$3:$G$11609,"Свега за пројекат 2003-П19:",'[1]ПО КОРИСНИЦИМА'!$H$3:$H$11609)</f>
        <v>#VALUE!</v>
      </c>
      <c r="E331" s="1013" t="e">
        <f t="shared" si="11"/>
        <v>#VALUE!</v>
      </c>
      <c r="F331" s="1020" t="e">
        <f>SUMIF('[1]ПО КОРИСНИЦИМА'!$G$3:$G$11609,"Свега за пројекат 2003-П19:",'[1]ПО КОРИСНИЦИМА'!$I$3:$I$11609)</f>
        <v>#VALUE!</v>
      </c>
      <c r="G331" s="1016" t="e">
        <f t="shared" si="10"/>
        <v>#VALUE!</v>
      </c>
      <c r="H331" s="1017"/>
    </row>
    <row r="332" spans="1:8" ht="12.75" hidden="1">
      <c r="A332" s="1030"/>
      <c r="B332" s="1030" t="s">
        <v>1150</v>
      </c>
      <c r="C332" s="1015">
        <f>_xlfn.IFERROR(VLOOKUP(B332,'[1]ПО КОРИСНИЦИМА'!$C$3:$J$11609,5,FALSE),"")</f>
      </c>
      <c r="D332" s="1019" t="e">
        <f>SUMIF('[1]ПО КОРИСНИЦИМА'!$G$3:$G$11609,"Свега за пројекат 2003-П20:",'[1]ПО КОРИСНИЦИМА'!$H$3:$H$11609)</f>
        <v>#VALUE!</v>
      </c>
      <c r="E332" s="1013" t="e">
        <f t="shared" si="11"/>
        <v>#VALUE!</v>
      </c>
      <c r="F332" s="1020" t="e">
        <f>SUMIF('[1]ПО КОРИСНИЦИМА'!$G$3:$G$11609,"Свега за пројекат 2003-П20:",'[1]ПО КОРИСНИЦИМА'!$I$3:$I$11609)</f>
        <v>#VALUE!</v>
      </c>
      <c r="G332" s="1016" t="e">
        <f t="shared" si="10"/>
        <v>#VALUE!</v>
      </c>
      <c r="H332" s="1017"/>
    </row>
    <row r="333" spans="1:8" ht="12.75" hidden="1">
      <c r="A333" s="1030"/>
      <c r="B333" s="1030" t="s">
        <v>1151</v>
      </c>
      <c r="C333" s="1015">
        <f>_xlfn.IFERROR(VLOOKUP(B333,'[1]ПО КОРИСНИЦИМА'!$C$3:$J$11609,5,FALSE),"")</f>
      </c>
      <c r="D333" s="1019" t="e">
        <f>SUMIF('[1]ПО КОРИСНИЦИМА'!$G$3:$G$11609,"Свега за пројекат 2003-П21:",'[1]ПО КОРИСНИЦИМА'!$H$3:$H$11609)</f>
        <v>#VALUE!</v>
      </c>
      <c r="E333" s="1013" t="e">
        <f t="shared" si="11"/>
        <v>#VALUE!</v>
      </c>
      <c r="F333" s="1020" t="e">
        <f>SUMIF('[1]ПО КОРИСНИЦИМА'!$G$3:$G$11609,"Свега за пројекат 2003-П21:",'[1]ПО КОРИСНИЦИМА'!$I$3:$I$11609)</f>
        <v>#VALUE!</v>
      </c>
      <c r="G333" s="1016" t="e">
        <f t="shared" si="10"/>
        <v>#VALUE!</v>
      </c>
      <c r="H333" s="1017"/>
    </row>
    <row r="334" spans="1:8" ht="12.75" hidden="1">
      <c r="A334" s="1030"/>
      <c r="B334" s="1030" t="s">
        <v>1152</v>
      </c>
      <c r="C334" s="1015">
        <f>_xlfn.IFERROR(VLOOKUP(B334,'[1]ПО КОРИСНИЦИМА'!$C$3:$J$11609,5,FALSE),"")</f>
      </c>
      <c r="D334" s="1019" t="e">
        <f>SUMIF('[1]ПО КОРИСНИЦИМА'!$G$3:$G$11609,"Свега за пројекат 2003-П22:",'[1]ПО КОРИСНИЦИМА'!$H$3:$H$11609)</f>
        <v>#VALUE!</v>
      </c>
      <c r="E334" s="1013" t="e">
        <f t="shared" si="11"/>
        <v>#VALUE!</v>
      </c>
      <c r="F334" s="1020" t="e">
        <f>SUMIF('[1]ПО КОРИСНИЦИМА'!$G$3:$G$11609,"Свега за пројекат 2003-П22:",'[1]ПО КОРИСНИЦИМА'!$I$3:$I$11609)</f>
        <v>#VALUE!</v>
      </c>
      <c r="G334" s="1016" t="e">
        <f t="shared" si="10"/>
        <v>#VALUE!</v>
      </c>
      <c r="H334" s="1017"/>
    </row>
    <row r="335" spans="1:8" ht="12.75" hidden="1">
      <c r="A335" s="1030"/>
      <c r="B335" s="1030" t="s">
        <v>1153</v>
      </c>
      <c r="C335" s="1015">
        <f>_xlfn.IFERROR(VLOOKUP(B335,'[1]ПО КОРИСНИЦИМА'!$C$3:$J$11609,5,FALSE),"")</f>
      </c>
      <c r="D335" s="1019" t="e">
        <f>SUMIF('[1]ПО КОРИСНИЦИМА'!$G$3:$G$11609,"Свега за пројекат 2003-П23:",'[1]ПО КОРИСНИЦИМА'!$H$3:$H$11609)</f>
        <v>#VALUE!</v>
      </c>
      <c r="E335" s="1013" t="e">
        <f t="shared" si="11"/>
        <v>#VALUE!</v>
      </c>
      <c r="F335" s="1020" t="e">
        <f>SUMIF('[1]ПО КОРИСНИЦИМА'!$G$3:$G$11609,"Свега за пројекат 2003-П23:",'[1]ПО КОРИСНИЦИМА'!$I$3:$I$11609)</f>
        <v>#VALUE!</v>
      </c>
      <c r="G335" s="1016" t="e">
        <f t="shared" si="10"/>
        <v>#VALUE!</v>
      </c>
      <c r="H335" s="1017"/>
    </row>
    <row r="336" spans="1:8" ht="12.75" hidden="1">
      <c r="A336" s="1030"/>
      <c r="B336" s="1030" t="s">
        <v>1154</v>
      </c>
      <c r="C336" s="1015">
        <f>_xlfn.IFERROR(VLOOKUP(B336,'[1]ПО КОРИСНИЦИМА'!$C$3:$J$11609,5,FALSE),"")</f>
      </c>
      <c r="D336" s="1019" t="e">
        <f>SUMIF('[1]ПО КОРИСНИЦИМА'!$G$3:$G$11609,"Свега за пројекат 2003-П24:",'[1]ПО КОРИСНИЦИМА'!$H$3:$H$11609)</f>
        <v>#VALUE!</v>
      </c>
      <c r="E336" s="1013" t="e">
        <f t="shared" si="11"/>
        <v>#VALUE!</v>
      </c>
      <c r="F336" s="1020" t="e">
        <f>SUMIF('[1]ПО КОРИСНИЦИМА'!$G$3:$G$11609,"Свега за пројекат 2003-П24:",'[1]ПО КОРИСНИЦИМА'!$I$3:$I$11609)</f>
        <v>#VALUE!</v>
      </c>
      <c r="G336" s="1016" t="e">
        <f t="shared" si="10"/>
        <v>#VALUE!</v>
      </c>
      <c r="H336" s="1017"/>
    </row>
    <row r="337" spans="1:8" ht="12.75" hidden="1">
      <c r="A337" s="1030"/>
      <c r="B337" s="1030" t="s">
        <v>1155</v>
      </c>
      <c r="C337" s="1015">
        <f>_xlfn.IFERROR(VLOOKUP(B337,'[1]ПО КОРИСНИЦИМА'!$C$3:$J$11609,5,FALSE),"")</f>
      </c>
      <c r="D337" s="1019" t="e">
        <f>SUMIF('[1]ПО КОРИСНИЦИМА'!$G$3:$G$11609,"Свега за пројекат 2003-П25:",'[1]ПО КОРИСНИЦИМА'!$H$3:$H$11609)</f>
        <v>#VALUE!</v>
      </c>
      <c r="E337" s="1013" t="e">
        <f t="shared" si="11"/>
        <v>#VALUE!</v>
      </c>
      <c r="F337" s="1020" t="e">
        <f>SUMIF('[1]ПО КОРИСНИЦИМА'!$G$3:$G$11609,"Свега за пројекат 2003-П25:",'[1]ПО КОРИСНИЦИМА'!$I$3:$I$11609)</f>
        <v>#VALUE!</v>
      </c>
      <c r="G337" s="1016" t="e">
        <f t="shared" si="10"/>
        <v>#VALUE!</v>
      </c>
      <c r="H337" s="1017"/>
    </row>
    <row r="338" spans="1:8" ht="12.75" hidden="1">
      <c r="A338" s="1030"/>
      <c r="B338" s="1030" t="s">
        <v>1156</v>
      </c>
      <c r="C338" s="1015">
        <f>_xlfn.IFERROR(VLOOKUP(B338,'[1]ПО КОРИСНИЦИМА'!$C$3:$J$11609,5,FALSE),"")</f>
      </c>
      <c r="D338" s="1019" t="e">
        <f>SUMIF('[1]ПО КОРИСНИЦИМА'!$G$3:$G$11609,"Свега за пројекат 2003-П26:",'[1]ПО КОРИСНИЦИМА'!$H$3:$H$11609)</f>
        <v>#VALUE!</v>
      </c>
      <c r="E338" s="1013" t="e">
        <f t="shared" si="11"/>
        <v>#VALUE!</v>
      </c>
      <c r="F338" s="1020" t="e">
        <f>SUMIF('[1]ПО КОРИСНИЦИМА'!$G$3:$G$11609,"Свега за пројекат 2003-П26:",'[1]ПО КОРИСНИЦИМА'!$I$3:$I$11609)</f>
        <v>#VALUE!</v>
      </c>
      <c r="G338" s="1016" t="e">
        <f t="shared" si="10"/>
        <v>#VALUE!</v>
      </c>
      <c r="H338" s="1017"/>
    </row>
    <row r="339" spans="1:8" ht="12.75" hidden="1">
      <c r="A339" s="1030"/>
      <c r="B339" s="1030" t="s">
        <v>1157</v>
      </c>
      <c r="C339" s="1015">
        <f>_xlfn.IFERROR(VLOOKUP(B339,'[1]ПО КОРИСНИЦИМА'!$C$3:$J$11609,5,FALSE),"")</f>
      </c>
      <c r="D339" s="1019" t="e">
        <f>SUMIF('[1]ПО КОРИСНИЦИМА'!$G$3:$G$11609,"Свега за пројекат 2003-П27:",'[1]ПО КОРИСНИЦИМА'!$H$3:$H$11609)</f>
        <v>#VALUE!</v>
      </c>
      <c r="E339" s="1013" t="e">
        <f t="shared" si="11"/>
        <v>#VALUE!</v>
      </c>
      <c r="F339" s="1020" t="e">
        <f>SUMIF('[1]ПО КОРИСНИЦИМА'!$G$3:$G$11609,"Свега за пројекат 2003-П27:",'[1]ПО КОРИСНИЦИМА'!$I$3:$I$11609)</f>
        <v>#VALUE!</v>
      </c>
      <c r="G339" s="1016" t="e">
        <f t="shared" si="10"/>
        <v>#VALUE!</v>
      </c>
      <c r="H339" s="1017"/>
    </row>
    <row r="340" spans="1:8" ht="12.75" hidden="1">
      <c r="A340" s="1030"/>
      <c r="B340" s="1030" t="s">
        <v>590</v>
      </c>
      <c r="C340" s="1015">
        <f>_xlfn.IFERROR(VLOOKUP(B340,'[1]ПО КОРИСНИЦИМА'!$C$3:$J$11609,5,FALSE),"")</f>
      </c>
      <c r="D340" s="1019" t="e">
        <f>SUMIF('[1]ПО КОРИСНИЦИМА'!$G$3:$G$11609,"Свега за пројекат 2003-П28:",'[1]ПО КОРИСНИЦИМА'!$H$3:$H$11609)</f>
        <v>#VALUE!</v>
      </c>
      <c r="E340" s="1013" t="e">
        <f t="shared" si="11"/>
        <v>#VALUE!</v>
      </c>
      <c r="F340" s="1020" t="e">
        <f>SUMIF('[1]ПО КОРИСНИЦИМА'!$G$3:$G$11609,"Свега за пројекат 2003-П28:",'[1]ПО КОРИСНИЦИМА'!$I$3:$I$11609)</f>
        <v>#VALUE!</v>
      </c>
      <c r="G340" s="1016" t="e">
        <f t="shared" si="10"/>
        <v>#VALUE!</v>
      </c>
      <c r="H340" s="1017"/>
    </row>
    <row r="341" spans="1:8" ht="12.75" hidden="1">
      <c r="A341" s="1030"/>
      <c r="B341" s="1030" t="s">
        <v>591</v>
      </c>
      <c r="C341" s="1015">
        <f>_xlfn.IFERROR(VLOOKUP(B341,'[1]ПО КОРИСНИЦИМА'!$C$3:$J$11609,5,FALSE),"")</f>
      </c>
      <c r="D341" s="1019" t="e">
        <f>SUMIF('[1]ПО КОРИСНИЦИМА'!$G$3:$G$11609,"Свега за пројекат 2003-П29:",'[1]ПО КОРИСНИЦИМА'!$H$3:$H$11609)</f>
        <v>#VALUE!</v>
      </c>
      <c r="E341" s="1013" t="e">
        <f t="shared" si="11"/>
        <v>#VALUE!</v>
      </c>
      <c r="F341" s="1020" t="e">
        <f>SUMIF('[1]ПО КОРИСНИЦИМА'!$G$3:$G$11609,"Свега за пројекат 2003-П29:",'[1]ПО КОРИСНИЦИМА'!$I$3:$I$11609)</f>
        <v>#VALUE!</v>
      </c>
      <c r="G341" s="1016" t="e">
        <f t="shared" si="10"/>
        <v>#VALUE!</v>
      </c>
      <c r="H341" s="1017"/>
    </row>
    <row r="342" spans="1:8" ht="12.75" hidden="1">
      <c r="A342" s="1030"/>
      <c r="B342" s="1030" t="s">
        <v>592</v>
      </c>
      <c r="C342" s="1015">
        <f>_xlfn.IFERROR(VLOOKUP(B342,'[1]ПО КОРИСНИЦИМА'!$C$3:$J$11609,5,FALSE),"")</f>
      </c>
      <c r="D342" s="1019" t="e">
        <f>SUMIF('[1]ПО КОРИСНИЦИМА'!$G$3:$G$11609,"Свега за пројекат 2003-П30:",'[1]ПО КОРИСНИЦИМА'!$H$3:$H$11609)</f>
        <v>#VALUE!</v>
      </c>
      <c r="E342" s="1013" t="e">
        <f t="shared" si="11"/>
        <v>#VALUE!</v>
      </c>
      <c r="F342" s="1020" t="e">
        <f>SUMIF('[1]ПО КОРИСНИЦИМА'!$G$3:$G$11609,"Свега за пројекат 2003-П30:",'[1]ПО КОРИСНИЦИМА'!$I$3:$I$11609)</f>
        <v>#VALUE!</v>
      </c>
      <c r="G342" s="1016" t="e">
        <f t="shared" si="10"/>
        <v>#VALUE!</v>
      </c>
      <c r="H342" s="1017"/>
    </row>
    <row r="343" spans="1:8" s="320" customFormat="1" ht="12.75">
      <c r="A343" s="1009" t="s">
        <v>296</v>
      </c>
      <c r="B343" s="1010"/>
      <c r="C343" s="1011" t="s">
        <v>6</v>
      </c>
      <c r="D343" s="1012">
        <f>SUM(D344:D349)</f>
        <v>49129000</v>
      </c>
      <c r="E343" s="1013">
        <f t="shared" si="11"/>
        <v>0.10838397225080869</v>
      </c>
      <c r="F343" s="1012">
        <f>SUM(F344:F349)</f>
        <v>2758999</v>
      </c>
      <c r="G343" s="1012">
        <f t="shared" si="10"/>
        <v>51887999</v>
      </c>
      <c r="H343" s="1027"/>
    </row>
    <row r="344" spans="1:8" ht="12.75">
      <c r="A344" s="1038"/>
      <c r="B344" s="1028" t="s">
        <v>297</v>
      </c>
      <c r="C344" s="1039" t="s">
        <v>1323</v>
      </c>
      <c r="D344" s="1016">
        <f>'Rashodi-2021'!M205</f>
        <v>7162000</v>
      </c>
      <c r="E344" s="1486">
        <f t="shared" si="11"/>
        <v>0.015800158954187786</v>
      </c>
      <c r="F344" s="1016">
        <f>'Rashodi-2021'!T205</f>
        <v>0</v>
      </c>
      <c r="G344" s="1040">
        <f t="shared" si="10"/>
        <v>7162000</v>
      </c>
      <c r="H344" s="1017" t="s">
        <v>1282</v>
      </c>
    </row>
    <row r="345" spans="1:8" ht="12.75" hidden="1">
      <c r="A345" s="1038"/>
      <c r="B345" s="1028" t="s">
        <v>851</v>
      </c>
      <c r="C345" s="1039" t="s">
        <v>852</v>
      </c>
      <c r="D345" s="1016"/>
      <c r="E345" s="1486">
        <f t="shared" si="11"/>
        <v>0</v>
      </c>
      <c r="F345" s="1016"/>
      <c r="G345" s="1040">
        <f t="shared" si="10"/>
        <v>0</v>
      </c>
      <c r="H345" s="1017"/>
    </row>
    <row r="346" spans="1:8" ht="12.75" hidden="1">
      <c r="A346" s="1038"/>
      <c r="B346" s="1028" t="s">
        <v>853</v>
      </c>
      <c r="C346" s="1039" t="s">
        <v>854</v>
      </c>
      <c r="D346" s="1016"/>
      <c r="E346" s="1486">
        <f t="shared" si="11"/>
        <v>0</v>
      </c>
      <c r="F346" s="1016"/>
      <c r="G346" s="1040">
        <f t="shared" si="10"/>
        <v>0</v>
      </c>
      <c r="H346" s="1017"/>
    </row>
    <row r="347" spans="1:8" ht="12.75">
      <c r="A347" s="1038"/>
      <c r="B347" s="1028" t="s">
        <v>853</v>
      </c>
      <c r="C347" s="1022" t="s">
        <v>1324</v>
      </c>
      <c r="D347" s="1023">
        <f>'Rashodi-2021'!M223</f>
        <v>25397000</v>
      </c>
      <c r="E347" s="1486">
        <f t="shared" si="11"/>
        <v>0.05602857259976365</v>
      </c>
      <c r="F347" s="1016">
        <f>'Rashodi-2021'!T223</f>
        <v>2156458</v>
      </c>
      <c r="G347" s="1040">
        <f t="shared" si="10"/>
        <v>27553458</v>
      </c>
      <c r="H347" s="1017" t="s">
        <v>1282</v>
      </c>
    </row>
    <row r="348" spans="1:8" ht="12.75">
      <c r="A348" s="1038"/>
      <c r="B348" s="1028" t="s">
        <v>303</v>
      </c>
      <c r="C348" s="1039" t="s">
        <v>1227</v>
      </c>
      <c r="D348" s="1016">
        <f>'Rashodi-2021'!M239</f>
        <v>4720000</v>
      </c>
      <c r="E348" s="1486">
        <f t="shared" si="11"/>
        <v>0.010412838629400496</v>
      </c>
      <c r="F348" s="1016">
        <f>'Rashodi-2021'!T239</f>
        <v>0</v>
      </c>
      <c r="G348" s="1040">
        <f t="shared" si="10"/>
        <v>4720000</v>
      </c>
      <c r="H348" s="1017" t="s">
        <v>1166</v>
      </c>
    </row>
    <row r="349" spans="1:8" ht="12.75">
      <c r="A349" s="1038"/>
      <c r="B349" s="1028" t="s">
        <v>305</v>
      </c>
      <c r="C349" s="1022" t="s">
        <v>1226</v>
      </c>
      <c r="D349" s="1023">
        <f>'Rashodi-2021'!M231</f>
        <v>11850000</v>
      </c>
      <c r="E349" s="1486">
        <f t="shared" si="11"/>
        <v>0.026142402067456754</v>
      </c>
      <c r="F349" s="1016">
        <f>'Rashodi-2021'!T231</f>
        <v>602541</v>
      </c>
      <c r="G349" s="1040">
        <f t="shared" si="10"/>
        <v>12452541</v>
      </c>
      <c r="H349" s="1017" t="s">
        <v>1166</v>
      </c>
    </row>
    <row r="350" spans="1:8" ht="12.75" hidden="1">
      <c r="A350" s="1038"/>
      <c r="B350" s="1028" t="s">
        <v>594</v>
      </c>
      <c r="C350" s="1015">
        <f>_xlfn.IFERROR(VLOOKUP(B350,'[1]ПО КОРИСНИЦИМА'!$C$3:$J$11609,5,FALSE),"")</f>
      </c>
      <c r="D350" s="1019"/>
      <c r="E350" s="1013">
        <f t="shared" si="11"/>
        <v>0</v>
      </c>
      <c r="F350" s="1020"/>
      <c r="G350" s="1040">
        <f t="shared" si="10"/>
        <v>0</v>
      </c>
      <c r="H350" s="1017"/>
    </row>
    <row r="351" spans="1:8" ht="12.75" hidden="1">
      <c r="A351" s="1038"/>
      <c r="B351" s="1028" t="s">
        <v>595</v>
      </c>
      <c r="C351" s="1015">
        <f>_xlfn.IFERROR(VLOOKUP(B351,'[1]ПО КОРИСНИЦИМА'!$C$3:$J$11609,5,FALSE),"")</f>
      </c>
      <c r="D351" s="1019"/>
      <c r="E351" s="1013">
        <f t="shared" si="11"/>
        <v>0</v>
      </c>
      <c r="F351" s="1020"/>
      <c r="G351" s="1040">
        <f t="shared" si="10"/>
        <v>0</v>
      </c>
      <c r="H351" s="1017"/>
    </row>
    <row r="352" spans="1:8" ht="12.75" hidden="1">
      <c r="A352" s="1038"/>
      <c r="B352" s="1028" t="s">
        <v>596</v>
      </c>
      <c r="C352" s="1015">
        <f>_xlfn.IFERROR(VLOOKUP(B352,'[1]ПО КОРИСНИЦИМА'!$C$3:$J$11609,5,FALSE),"")</f>
      </c>
      <c r="D352" s="1019"/>
      <c r="E352" s="1013">
        <f t="shared" si="11"/>
        <v>0</v>
      </c>
      <c r="F352" s="1020"/>
      <c r="G352" s="1040">
        <f t="shared" si="10"/>
        <v>0</v>
      </c>
      <c r="H352" s="1017"/>
    </row>
    <row r="353" spans="1:8" ht="12.75" hidden="1">
      <c r="A353" s="1038"/>
      <c r="B353" s="1028" t="s">
        <v>597</v>
      </c>
      <c r="C353" s="1015">
        <f>_xlfn.IFERROR(VLOOKUP(B353,'[1]ПО КОРИСНИЦИМА'!$C$3:$J$11609,5,FALSE),"")</f>
      </c>
      <c r="D353" s="1019"/>
      <c r="E353" s="1013">
        <f t="shared" si="11"/>
        <v>0</v>
      </c>
      <c r="F353" s="1020"/>
      <c r="G353" s="1040">
        <f t="shared" si="10"/>
        <v>0</v>
      </c>
      <c r="H353" s="1017"/>
    </row>
    <row r="354" spans="1:8" ht="12.75" hidden="1">
      <c r="A354" s="1038"/>
      <c r="B354" s="1028" t="s">
        <v>598</v>
      </c>
      <c r="C354" s="1015">
        <f>_xlfn.IFERROR(VLOOKUP(B354,'[1]ПО КОРИСНИЦИМА'!$C$3:$J$11609,5,FALSE),"")</f>
      </c>
      <c r="D354" s="1019" t="e">
        <f>SUMIF('[1]ПО КОРИСНИЦИМА'!$G$3:$G$11609,"Свега за пројекат 0901-П5:",'[1]ПО КОРИСНИЦИМА'!$H$3:$H$11609)</f>
        <v>#VALUE!</v>
      </c>
      <c r="E354" s="1013" t="e">
        <f t="shared" si="11"/>
        <v>#VALUE!</v>
      </c>
      <c r="F354" s="1020" t="e">
        <f>SUMIF('[1]ПО КОРИСНИЦИМА'!$G$3:$G$11609,"Свега за пројекат 0901-П5:",'[1]ПО КОРИСНИЦИМА'!$I$3:$I$11609)</f>
        <v>#VALUE!</v>
      </c>
      <c r="G354" s="1040" t="e">
        <f t="shared" si="10"/>
        <v>#VALUE!</v>
      </c>
      <c r="H354" s="1017"/>
    </row>
    <row r="355" spans="1:8" ht="12.75" hidden="1">
      <c r="A355" s="1038"/>
      <c r="B355" s="1028" t="s">
        <v>599</v>
      </c>
      <c r="C355" s="1015">
        <f>_xlfn.IFERROR(VLOOKUP(B355,'[1]ПО КОРИСНИЦИМА'!$C$3:$J$11609,5,FALSE),"")</f>
      </c>
      <c r="D355" s="1019" t="e">
        <f>SUMIF('[1]ПО КОРИСНИЦИМА'!$G$3:$G$11609,"Свега за пројекат 0901-П6:",'[1]ПО КОРИСНИЦИМА'!$H$3:$H$11609)</f>
        <v>#VALUE!</v>
      </c>
      <c r="E355" s="1013" t="e">
        <f t="shared" si="11"/>
        <v>#VALUE!</v>
      </c>
      <c r="F355" s="1020" t="e">
        <f>SUMIF('[1]ПО КОРИСНИЦИМА'!$G$3:$G$11609,"Свега за пројекат 0901-П6:",'[1]ПО КОРИСНИЦИМА'!$I$3:$I$11609)</f>
        <v>#VALUE!</v>
      </c>
      <c r="G355" s="1040" t="e">
        <f t="shared" si="10"/>
        <v>#VALUE!</v>
      </c>
      <c r="H355" s="1017"/>
    </row>
    <row r="356" spans="1:8" ht="12.75" hidden="1">
      <c r="A356" s="1038"/>
      <c r="B356" s="1028" t="s">
        <v>600</v>
      </c>
      <c r="C356" s="1015">
        <f>_xlfn.IFERROR(VLOOKUP(B356,'[1]ПО КОРИСНИЦИМА'!$C$3:$J$11609,5,FALSE),"")</f>
      </c>
      <c r="D356" s="1019" t="e">
        <f>SUMIF('[1]ПО КОРИСНИЦИМА'!$G$3:$G$11609,"Свега за пројекат 0901-П7:",'[1]ПО КОРИСНИЦИМА'!$H$3:$H$11609)</f>
        <v>#VALUE!</v>
      </c>
      <c r="E356" s="1013" t="e">
        <f t="shared" si="11"/>
        <v>#VALUE!</v>
      </c>
      <c r="F356" s="1020" t="e">
        <f>SUMIF('[1]ПО КОРИСНИЦИМА'!$G$3:$G$11609,"Свега за пројекат 0901-П7:",'[1]ПО КОРИСНИЦИМА'!$I$3:$I$11609)</f>
        <v>#VALUE!</v>
      </c>
      <c r="G356" s="1040" t="e">
        <f t="shared" si="10"/>
        <v>#VALUE!</v>
      </c>
      <c r="H356" s="1017"/>
    </row>
    <row r="357" spans="1:8" ht="12.75" hidden="1">
      <c r="A357" s="1038"/>
      <c r="B357" s="1028" t="s">
        <v>601</v>
      </c>
      <c r="C357" s="1015">
        <f>_xlfn.IFERROR(VLOOKUP(B357,'[1]ПО КОРИСНИЦИМА'!$C$3:$J$11609,5,FALSE),"")</f>
      </c>
      <c r="D357" s="1019" t="e">
        <f>SUMIF('[1]ПО КОРИСНИЦИМА'!$G$3:$G$11609,"Свега за пројекат 0901-П8:",'[1]ПО КОРИСНИЦИМА'!$H$3:$H$11609)</f>
        <v>#VALUE!</v>
      </c>
      <c r="E357" s="1013" t="e">
        <f t="shared" si="11"/>
        <v>#VALUE!</v>
      </c>
      <c r="F357" s="1020" t="e">
        <f>SUMIF('[1]ПО КОРИСНИЦИМА'!$G$3:$G$11609,"Свега за пројекат 0901-П8:",'[1]ПО КОРИСНИЦИМА'!$I$3:$I$11609)</f>
        <v>#VALUE!</v>
      </c>
      <c r="G357" s="1040" t="e">
        <f t="shared" si="10"/>
        <v>#VALUE!</v>
      </c>
      <c r="H357" s="1017"/>
    </row>
    <row r="358" spans="1:8" ht="12.75" hidden="1">
      <c r="A358" s="1038"/>
      <c r="B358" s="1028" t="s">
        <v>602</v>
      </c>
      <c r="C358" s="1015">
        <f>_xlfn.IFERROR(VLOOKUP(B358,'[1]ПО КОРИСНИЦИМА'!$C$3:$J$11609,5,FALSE),"")</f>
      </c>
      <c r="D358" s="1019" t="e">
        <f>SUMIF('[1]ПО КОРИСНИЦИМА'!$G$3:$G$11609,"Свега за пројекат 0901-П9:",'[1]ПО КОРИСНИЦИМА'!$H$3:$H$11609)</f>
        <v>#VALUE!</v>
      </c>
      <c r="E358" s="1013" t="e">
        <f t="shared" si="11"/>
        <v>#VALUE!</v>
      </c>
      <c r="F358" s="1020" t="e">
        <f>SUMIF('[1]ПО КОРИСНИЦИМА'!$G$3:$G$11609,"Свега за пројекат 0901-П9:",'[1]ПО КОРИСНИЦИМА'!$I$3:$I$11609)</f>
        <v>#VALUE!</v>
      </c>
      <c r="G358" s="1040" t="e">
        <f t="shared" si="10"/>
        <v>#VALUE!</v>
      </c>
      <c r="H358" s="1017"/>
    </row>
    <row r="359" spans="1:8" ht="12.75" hidden="1">
      <c r="A359" s="1038"/>
      <c r="B359" s="1028" t="s">
        <v>603</v>
      </c>
      <c r="C359" s="1015">
        <f>_xlfn.IFERROR(VLOOKUP(B359,'[1]ПО КОРИСНИЦИМА'!$C$3:$J$11609,5,FALSE),"")</f>
      </c>
      <c r="D359" s="1019" t="e">
        <f>SUMIF('[1]ПО КОРИСНИЦИМА'!$G$3:$G$11609,"Свега за пројекат 0901-П10:",'[1]ПО КОРИСНИЦИМА'!$H$3:$H$11609)</f>
        <v>#VALUE!</v>
      </c>
      <c r="E359" s="1013" t="e">
        <f t="shared" si="11"/>
        <v>#VALUE!</v>
      </c>
      <c r="F359" s="1020" t="e">
        <f>SUMIF('[1]ПО КОРИСНИЦИМА'!$G$3:$G$11609,"Свега за пројекат 0901-П10:",'[1]ПО КОРИСНИЦИМА'!$I$3:$I$11609)</f>
        <v>#VALUE!</v>
      </c>
      <c r="G359" s="1040" t="e">
        <f t="shared" si="10"/>
        <v>#VALUE!</v>
      </c>
      <c r="H359" s="1017"/>
    </row>
    <row r="360" spans="1:8" ht="12.75" hidden="1">
      <c r="A360" s="1038"/>
      <c r="B360" s="1028" t="s">
        <v>604</v>
      </c>
      <c r="C360" s="1015">
        <f>_xlfn.IFERROR(VLOOKUP(B360,'[1]ПО КОРИСНИЦИМА'!$C$3:$J$11609,5,FALSE),"")</f>
      </c>
      <c r="D360" s="1019" t="e">
        <f>SUMIF('[1]ПО КОРИСНИЦИМА'!$G$3:$G$11609,"Свега за пројекат 0901-П11:",'[1]ПО КОРИСНИЦИМА'!$H$3:$H$11609)</f>
        <v>#VALUE!</v>
      </c>
      <c r="E360" s="1013" t="e">
        <f t="shared" si="11"/>
        <v>#VALUE!</v>
      </c>
      <c r="F360" s="1020" t="e">
        <f>SUMIF('[1]ПО КОРИСНИЦИМА'!$G$3:$G$11609,"Свега за пројекат 0901-П11:",'[1]ПО КОРИСНИЦИМА'!$I$3:$I$11609)</f>
        <v>#VALUE!</v>
      </c>
      <c r="G360" s="1040" t="e">
        <f t="shared" si="10"/>
        <v>#VALUE!</v>
      </c>
      <c r="H360" s="1017"/>
    </row>
    <row r="361" spans="1:8" ht="12.75" hidden="1">
      <c r="A361" s="1038"/>
      <c r="B361" s="1028" t="s">
        <v>605</v>
      </c>
      <c r="C361" s="1015">
        <f>_xlfn.IFERROR(VLOOKUP(B361,'[1]ПО КОРИСНИЦИМА'!$C$3:$J$11609,5,FALSE),"")</f>
      </c>
      <c r="D361" s="1019" t="e">
        <f>SUMIF('[1]ПО КОРИСНИЦИМА'!$G$3:$G$11609,"Свега за пројекат 0901-П12:",'[1]ПО КОРИСНИЦИМА'!$H$3:$H$11609)</f>
        <v>#VALUE!</v>
      </c>
      <c r="E361" s="1013" t="e">
        <f t="shared" si="11"/>
        <v>#VALUE!</v>
      </c>
      <c r="F361" s="1020" t="e">
        <f>SUMIF('[1]ПО КОРИСНИЦИМА'!$G$3:$G$11609,"Свега за пројекат 0901-П12:",'[1]ПО КОРИСНИЦИМА'!$I$3:$I$11609)</f>
        <v>#VALUE!</v>
      </c>
      <c r="G361" s="1040" t="e">
        <f t="shared" si="10"/>
        <v>#VALUE!</v>
      </c>
      <c r="H361" s="1017"/>
    </row>
    <row r="362" spans="1:8" ht="12.75" hidden="1">
      <c r="A362" s="1038"/>
      <c r="B362" s="1028" t="s">
        <v>606</v>
      </c>
      <c r="C362" s="1015">
        <f>_xlfn.IFERROR(VLOOKUP(B362,'[1]ПО КОРИСНИЦИМА'!$C$3:$J$11609,5,FALSE),"")</f>
      </c>
      <c r="D362" s="1019" t="e">
        <f>SUMIF('[1]ПО КОРИСНИЦИМА'!$G$3:$G$11609,"Свега за пројекат 0901-П13:",'[1]ПО КОРИСНИЦИМА'!$H$3:$H$11609)</f>
        <v>#VALUE!</v>
      </c>
      <c r="E362" s="1013" t="e">
        <f t="shared" si="11"/>
        <v>#VALUE!</v>
      </c>
      <c r="F362" s="1020" t="e">
        <f>SUMIF('[1]ПО КОРИСНИЦИМА'!$G$3:$G$11609,"Свега за пројекат 0901-П13:",'[1]ПО КОРИСНИЦИМА'!$I$3:$I$11609)</f>
        <v>#VALUE!</v>
      </c>
      <c r="G362" s="1040" t="e">
        <f t="shared" si="10"/>
        <v>#VALUE!</v>
      </c>
      <c r="H362" s="1017"/>
    </row>
    <row r="363" spans="1:8" ht="12.75" hidden="1">
      <c r="A363" s="1038"/>
      <c r="B363" s="1028" t="s">
        <v>607</v>
      </c>
      <c r="C363" s="1015">
        <f>_xlfn.IFERROR(VLOOKUP(B363,'[1]ПО КОРИСНИЦИМА'!$C$3:$J$11609,5,FALSE),"")</f>
      </c>
      <c r="D363" s="1019" t="e">
        <f>SUMIF('[1]ПО КОРИСНИЦИМА'!$G$3:$G$11609,"Свега за пројекат 0901-П14:",'[1]ПО КОРИСНИЦИМА'!$H$3:$H$11609)</f>
        <v>#VALUE!</v>
      </c>
      <c r="E363" s="1013" t="e">
        <f t="shared" si="11"/>
        <v>#VALUE!</v>
      </c>
      <c r="F363" s="1020" t="e">
        <f>SUMIF('[1]ПО КОРИСНИЦИМА'!$G$3:$G$11609,"Свега за пројекат 0901-П14:",'[1]ПО КОРИСНИЦИМА'!$I$3:$I$11609)</f>
        <v>#VALUE!</v>
      </c>
      <c r="G363" s="1040" t="e">
        <f t="shared" si="10"/>
        <v>#VALUE!</v>
      </c>
      <c r="H363" s="1017"/>
    </row>
    <row r="364" spans="1:8" ht="12.75" hidden="1">
      <c r="A364" s="1038"/>
      <c r="B364" s="1028" t="s">
        <v>608</v>
      </c>
      <c r="C364" s="1015">
        <f>_xlfn.IFERROR(VLOOKUP(B364,'[1]ПО КОРИСНИЦИМА'!$C$3:$J$11609,5,FALSE),"")</f>
      </c>
      <c r="D364" s="1019" t="e">
        <f>SUMIF('[1]ПО КОРИСНИЦИМА'!$G$3:$G$11609,"Свега за пројекат 0901-П15:",'[1]ПО КОРИСНИЦИМА'!$H$3:$H$11609)</f>
        <v>#VALUE!</v>
      </c>
      <c r="E364" s="1013" t="e">
        <f t="shared" si="11"/>
        <v>#VALUE!</v>
      </c>
      <c r="F364" s="1020" t="e">
        <f>SUMIF('[1]ПО КОРИСНИЦИМА'!$G$3:$G$11609,"Свега за пројекат 0901-П15:",'[1]ПО КОРИСНИЦИМА'!$I$3:$I$11609)</f>
        <v>#VALUE!</v>
      </c>
      <c r="G364" s="1040" t="e">
        <f t="shared" si="10"/>
        <v>#VALUE!</v>
      </c>
      <c r="H364" s="1017"/>
    </row>
    <row r="365" spans="1:8" ht="12.75" hidden="1">
      <c r="A365" s="1038"/>
      <c r="B365" s="1028" t="s">
        <v>609</v>
      </c>
      <c r="C365" s="1015">
        <f>_xlfn.IFERROR(VLOOKUP(B365,'[1]ПО КОРИСНИЦИМА'!$C$3:$J$11609,5,FALSE),"")</f>
      </c>
      <c r="D365" s="1019" t="e">
        <f>SUMIF('[1]ПО КОРИСНИЦИМА'!$G$3:$G$11609,"Свега за пројекат 0901-П16:",'[1]ПО КОРИСНИЦИМА'!$H$3:$H$11609)</f>
        <v>#VALUE!</v>
      </c>
      <c r="E365" s="1013" t="e">
        <f t="shared" si="11"/>
        <v>#VALUE!</v>
      </c>
      <c r="F365" s="1020" t="e">
        <f>SUMIF('[1]ПО КОРИСНИЦИМА'!$G$3:$G$11609,"Свега за пројекат 0901-П16:",'[1]ПО КОРИСНИЦИМА'!$I$3:$I$11609)</f>
        <v>#VALUE!</v>
      </c>
      <c r="G365" s="1040" t="e">
        <f t="shared" si="10"/>
        <v>#VALUE!</v>
      </c>
      <c r="H365" s="1017"/>
    </row>
    <row r="366" spans="1:8" ht="12.75" hidden="1">
      <c r="A366" s="1038"/>
      <c r="B366" s="1028" t="s">
        <v>610</v>
      </c>
      <c r="C366" s="1015">
        <f>_xlfn.IFERROR(VLOOKUP(B366,'[1]ПО КОРИСНИЦИМА'!$C$3:$J$11609,5,FALSE),"")</f>
      </c>
      <c r="D366" s="1019" t="e">
        <f>SUMIF('[1]ПО КОРИСНИЦИМА'!$G$3:$G$11609,"Свега за пројекат 0901-П17:",'[1]ПО КОРИСНИЦИМА'!$H$3:$H$11609)</f>
        <v>#VALUE!</v>
      </c>
      <c r="E366" s="1013" t="e">
        <f t="shared" si="11"/>
        <v>#VALUE!</v>
      </c>
      <c r="F366" s="1020" t="e">
        <f>SUMIF('[1]ПО КОРИСНИЦИМА'!$G$3:$G$11609,"Свега за пројекат 0901-П17:",'[1]ПО КОРИСНИЦИМА'!$I$3:$I$11609)</f>
        <v>#VALUE!</v>
      </c>
      <c r="G366" s="1040" t="e">
        <f t="shared" si="10"/>
        <v>#VALUE!</v>
      </c>
      <c r="H366" s="1017"/>
    </row>
    <row r="367" spans="1:8" ht="12.75" hidden="1">
      <c r="A367" s="1038"/>
      <c r="B367" s="1028" t="s">
        <v>611</v>
      </c>
      <c r="C367" s="1015">
        <f>_xlfn.IFERROR(VLOOKUP(B367,'[1]ПО КОРИСНИЦИМА'!$C$3:$J$11609,5,FALSE),"")</f>
      </c>
      <c r="D367" s="1019" t="e">
        <f>SUMIF('[1]ПО КОРИСНИЦИМА'!$G$3:$G$11609,"Свега за пројекат 0901-П18:",'[1]ПО КОРИСНИЦИМА'!$H$3:$H$11609)</f>
        <v>#VALUE!</v>
      </c>
      <c r="E367" s="1013" t="e">
        <f t="shared" si="11"/>
        <v>#VALUE!</v>
      </c>
      <c r="F367" s="1020" t="e">
        <f>SUMIF('[1]ПО КОРИСНИЦИМА'!$G$3:$G$11609,"Свега за пројекат 0901-П18:",'[1]ПО КОРИСНИЦИМА'!$I$3:$I$11609)</f>
        <v>#VALUE!</v>
      </c>
      <c r="G367" s="1040" t="e">
        <f t="shared" si="10"/>
        <v>#VALUE!</v>
      </c>
      <c r="H367" s="1017"/>
    </row>
    <row r="368" spans="1:8" ht="12.75" hidden="1">
      <c r="A368" s="1038"/>
      <c r="B368" s="1028" t="s">
        <v>612</v>
      </c>
      <c r="C368" s="1015">
        <f>_xlfn.IFERROR(VLOOKUP(B368,'[1]ПО КОРИСНИЦИМА'!$C$3:$J$11609,5,FALSE),"")</f>
      </c>
      <c r="D368" s="1019" t="e">
        <f>SUMIF('[1]ПО КОРИСНИЦИМА'!$G$3:$G$11609,"Свега за пројекат 0901-П19:",'[1]ПО КОРИСНИЦИМА'!$H$3:$H$11609)</f>
        <v>#VALUE!</v>
      </c>
      <c r="E368" s="1013" t="e">
        <f t="shared" si="11"/>
        <v>#VALUE!</v>
      </c>
      <c r="F368" s="1020" t="e">
        <f>SUMIF('[1]ПО КОРИСНИЦИМА'!$G$3:$G$11609,"Свега за пројекат 0901-П19:",'[1]ПО КОРИСНИЦИМА'!$I$3:$I$11609)</f>
        <v>#VALUE!</v>
      </c>
      <c r="G368" s="1040" t="e">
        <f t="shared" si="10"/>
        <v>#VALUE!</v>
      </c>
      <c r="H368" s="1017"/>
    </row>
    <row r="369" spans="1:8" ht="12.75" hidden="1">
      <c r="A369" s="1038"/>
      <c r="B369" s="1028" t="s">
        <v>613</v>
      </c>
      <c r="C369" s="1015">
        <f>_xlfn.IFERROR(VLOOKUP(B369,'[1]ПО КОРИСНИЦИМА'!$C$3:$J$11609,5,FALSE),"")</f>
      </c>
      <c r="D369" s="1019" t="e">
        <f>SUMIF('[1]ПО КОРИСНИЦИМА'!$G$3:$G$11609,"Свега за пројекат 0901-П20:",'[1]ПО КОРИСНИЦИМА'!$H$3:$H$11609)</f>
        <v>#VALUE!</v>
      </c>
      <c r="E369" s="1013" t="e">
        <f t="shared" si="11"/>
        <v>#VALUE!</v>
      </c>
      <c r="F369" s="1020" t="e">
        <f>SUMIF('[1]ПО КОРИСНИЦИМА'!$G$3:$G$11609,"Свега за пројекат 0901-П20:",'[1]ПО КОРИСНИЦИМА'!$I$3:$I$11609)</f>
        <v>#VALUE!</v>
      </c>
      <c r="G369" s="1040" t="e">
        <f t="shared" si="10"/>
        <v>#VALUE!</v>
      </c>
      <c r="H369" s="1017"/>
    </row>
    <row r="370" spans="1:8" ht="12.75" hidden="1">
      <c r="A370" s="1038"/>
      <c r="B370" s="1028" t="s">
        <v>614</v>
      </c>
      <c r="C370" s="1015">
        <f>_xlfn.IFERROR(VLOOKUP(B370,'[1]ПО КОРИСНИЦИМА'!$C$3:$J$11609,5,FALSE),"")</f>
      </c>
      <c r="D370" s="1019" t="e">
        <f>SUMIF('[1]ПО КОРИСНИЦИМА'!$G$3:$G$11609,"Свега за пројекат 0901-П21:",'[1]ПО КОРИСНИЦИМА'!$H$3:$H$11609)</f>
        <v>#VALUE!</v>
      </c>
      <c r="E370" s="1013" t="e">
        <f t="shared" si="11"/>
        <v>#VALUE!</v>
      </c>
      <c r="F370" s="1020" t="e">
        <f>SUMIF('[1]ПО КОРИСНИЦИМА'!$G$3:$G$11609,"Свега за пројекат 0901-П21:",'[1]ПО КОРИСНИЦИМА'!$I$3:$I$11609)</f>
        <v>#VALUE!</v>
      </c>
      <c r="G370" s="1040" t="e">
        <f t="shared" si="10"/>
        <v>#VALUE!</v>
      </c>
      <c r="H370" s="1017"/>
    </row>
    <row r="371" spans="1:8" ht="12.75" hidden="1">
      <c r="A371" s="1038"/>
      <c r="B371" s="1028" t="s">
        <v>615</v>
      </c>
      <c r="C371" s="1015">
        <f>_xlfn.IFERROR(VLOOKUP(B371,'[1]ПО КОРИСНИЦИМА'!$C$3:$J$11609,5,FALSE),"")</f>
      </c>
      <c r="D371" s="1019" t="e">
        <f>SUMIF('[1]ПО КОРИСНИЦИМА'!$G$3:$G$11609,"Свега за пројекат 0901-П22:",'[1]ПО КОРИСНИЦИМА'!$H$3:$H$11609)</f>
        <v>#VALUE!</v>
      </c>
      <c r="E371" s="1013" t="e">
        <f t="shared" si="11"/>
        <v>#VALUE!</v>
      </c>
      <c r="F371" s="1020" t="e">
        <f>SUMIF('[1]ПО КОРИСНИЦИМА'!$G$3:$G$11609,"Свега за пројекат 0901-П22:",'[1]ПО КОРИСНИЦИМА'!$I$3:$I$11609)</f>
        <v>#VALUE!</v>
      </c>
      <c r="G371" s="1040" t="e">
        <f t="shared" si="10"/>
        <v>#VALUE!</v>
      </c>
      <c r="H371" s="1017"/>
    </row>
    <row r="372" spans="1:8" ht="12.75" hidden="1">
      <c r="A372" s="1038"/>
      <c r="B372" s="1028" t="s">
        <v>616</v>
      </c>
      <c r="C372" s="1015">
        <f>_xlfn.IFERROR(VLOOKUP(B372,'[1]ПО КОРИСНИЦИМА'!$C$3:$J$11609,5,FALSE),"")</f>
      </c>
      <c r="D372" s="1019" t="e">
        <f>SUMIF('[1]ПО КОРИСНИЦИМА'!$G$3:$G$11609,"Свега за пројекат 0901-П23:",'[1]ПО КОРИСНИЦИМА'!$H$3:$H$11609)</f>
        <v>#VALUE!</v>
      </c>
      <c r="E372" s="1013" t="e">
        <f t="shared" si="11"/>
        <v>#VALUE!</v>
      </c>
      <c r="F372" s="1020" t="e">
        <f>SUMIF('[1]ПО КОРИСНИЦИМА'!$G$3:$G$11609,"Свега за пројекат 0901-П23:",'[1]ПО КОРИСНИЦИМА'!$I$3:$I$11609)</f>
        <v>#VALUE!</v>
      </c>
      <c r="G372" s="1040" t="e">
        <f t="shared" si="10"/>
        <v>#VALUE!</v>
      </c>
      <c r="H372" s="1017"/>
    </row>
    <row r="373" spans="1:8" ht="12.75" hidden="1">
      <c r="A373" s="1038"/>
      <c r="B373" s="1028" t="s">
        <v>617</v>
      </c>
      <c r="C373" s="1015">
        <f>_xlfn.IFERROR(VLOOKUP(B373,'[1]ПО КОРИСНИЦИМА'!$C$3:$J$11609,5,FALSE),"")</f>
      </c>
      <c r="D373" s="1019" t="e">
        <f>SUMIF('[1]ПО КОРИСНИЦИМА'!$G$3:$G$11609,"Свега за пројекат 0901-П24:",'[1]ПО КОРИСНИЦИМА'!$H$3:$H$11609)</f>
        <v>#VALUE!</v>
      </c>
      <c r="E373" s="1013" t="e">
        <f t="shared" si="11"/>
        <v>#VALUE!</v>
      </c>
      <c r="F373" s="1020" t="e">
        <f>SUMIF('[1]ПО КОРИСНИЦИМА'!$G$3:$G$11609,"Свега за пројекат 0901-П24:",'[1]ПО КОРИСНИЦИМА'!$I$3:$I$11609)</f>
        <v>#VALUE!</v>
      </c>
      <c r="G373" s="1040" t="e">
        <f t="shared" si="10"/>
        <v>#VALUE!</v>
      </c>
      <c r="H373" s="1017"/>
    </row>
    <row r="374" spans="1:8" ht="12.75" hidden="1">
      <c r="A374" s="1038"/>
      <c r="B374" s="1028" t="s">
        <v>618</v>
      </c>
      <c r="C374" s="1015">
        <f>_xlfn.IFERROR(VLOOKUP(B374,'[1]ПО КОРИСНИЦИМА'!$C$3:$J$11609,5,FALSE),"")</f>
      </c>
      <c r="D374" s="1019" t="e">
        <f>SUMIF('[1]ПО КОРИСНИЦИМА'!$G$3:$G$11609,"Свега за пројекат 0901-П25:",'[1]ПО КОРИСНИЦИМА'!$H$3:$H$11609)</f>
        <v>#VALUE!</v>
      </c>
      <c r="E374" s="1013" t="e">
        <f t="shared" si="11"/>
        <v>#VALUE!</v>
      </c>
      <c r="F374" s="1020" t="e">
        <f>SUMIF('[1]ПО КОРИСНИЦИМА'!$G$3:$G$11609,"Свега за пројекат 0901-П25:",'[1]ПО КОРИСНИЦИМА'!$I$3:$I$11609)</f>
        <v>#VALUE!</v>
      </c>
      <c r="G374" s="1040" t="e">
        <f t="shared" si="10"/>
        <v>#VALUE!</v>
      </c>
      <c r="H374" s="1017"/>
    </row>
    <row r="375" spans="1:8" ht="12.75" hidden="1">
      <c r="A375" s="1038"/>
      <c r="B375" s="1028" t="s">
        <v>619</v>
      </c>
      <c r="C375" s="1015">
        <f>_xlfn.IFERROR(VLOOKUP(B375,'[1]ПО КОРИСНИЦИМА'!$C$3:$J$11609,5,FALSE),"")</f>
      </c>
      <c r="D375" s="1019" t="e">
        <f>SUMIF('[1]ПО КОРИСНИЦИМА'!$G$3:$G$11609,"Свега за пројекат 0901-П26:",'[1]ПО КОРИСНИЦИМА'!$H$3:$H$11609)</f>
        <v>#VALUE!</v>
      </c>
      <c r="E375" s="1013" t="e">
        <f t="shared" si="11"/>
        <v>#VALUE!</v>
      </c>
      <c r="F375" s="1020" t="e">
        <f>SUMIF('[1]ПО КОРИСНИЦИМА'!$G$3:$G$11609,"Свега за пројекат 0901-П26:",'[1]ПО КОРИСНИЦИМА'!$I$3:$I$11609)</f>
        <v>#VALUE!</v>
      </c>
      <c r="G375" s="1040" t="e">
        <f t="shared" si="10"/>
        <v>#VALUE!</v>
      </c>
      <c r="H375" s="1017"/>
    </row>
    <row r="376" spans="1:8" ht="12.75" hidden="1">
      <c r="A376" s="1038"/>
      <c r="B376" s="1028" t="s">
        <v>620</v>
      </c>
      <c r="C376" s="1015">
        <f>_xlfn.IFERROR(VLOOKUP(B376,'[1]ПО КОРИСНИЦИМА'!$C$3:$J$11609,5,FALSE),"")</f>
      </c>
      <c r="D376" s="1019" t="e">
        <f>SUMIF('[1]ПО КОРИСНИЦИМА'!$G$3:$G$11609,"Свега за пројекат 0901-П27:",'[1]ПО КОРИСНИЦИМА'!$H$3:$H$11609)</f>
        <v>#VALUE!</v>
      </c>
      <c r="E376" s="1013" t="e">
        <f t="shared" si="11"/>
        <v>#VALUE!</v>
      </c>
      <c r="F376" s="1020" t="e">
        <f>SUMIF('[1]ПО КОРИСНИЦИМА'!$G$3:$G$11609,"Свега за пројекат 0901-П27:",'[1]ПО КОРИСНИЦИМА'!$I$3:$I$11609)</f>
        <v>#VALUE!</v>
      </c>
      <c r="G376" s="1040" t="e">
        <f t="shared" si="10"/>
        <v>#VALUE!</v>
      </c>
      <c r="H376" s="1017"/>
    </row>
    <row r="377" spans="1:8" ht="12.75" hidden="1">
      <c r="A377" s="1038"/>
      <c r="B377" s="1028" t="s">
        <v>621</v>
      </c>
      <c r="C377" s="1015">
        <f>_xlfn.IFERROR(VLOOKUP(B377,'[1]ПО КОРИСНИЦИМА'!$C$3:$J$11609,5,FALSE),"")</f>
      </c>
      <c r="D377" s="1019" t="e">
        <f>SUMIF('[1]ПО КОРИСНИЦИМА'!$G$3:$G$11609,"Свега за пројекат 0901-П28:",'[1]ПО КОРИСНИЦИМА'!$H$3:$H$11609)</f>
        <v>#VALUE!</v>
      </c>
      <c r="E377" s="1013" t="e">
        <f t="shared" si="11"/>
        <v>#VALUE!</v>
      </c>
      <c r="F377" s="1020" t="e">
        <f>SUMIF('[1]ПО КОРИСНИЦИМА'!$G$3:$G$11609,"Свега за пројекат 0901-П28:",'[1]ПО КОРИСНИЦИМА'!$I$3:$I$11609)</f>
        <v>#VALUE!</v>
      </c>
      <c r="G377" s="1040" t="e">
        <f t="shared" si="10"/>
        <v>#VALUE!</v>
      </c>
      <c r="H377" s="1017"/>
    </row>
    <row r="378" spans="1:8" ht="12.75" hidden="1">
      <c r="A378" s="1038"/>
      <c r="B378" s="1028" t="s">
        <v>622</v>
      </c>
      <c r="C378" s="1015">
        <f>_xlfn.IFERROR(VLOOKUP(B378,'[1]ПО КОРИСНИЦИМА'!$C$3:$J$11609,5,FALSE),"")</f>
      </c>
      <c r="D378" s="1019" t="e">
        <f>SUMIF('[1]ПО КОРИСНИЦИМА'!$G$3:$G$11609,"Свега за пројекат 0901-П29:",'[1]ПО КОРИСНИЦИМА'!$H$3:$H$11609)</f>
        <v>#VALUE!</v>
      </c>
      <c r="E378" s="1013" t="e">
        <f t="shared" si="11"/>
        <v>#VALUE!</v>
      </c>
      <c r="F378" s="1020" t="e">
        <f>SUMIF('[1]ПО КОРИСНИЦИМА'!$G$3:$G$11609,"Свега за пројекат 0901-П29:",'[1]ПО КОРИСНИЦИМА'!$I$3:$I$11609)</f>
        <v>#VALUE!</v>
      </c>
      <c r="G378" s="1040" t="e">
        <f t="shared" si="10"/>
        <v>#VALUE!</v>
      </c>
      <c r="H378" s="1017"/>
    </row>
    <row r="379" spans="1:8" ht="12.75" hidden="1">
      <c r="A379" s="1038"/>
      <c r="B379" s="1028" t="s">
        <v>623</v>
      </c>
      <c r="C379" s="1015">
        <f>_xlfn.IFERROR(VLOOKUP(B379,'[1]ПО КОРИСНИЦИМА'!$C$3:$J$11609,5,FALSE),"")</f>
      </c>
      <c r="D379" s="1019" t="e">
        <f>SUMIF('[1]ПО КОРИСНИЦИМА'!$G$3:$G$11609,"Свега за пројекат 0901-П30:",'[1]ПО КОРИСНИЦИМА'!$H$3:$H$11609)</f>
        <v>#VALUE!</v>
      </c>
      <c r="E379" s="1013" t="e">
        <f t="shared" si="11"/>
        <v>#VALUE!</v>
      </c>
      <c r="F379" s="1020" t="e">
        <f>SUMIF('[1]ПО КОРИСНИЦИМА'!$G$3:$G$11609,"Свега за пројекат 0901-П30:",'[1]ПО КОРИСНИЦИМА'!$I$3:$I$11609)</f>
        <v>#VALUE!</v>
      </c>
      <c r="G379" s="1040" t="e">
        <f t="shared" si="10"/>
        <v>#VALUE!</v>
      </c>
      <c r="H379" s="1017"/>
    </row>
    <row r="380" spans="1:8" s="320" customFormat="1" ht="12.75">
      <c r="A380" s="1009" t="s">
        <v>299</v>
      </c>
      <c r="B380" s="1010"/>
      <c r="C380" s="1011" t="s">
        <v>1229</v>
      </c>
      <c r="D380" s="1012">
        <f>SUM(D381:D390)</f>
        <v>15120000</v>
      </c>
      <c r="E380" s="1013">
        <f t="shared" si="11"/>
        <v>0.03335638137214735</v>
      </c>
      <c r="F380" s="1012">
        <f>SUM(F381:F390)</f>
        <v>0</v>
      </c>
      <c r="G380" s="1012">
        <f t="shared" si="10"/>
        <v>15120000</v>
      </c>
      <c r="H380" s="1027"/>
    </row>
    <row r="381" spans="1:8" ht="24">
      <c r="A381" s="1038"/>
      <c r="B381" s="1028" t="s">
        <v>300</v>
      </c>
      <c r="C381" s="1041" t="s">
        <v>325</v>
      </c>
      <c r="D381" s="1016">
        <f>'Rashodi-2021'!M244</f>
        <v>14920000</v>
      </c>
      <c r="E381" s="1486">
        <f t="shared" si="11"/>
        <v>0.0329151593963253</v>
      </c>
      <c r="F381" s="1016">
        <f>'Rashodi-2021'!T244</f>
        <v>0</v>
      </c>
      <c r="G381" s="1016">
        <f t="shared" si="10"/>
        <v>14920000</v>
      </c>
      <c r="H381" s="1017" t="s">
        <v>1290</v>
      </c>
    </row>
    <row r="382" spans="1:8" ht="12.75">
      <c r="A382" s="1038"/>
      <c r="B382" s="1053" t="s">
        <v>1488</v>
      </c>
      <c r="C382" s="1041" t="s">
        <v>1489</v>
      </c>
      <c r="D382" s="1016"/>
      <c r="E382" s="1486">
        <f t="shared" si="11"/>
        <v>0</v>
      </c>
      <c r="F382" s="1016">
        <v>0</v>
      </c>
      <c r="G382" s="1016">
        <f>D382+F382</f>
        <v>0</v>
      </c>
      <c r="H382" s="1017" t="s">
        <v>1166</v>
      </c>
    </row>
    <row r="383" spans="1:8" ht="12.75">
      <c r="A383" s="1030"/>
      <c r="B383" s="1030" t="s">
        <v>1230</v>
      </c>
      <c r="C383" s="1015" t="s">
        <v>1231</v>
      </c>
      <c r="D383" s="1019">
        <f>'Rashodi-2021'!M255</f>
        <v>200000</v>
      </c>
      <c r="E383" s="1486">
        <f t="shared" si="11"/>
        <v>0.00044122197582205494</v>
      </c>
      <c r="F383" s="1020">
        <f>'Rashodi-2021'!T255</f>
        <v>0</v>
      </c>
      <c r="G383" s="1016">
        <f t="shared" si="10"/>
        <v>200000</v>
      </c>
      <c r="H383" s="1017" t="s">
        <v>1166</v>
      </c>
    </row>
    <row r="384" spans="1:8" ht="12.75" hidden="1">
      <c r="A384" s="1030"/>
      <c r="B384" s="1030" t="s">
        <v>624</v>
      </c>
      <c r="C384" s="1015">
        <f>_xlfn.IFERROR(VLOOKUP(B384,'[1]ПО КОРИСНИЦИМА'!$C$3:$J$11609,5,FALSE),"")</f>
      </c>
      <c r="D384" s="1019"/>
      <c r="E384" s="1013">
        <f t="shared" si="11"/>
        <v>0</v>
      </c>
      <c r="F384" s="1020"/>
      <c r="G384" s="1016">
        <f t="shared" si="10"/>
        <v>0</v>
      </c>
      <c r="H384" s="1017"/>
    </row>
    <row r="385" spans="1:8" ht="12.75" hidden="1">
      <c r="A385" s="1030"/>
      <c r="B385" s="1030" t="s">
        <v>625</v>
      </c>
      <c r="C385" s="1015">
        <f>_xlfn.IFERROR(VLOOKUP(B385,'[1]ПО КОРИСНИЦИМА'!$C$3:$J$11609,5,FALSE),"")</f>
      </c>
      <c r="D385" s="1019"/>
      <c r="E385" s="1013">
        <f t="shared" si="11"/>
        <v>0</v>
      </c>
      <c r="F385" s="1020"/>
      <c r="G385" s="1016">
        <f t="shared" si="10"/>
        <v>0</v>
      </c>
      <c r="H385" s="1017"/>
    </row>
    <row r="386" spans="1:8" ht="12.75" hidden="1">
      <c r="A386" s="1030"/>
      <c r="B386" s="1030" t="s">
        <v>626</v>
      </c>
      <c r="C386" s="1015">
        <f>_xlfn.IFERROR(VLOOKUP(B386,'[1]ПО КОРИСНИЦИМА'!$C$3:$J$11609,5,FALSE),"")</f>
      </c>
      <c r="D386" s="1019"/>
      <c r="E386" s="1013">
        <f t="shared" si="11"/>
        <v>0</v>
      </c>
      <c r="F386" s="1020"/>
      <c r="G386" s="1016">
        <f t="shared" si="10"/>
        <v>0</v>
      </c>
      <c r="H386" s="1017"/>
    </row>
    <row r="387" spans="1:8" ht="12.75" hidden="1">
      <c r="A387" s="1030"/>
      <c r="B387" s="1030" t="s">
        <v>627</v>
      </c>
      <c r="C387" s="1015">
        <f>_xlfn.IFERROR(VLOOKUP(B387,'[1]ПО КОРИСНИЦИМА'!$C$3:$J$11609,5,FALSE),"")</f>
      </c>
      <c r="D387" s="1019"/>
      <c r="E387" s="1013">
        <f t="shared" si="11"/>
        <v>0</v>
      </c>
      <c r="F387" s="1020"/>
      <c r="G387" s="1016">
        <f t="shared" si="10"/>
        <v>0</v>
      </c>
      <c r="H387" s="1017"/>
    </row>
    <row r="388" spans="1:8" ht="12.75" hidden="1">
      <c r="A388" s="1030"/>
      <c r="B388" s="1030" t="s">
        <v>628</v>
      </c>
      <c r="C388" s="1015">
        <f>_xlfn.IFERROR(VLOOKUP(B388,'[1]ПО КОРИСНИЦИМА'!$C$3:$J$11609,5,FALSE),"")</f>
      </c>
      <c r="D388" s="1019"/>
      <c r="E388" s="1013">
        <f t="shared" si="11"/>
        <v>0</v>
      </c>
      <c r="F388" s="1020"/>
      <c r="G388" s="1016">
        <f t="shared" si="10"/>
        <v>0</v>
      </c>
      <c r="H388" s="1017"/>
    </row>
    <row r="389" spans="1:8" ht="12.75" hidden="1">
      <c r="A389" s="1030"/>
      <c r="B389" s="1030" t="s">
        <v>629</v>
      </c>
      <c r="C389" s="1015">
        <f>_xlfn.IFERROR(VLOOKUP(B389,'[1]ПО КОРИСНИЦИМА'!$C$3:$J$11609,5,FALSE),"")</f>
      </c>
      <c r="D389" s="1019"/>
      <c r="E389" s="1013">
        <f t="shared" si="11"/>
        <v>0</v>
      </c>
      <c r="F389" s="1020"/>
      <c r="G389" s="1016">
        <f t="shared" si="10"/>
        <v>0</v>
      </c>
      <c r="H389" s="1017"/>
    </row>
    <row r="390" spans="1:8" ht="12.75" hidden="1">
      <c r="A390" s="1030"/>
      <c r="B390" s="1030" t="s">
        <v>630</v>
      </c>
      <c r="C390" s="1015">
        <f>_xlfn.IFERROR(VLOOKUP(B390,'[1]ПО КОРИСНИЦИМА'!$C$3:$J$11609,5,FALSE),"")</f>
      </c>
      <c r="D390" s="1019"/>
      <c r="E390" s="1013">
        <f aca="true" t="shared" si="12" ref="E390:E453">D390/453286579</f>
        <v>0</v>
      </c>
      <c r="F390" s="1020"/>
      <c r="G390" s="1016">
        <f aca="true" t="shared" si="13" ref="G390:G453">D390+F390</f>
        <v>0</v>
      </c>
      <c r="H390" s="1017"/>
    </row>
    <row r="391" spans="1:8" ht="12.75" hidden="1">
      <c r="A391" s="1030"/>
      <c r="B391" s="1030" t="s">
        <v>631</v>
      </c>
      <c r="C391" s="1015">
        <f>_xlfn.IFERROR(VLOOKUP(B391,'[1]ПО КОРИСНИЦИМА'!$C$3:$J$11609,5,FALSE),"")</f>
      </c>
      <c r="D391" s="1019"/>
      <c r="E391" s="1013">
        <f t="shared" si="12"/>
        <v>0</v>
      </c>
      <c r="F391" s="1020"/>
      <c r="G391" s="1016">
        <f t="shared" si="13"/>
        <v>0</v>
      </c>
      <c r="H391" s="1017"/>
    </row>
    <row r="392" spans="1:8" ht="12.75" hidden="1">
      <c r="A392" s="1030"/>
      <c r="B392" s="1030" t="s">
        <v>632</v>
      </c>
      <c r="C392" s="1015">
        <f>_xlfn.IFERROR(VLOOKUP(B392,'[1]ПО КОРИСНИЦИМА'!$C$3:$J$11609,5,FALSE),"")</f>
      </c>
      <c r="D392" s="1019"/>
      <c r="E392" s="1013">
        <f t="shared" si="12"/>
        <v>0</v>
      </c>
      <c r="F392" s="1020"/>
      <c r="G392" s="1016">
        <f t="shared" si="13"/>
        <v>0</v>
      </c>
      <c r="H392" s="1017"/>
    </row>
    <row r="393" spans="1:8" ht="12.75" hidden="1">
      <c r="A393" s="1030"/>
      <c r="B393" s="1030" t="s">
        <v>633</v>
      </c>
      <c r="C393" s="1015">
        <f>_xlfn.IFERROR(VLOOKUP(B393,'[1]ПО КОРИСНИЦИМА'!$C$3:$J$11609,5,FALSE),"")</f>
      </c>
      <c r="D393" s="1019"/>
      <c r="E393" s="1013">
        <f t="shared" si="12"/>
        <v>0</v>
      </c>
      <c r="F393" s="1020"/>
      <c r="G393" s="1016">
        <f t="shared" si="13"/>
        <v>0</v>
      </c>
      <c r="H393" s="1017"/>
    </row>
    <row r="394" spans="1:8" ht="12.75" hidden="1">
      <c r="A394" s="1030"/>
      <c r="B394" s="1030" t="s">
        <v>634</v>
      </c>
      <c r="C394" s="1015">
        <f>_xlfn.IFERROR(VLOOKUP(B394,'[1]ПО КОРИСНИЦИМА'!$C$3:$J$11609,5,FALSE),"")</f>
      </c>
      <c r="D394" s="1019"/>
      <c r="E394" s="1013">
        <f t="shared" si="12"/>
        <v>0</v>
      </c>
      <c r="F394" s="1020"/>
      <c r="G394" s="1016">
        <f t="shared" si="13"/>
        <v>0</v>
      </c>
      <c r="H394" s="1017"/>
    </row>
    <row r="395" spans="1:8" ht="12.75" hidden="1">
      <c r="A395" s="1030"/>
      <c r="B395" s="1030" t="s">
        <v>635</v>
      </c>
      <c r="C395" s="1015">
        <f>_xlfn.IFERROR(VLOOKUP(B395,'[1]ПО КОРИСНИЦИМА'!$C$3:$J$11609,5,FALSE),"")</f>
      </c>
      <c r="D395" s="1019"/>
      <c r="E395" s="1013">
        <f t="shared" si="12"/>
        <v>0</v>
      </c>
      <c r="F395" s="1020"/>
      <c r="G395" s="1016">
        <f t="shared" si="13"/>
        <v>0</v>
      </c>
      <c r="H395" s="1017"/>
    </row>
    <row r="396" spans="1:8" ht="12.75" hidden="1">
      <c r="A396" s="1030"/>
      <c r="B396" s="1030" t="s">
        <v>636</v>
      </c>
      <c r="C396" s="1015">
        <f>_xlfn.IFERROR(VLOOKUP(B396,'[1]ПО КОРИСНИЦИМА'!$C$3:$J$11609,5,FALSE),"")</f>
      </c>
      <c r="D396" s="1019"/>
      <c r="E396" s="1013">
        <f t="shared" si="12"/>
        <v>0</v>
      </c>
      <c r="F396" s="1020"/>
      <c r="G396" s="1016">
        <f t="shared" si="13"/>
        <v>0</v>
      </c>
      <c r="H396" s="1017"/>
    </row>
    <row r="397" spans="1:8" ht="12.75" hidden="1">
      <c r="A397" s="1030"/>
      <c r="B397" s="1030" t="s">
        <v>637</v>
      </c>
      <c r="C397" s="1015">
        <f>_xlfn.IFERROR(VLOOKUP(B397,'[1]ПО КОРИСНИЦИМА'!$C$3:$J$11609,5,FALSE),"")</f>
      </c>
      <c r="D397" s="1019"/>
      <c r="E397" s="1013">
        <f t="shared" si="12"/>
        <v>0</v>
      </c>
      <c r="F397" s="1020"/>
      <c r="G397" s="1016">
        <f t="shared" si="13"/>
        <v>0</v>
      </c>
      <c r="H397" s="1017"/>
    </row>
    <row r="398" spans="1:8" ht="12.75" hidden="1">
      <c r="A398" s="1030"/>
      <c r="B398" s="1030" t="s">
        <v>638</v>
      </c>
      <c r="C398" s="1015">
        <f>_xlfn.IFERROR(VLOOKUP(B398,'[1]ПО КОРИСНИЦИМА'!$C$3:$J$11609,5,FALSE),"")</f>
      </c>
      <c r="D398" s="1019"/>
      <c r="E398" s="1013">
        <f t="shared" si="12"/>
        <v>0</v>
      </c>
      <c r="F398" s="1020"/>
      <c r="G398" s="1016">
        <f t="shared" si="13"/>
        <v>0</v>
      </c>
      <c r="H398" s="1017"/>
    </row>
    <row r="399" spans="1:8" ht="12.75" hidden="1">
      <c r="A399" s="1030"/>
      <c r="B399" s="1030" t="s">
        <v>639</v>
      </c>
      <c r="C399" s="1015">
        <f>_xlfn.IFERROR(VLOOKUP(B399,'[1]ПО КОРИСНИЦИМА'!$C$3:$J$11609,5,FALSE),"")</f>
      </c>
      <c r="D399" s="1019"/>
      <c r="E399" s="1013">
        <f t="shared" si="12"/>
        <v>0</v>
      </c>
      <c r="F399" s="1020"/>
      <c r="G399" s="1016">
        <f t="shared" si="13"/>
        <v>0</v>
      </c>
      <c r="H399" s="1017"/>
    </row>
    <row r="400" spans="1:8" ht="12.75" hidden="1">
      <c r="A400" s="1030"/>
      <c r="B400" s="1030" t="s">
        <v>640</v>
      </c>
      <c r="C400" s="1015">
        <f>_xlfn.IFERROR(VLOOKUP(B400,'[1]ПО КОРИСНИЦИМА'!$C$3:$J$11609,5,FALSE),"")</f>
      </c>
      <c r="D400" s="1019"/>
      <c r="E400" s="1013">
        <f t="shared" si="12"/>
        <v>0</v>
      </c>
      <c r="F400" s="1020"/>
      <c r="G400" s="1016">
        <f t="shared" si="13"/>
        <v>0</v>
      </c>
      <c r="H400" s="1017"/>
    </row>
    <row r="401" spans="1:8" ht="12.75" hidden="1">
      <c r="A401" s="1030"/>
      <c r="B401" s="1030" t="s">
        <v>641</v>
      </c>
      <c r="C401" s="1015">
        <f>_xlfn.IFERROR(VLOOKUP(B401,'[1]ПО КОРИСНИЦИМА'!$C$3:$J$11609,5,FALSE),"")</f>
      </c>
      <c r="D401" s="1019"/>
      <c r="E401" s="1013">
        <f t="shared" si="12"/>
        <v>0</v>
      </c>
      <c r="F401" s="1020"/>
      <c r="G401" s="1016">
        <f t="shared" si="13"/>
        <v>0</v>
      </c>
      <c r="H401" s="1017"/>
    </row>
    <row r="402" spans="1:8" ht="12.75" hidden="1">
      <c r="A402" s="1030"/>
      <c r="B402" s="1030" t="s">
        <v>642</v>
      </c>
      <c r="C402" s="1015">
        <f>_xlfn.IFERROR(VLOOKUP(B402,'[1]ПО КОРИСНИЦИМА'!$C$3:$J$11609,5,FALSE),"")</f>
      </c>
      <c r="D402" s="1019"/>
      <c r="E402" s="1013">
        <f t="shared" si="12"/>
        <v>0</v>
      </c>
      <c r="F402" s="1020"/>
      <c r="G402" s="1016">
        <f t="shared" si="13"/>
        <v>0</v>
      </c>
      <c r="H402" s="1017"/>
    </row>
    <row r="403" spans="1:8" ht="12.75" hidden="1">
      <c r="A403" s="1030"/>
      <c r="B403" s="1030" t="s">
        <v>643</v>
      </c>
      <c r="C403" s="1015">
        <f>_xlfn.IFERROR(VLOOKUP(B403,'[1]ПО КОРИСНИЦИМА'!$C$3:$J$11609,5,FALSE),"")</f>
      </c>
      <c r="D403" s="1019"/>
      <c r="E403" s="1013">
        <f t="shared" si="12"/>
        <v>0</v>
      </c>
      <c r="F403" s="1020"/>
      <c r="G403" s="1016">
        <f t="shared" si="13"/>
        <v>0</v>
      </c>
      <c r="H403" s="1017"/>
    </row>
    <row r="404" spans="1:8" ht="12.75" hidden="1">
      <c r="A404" s="1030"/>
      <c r="B404" s="1030" t="s">
        <v>644</v>
      </c>
      <c r="C404" s="1015">
        <f>_xlfn.IFERROR(VLOOKUP(B404,'[1]ПО КОРИСНИЦИМА'!$C$3:$J$11609,5,FALSE),"")</f>
      </c>
      <c r="D404" s="1019"/>
      <c r="E404" s="1013">
        <f t="shared" si="12"/>
        <v>0</v>
      </c>
      <c r="F404" s="1020"/>
      <c r="G404" s="1016">
        <f t="shared" si="13"/>
        <v>0</v>
      </c>
      <c r="H404" s="1017"/>
    </row>
    <row r="405" spans="1:8" ht="12.75" hidden="1">
      <c r="A405" s="1030"/>
      <c r="B405" s="1030" t="s">
        <v>645</v>
      </c>
      <c r="C405" s="1015">
        <f>_xlfn.IFERROR(VLOOKUP(B405,'[1]ПО КОРИСНИЦИМА'!$C$3:$J$11609,5,FALSE),"")</f>
      </c>
      <c r="D405" s="1019"/>
      <c r="E405" s="1013">
        <f t="shared" si="12"/>
        <v>0</v>
      </c>
      <c r="F405" s="1020"/>
      <c r="G405" s="1016">
        <f t="shared" si="13"/>
        <v>0</v>
      </c>
      <c r="H405" s="1017"/>
    </row>
    <row r="406" spans="1:8" ht="12.75" hidden="1">
      <c r="A406" s="1030"/>
      <c r="B406" s="1030" t="s">
        <v>646</v>
      </c>
      <c r="C406" s="1015">
        <f>_xlfn.IFERROR(VLOOKUP(B406,'[1]ПО КОРИСНИЦИМА'!$C$3:$J$11609,5,FALSE),"")</f>
      </c>
      <c r="D406" s="1019"/>
      <c r="E406" s="1013">
        <f t="shared" si="12"/>
        <v>0</v>
      </c>
      <c r="F406" s="1020"/>
      <c r="G406" s="1016">
        <f t="shared" si="13"/>
        <v>0</v>
      </c>
      <c r="H406" s="1017"/>
    </row>
    <row r="407" spans="1:8" ht="12.75" hidden="1">
      <c r="A407" s="1030"/>
      <c r="B407" s="1030" t="s">
        <v>647</v>
      </c>
      <c r="C407" s="1015">
        <f>_xlfn.IFERROR(VLOOKUP(B407,'[1]ПО КОРИСНИЦИМА'!$C$3:$J$11609,5,FALSE),"")</f>
      </c>
      <c r="D407" s="1019"/>
      <c r="E407" s="1013">
        <f t="shared" si="12"/>
        <v>0</v>
      </c>
      <c r="F407" s="1020"/>
      <c r="G407" s="1016">
        <f t="shared" si="13"/>
        <v>0</v>
      </c>
      <c r="H407" s="1017"/>
    </row>
    <row r="408" spans="1:8" ht="12.75" hidden="1">
      <c r="A408" s="1030"/>
      <c r="B408" s="1030" t="s">
        <v>648</v>
      </c>
      <c r="C408" s="1015">
        <f>_xlfn.IFERROR(VLOOKUP(B408,'[1]ПО КОРИСНИЦИМА'!$C$3:$J$11609,5,FALSE),"")</f>
      </c>
      <c r="D408" s="1019"/>
      <c r="E408" s="1013">
        <f t="shared" si="12"/>
        <v>0</v>
      </c>
      <c r="F408" s="1020"/>
      <c r="G408" s="1016">
        <f t="shared" si="13"/>
        <v>0</v>
      </c>
      <c r="H408" s="1017"/>
    </row>
    <row r="409" spans="1:8" ht="12.75" hidden="1">
      <c r="A409" s="1030"/>
      <c r="B409" s="1030" t="s">
        <v>649</v>
      </c>
      <c r="C409" s="1015">
        <f>_xlfn.IFERROR(VLOOKUP(B409,'[1]ПО КОРИСНИЦИМА'!$C$3:$J$11609,5,FALSE),"")</f>
      </c>
      <c r="D409" s="1019"/>
      <c r="E409" s="1013">
        <f t="shared" si="12"/>
        <v>0</v>
      </c>
      <c r="F409" s="1020"/>
      <c r="G409" s="1016">
        <f t="shared" si="13"/>
        <v>0</v>
      </c>
      <c r="H409" s="1017"/>
    </row>
    <row r="410" spans="1:8" ht="12.75" hidden="1">
      <c r="A410" s="1030"/>
      <c r="B410" s="1030" t="s">
        <v>650</v>
      </c>
      <c r="C410" s="1015">
        <f>_xlfn.IFERROR(VLOOKUP(B410,'[1]ПО КОРИСНИЦИМА'!$C$3:$J$11609,5,FALSE),"")</f>
      </c>
      <c r="D410" s="1019"/>
      <c r="E410" s="1013">
        <f t="shared" si="12"/>
        <v>0</v>
      </c>
      <c r="F410" s="1020"/>
      <c r="G410" s="1016">
        <f t="shared" si="13"/>
        <v>0</v>
      </c>
      <c r="H410" s="1017"/>
    </row>
    <row r="411" spans="1:8" ht="12.75" hidden="1">
      <c r="A411" s="1030"/>
      <c r="B411" s="1030" t="s">
        <v>651</v>
      </c>
      <c r="C411" s="1015">
        <f>_xlfn.IFERROR(VLOOKUP(B411,'[1]ПО КОРИСНИЦИМА'!$C$3:$J$11609,5,FALSE),"")</f>
      </c>
      <c r="D411" s="1019"/>
      <c r="E411" s="1013">
        <f t="shared" si="12"/>
        <v>0</v>
      </c>
      <c r="F411" s="1020"/>
      <c r="G411" s="1016">
        <f t="shared" si="13"/>
        <v>0</v>
      </c>
      <c r="H411" s="1017"/>
    </row>
    <row r="412" spans="1:8" ht="12.75" hidden="1">
      <c r="A412" s="1030"/>
      <c r="B412" s="1030" t="s">
        <v>652</v>
      </c>
      <c r="C412" s="1015">
        <f>_xlfn.IFERROR(VLOOKUP(B412,'[1]ПО КОРИСНИЦИМА'!$C$3:$J$11609,5,FALSE),"")</f>
      </c>
      <c r="D412" s="1019"/>
      <c r="E412" s="1013">
        <f t="shared" si="12"/>
        <v>0</v>
      </c>
      <c r="F412" s="1020"/>
      <c r="G412" s="1016">
        <f t="shared" si="13"/>
        <v>0</v>
      </c>
      <c r="H412" s="1017"/>
    </row>
    <row r="413" spans="1:8" s="320" customFormat="1" ht="12.75" hidden="1">
      <c r="A413" s="1009" t="s">
        <v>294</v>
      </c>
      <c r="B413" s="1010"/>
      <c r="C413" s="1011" t="s">
        <v>8</v>
      </c>
      <c r="D413" s="1012"/>
      <c r="E413" s="1013">
        <f t="shared" si="12"/>
        <v>0</v>
      </c>
      <c r="F413" s="1026"/>
      <c r="G413" s="1012">
        <f t="shared" si="13"/>
        <v>0</v>
      </c>
      <c r="H413" s="1027"/>
    </row>
    <row r="414" spans="1:8" ht="12.75" hidden="1">
      <c r="A414" s="1038"/>
      <c r="B414" s="1042"/>
      <c r="C414" s="1021"/>
      <c r="D414" s="1016"/>
      <c r="E414" s="1013">
        <f t="shared" si="12"/>
        <v>0</v>
      </c>
      <c r="F414" s="1016"/>
      <c r="G414" s="1016">
        <f t="shared" si="13"/>
        <v>0</v>
      </c>
      <c r="H414" s="1017"/>
    </row>
    <row r="415" spans="1:8" ht="12.75" hidden="1">
      <c r="A415" s="1038"/>
      <c r="B415" s="1042"/>
      <c r="C415" s="1039"/>
      <c r="D415" s="1016"/>
      <c r="E415" s="1013">
        <f t="shared" si="12"/>
        <v>0</v>
      </c>
      <c r="F415" s="1016"/>
      <c r="G415" s="1016">
        <f t="shared" si="13"/>
        <v>0</v>
      </c>
      <c r="H415" s="1017"/>
    </row>
    <row r="416" spans="1:8" ht="25.5" customHeight="1" hidden="1">
      <c r="A416" s="1038"/>
      <c r="B416" s="1042"/>
      <c r="C416" s="1022"/>
      <c r="D416" s="1043"/>
      <c r="E416" s="1013">
        <f t="shared" si="12"/>
        <v>0</v>
      </c>
      <c r="F416" s="1016"/>
      <c r="G416" s="1016">
        <f t="shared" si="13"/>
        <v>0</v>
      </c>
      <c r="H416" s="1017"/>
    </row>
    <row r="417" spans="1:8" s="320" customFormat="1" ht="12.75">
      <c r="A417" s="1009" t="s">
        <v>294</v>
      </c>
      <c r="B417" s="1010"/>
      <c r="C417" s="1011" t="s">
        <v>1272</v>
      </c>
      <c r="D417" s="1012">
        <f>SUM(D418:D421)</f>
        <v>22464711</v>
      </c>
      <c r="E417" s="1013">
        <f t="shared" si="12"/>
        <v>0.049559620868457256</v>
      </c>
      <c r="F417" s="1012">
        <f>SUM(F418:F421)</f>
        <v>835549</v>
      </c>
      <c r="G417" s="1012">
        <f t="shared" si="13"/>
        <v>23300260</v>
      </c>
      <c r="H417" s="1027"/>
    </row>
    <row r="418" spans="1:8" s="293" customFormat="1" ht="12.75">
      <c r="A418" s="1044"/>
      <c r="B418" s="1044" t="s">
        <v>295</v>
      </c>
      <c r="C418" s="1029" t="s">
        <v>1279</v>
      </c>
      <c r="D418" s="1040">
        <f>'Rashodi-2021'!M382</f>
        <v>12278711</v>
      </c>
      <c r="E418" s="1486">
        <f t="shared" si="12"/>
        <v>0.02708818563984</v>
      </c>
      <c r="F418" s="1040">
        <f>'Rashodi-2021'!T382</f>
        <v>768549</v>
      </c>
      <c r="G418" s="1040">
        <f t="shared" si="13"/>
        <v>13047260</v>
      </c>
      <c r="H418" s="1033" t="s">
        <v>1168</v>
      </c>
    </row>
    <row r="419" spans="1:8" ht="12.75">
      <c r="A419" s="1038"/>
      <c r="B419" s="1030" t="s">
        <v>309</v>
      </c>
      <c r="C419" s="1045" t="s">
        <v>1273</v>
      </c>
      <c r="D419" s="1016">
        <f>'Rashodi-2021'!M131+'Rashodi-2021'!M399</f>
        <v>5786000</v>
      </c>
      <c r="E419" s="1486">
        <f t="shared" si="12"/>
        <v>0.01276455176053205</v>
      </c>
      <c r="F419" s="1016">
        <f>'Rashodi-2021'!T131+'Rashodi-2021'!T399</f>
        <v>67000</v>
      </c>
      <c r="G419" s="1040">
        <f t="shared" si="13"/>
        <v>5853000</v>
      </c>
      <c r="H419" s="1017" t="s">
        <v>1167</v>
      </c>
    </row>
    <row r="420" spans="1:8" ht="24">
      <c r="A420" s="1038"/>
      <c r="B420" s="1030" t="s">
        <v>1222</v>
      </c>
      <c r="C420" s="1022" t="s">
        <v>1291</v>
      </c>
      <c r="D420" s="1023">
        <f>'Rashodi-2021'!M135</f>
        <v>4400000</v>
      </c>
      <c r="E420" s="1486">
        <f t="shared" si="12"/>
        <v>0.009706883468085209</v>
      </c>
      <c r="F420" s="1016">
        <f>'Rashodi-2021'!T135</f>
        <v>0</v>
      </c>
      <c r="G420" s="1040">
        <f t="shared" si="13"/>
        <v>4400000</v>
      </c>
      <c r="H420" s="1017" t="s">
        <v>1166</v>
      </c>
    </row>
    <row r="421" spans="1:8" ht="12.75">
      <c r="A421" s="1030"/>
      <c r="B421" s="1030" t="s">
        <v>656</v>
      </c>
      <c r="C421" s="1015" t="s">
        <v>1496</v>
      </c>
      <c r="D421" s="1019"/>
      <c r="E421" s="1486">
        <f t="shared" si="12"/>
        <v>0</v>
      </c>
      <c r="F421" s="1020"/>
      <c r="G421" s="1016">
        <f t="shared" si="13"/>
        <v>0</v>
      </c>
      <c r="H421" s="1017" t="s">
        <v>1168</v>
      </c>
    </row>
    <row r="422" spans="1:8" ht="12.75" hidden="1">
      <c r="A422" s="1030"/>
      <c r="B422" s="1030" t="s">
        <v>653</v>
      </c>
      <c r="C422" s="1015">
        <f>_xlfn.IFERROR(VLOOKUP(B422,'[1]ПО КОРИСНИЦИМА'!$C$3:$J$11609,5,FALSE),"")</f>
      </c>
      <c r="D422" s="1019"/>
      <c r="E422" s="1013">
        <f t="shared" si="12"/>
        <v>0</v>
      </c>
      <c r="F422" s="1020"/>
      <c r="G422" s="1016">
        <f t="shared" si="13"/>
        <v>0</v>
      </c>
      <c r="H422" s="1017"/>
    </row>
    <row r="423" spans="1:8" ht="12.75" hidden="1">
      <c r="A423" s="1030"/>
      <c r="B423" s="1030" t="s">
        <v>654</v>
      </c>
      <c r="C423" s="1015">
        <f>_xlfn.IFERROR(VLOOKUP(B423,'[1]ПО КОРИСНИЦИМА'!$C$3:$J$11609,5,FALSE),"")</f>
      </c>
      <c r="D423" s="1019"/>
      <c r="E423" s="1013">
        <f t="shared" si="12"/>
        <v>0</v>
      </c>
      <c r="F423" s="1020"/>
      <c r="G423" s="1016">
        <f t="shared" si="13"/>
        <v>0</v>
      </c>
      <c r="H423" s="1017"/>
    </row>
    <row r="424" spans="1:8" ht="12.75" hidden="1">
      <c r="A424" s="1030"/>
      <c r="B424" s="1030" t="s">
        <v>655</v>
      </c>
      <c r="C424" s="1015">
        <f>_xlfn.IFERROR(VLOOKUP(B424,'[1]ПО КОРИСНИЦИМА'!$C$3:$J$11609,5,FALSE),"")</f>
      </c>
      <c r="D424" s="1019"/>
      <c r="E424" s="1013">
        <f t="shared" si="12"/>
        <v>0</v>
      </c>
      <c r="F424" s="1020"/>
      <c r="G424" s="1016">
        <f t="shared" si="13"/>
        <v>0</v>
      </c>
      <c r="H424" s="1017"/>
    </row>
    <row r="425" spans="1:8" ht="12.75" hidden="1">
      <c r="A425" s="1030"/>
      <c r="B425" s="1030" t="s">
        <v>656</v>
      </c>
      <c r="C425" s="1015">
        <f>_xlfn.IFERROR(VLOOKUP(B425,'[1]ПО КОРИСНИЦИМА'!$C$3:$J$11609,5,FALSE),"")</f>
      </c>
      <c r="D425" s="1019"/>
      <c r="E425" s="1013">
        <f t="shared" si="12"/>
        <v>0</v>
      </c>
      <c r="F425" s="1020"/>
      <c r="G425" s="1016">
        <f t="shared" si="13"/>
        <v>0</v>
      </c>
      <c r="H425" s="1017"/>
    </row>
    <row r="426" spans="1:8" ht="12.75" hidden="1">
      <c r="A426" s="1030"/>
      <c r="B426" s="1030" t="s">
        <v>657</v>
      </c>
      <c r="C426" s="1015">
        <f>_xlfn.IFERROR(VLOOKUP(B426,'[1]ПО КОРИСНИЦИМА'!$C$3:$J$11609,5,FALSE),"")</f>
      </c>
      <c r="D426" s="1019"/>
      <c r="E426" s="1013">
        <f t="shared" si="12"/>
        <v>0</v>
      </c>
      <c r="F426" s="1020"/>
      <c r="G426" s="1016">
        <f t="shared" si="13"/>
        <v>0</v>
      </c>
      <c r="H426" s="1017"/>
    </row>
    <row r="427" spans="1:8" ht="12.75" hidden="1">
      <c r="A427" s="1030"/>
      <c r="B427" s="1030" t="s">
        <v>658</v>
      </c>
      <c r="C427" s="1015">
        <f>_xlfn.IFERROR(VLOOKUP(B427,'[1]ПО КОРИСНИЦИМА'!$C$3:$J$11609,5,FALSE),"")</f>
      </c>
      <c r="D427" s="1019"/>
      <c r="E427" s="1013">
        <f t="shared" si="12"/>
        <v>0</v>
      </c>
      <c r="F427" s="1020"/>
      <c r="G427" s="1016">
        <f t="shared" si="13"/>
        <v>0</v>
      </c>
      <c r="H427" s="1017"/>
    </row>
    <row r="428" spans="1:8" ht="12.75" hidden="1">
      <c r="A428" s="1030"/>
      <c r="B428" s="1030" t="s">
        <v>659</v>
      </c>
      <c r="C428" s="1015">
        <f>_xlfn.IFERROR(VLOOKUP(B428,'[1]ПО КОРИСНИЦИМА'!$C$3:$J$11609,5,FALSE),"")</f>
      </c>
      <c r="D428" s="1019"/>
      <c r="E428" s="1013">
        <f t="shared" si="12"/>
        <v>0</v>
      </c>
      <c r="F428" s="1020"/>
      <c r="G428" s="1016">
        <f t="shared" si="13"/>
        <v>0</v>
      </c>
      <c r="H428" s="1017"/>
    </row>
    <row r="429" spans="1:8" ht="12.75" hidden="1">
      <c r="A429" s="1030"/>
      <c r="B429" s="1030" t="s">
        <v>660</v>
      </c>
      <c r="C429" s="1015">
        <f>_xlfn.IFERROR(VLOOKUP(B429,'[1]ПО КОРИСНИЦИМА'!$C$3:$J$11609,5,FALSE),"")</f>
      </c>
      <c r="D429" s="1019"/>
      <c r="E429" s="1013">
        <f t="shared" si="12"/>
        <v>0</v>
      </c>
      <c r="F429" s="1020"/>
      <c r="G429" s="1016">
        <f t="shared" si="13"/>
        <v>0</v>
      </c>
      <c r="H429" s="1017"/>
    </row>
    <row r="430" spans="1:8" ht="12.75" hidden="1">
      <c r="A430" s="1030"/>
      <c r="B430" s="1030" t="s">
        <v>661</v>
      </c>
      <c r="C430" s="1015">
        <f>_xlfn.IFERROR(VLOOKUP(B430,'[1]ПО КОРИСНИЦИМА'!$C$3:$J$11609,5,FALSE),"")</f>
      </c>
      <c r="D430" s="1019"/>
      <c r="E430" s="1013">
        <f t="shared" si="12"/>
        <v>0</v>
      </c>
      <c r="F430" s="1020"/>
      <c r="G430" s="1016">
        <f t="shared" si="13"/>
        <v>0</v>
      </c>
      <c r="H430" s="1017"/>
    </row>
    <row r="431" spans="1:8" ht="12.75" hidden="1">
      <c r="A431" s="1030"/>
      <c r="B431" s="1030" t="s">
        <v>662</v>
      </c>
      <c r="C431" s="1015">
        <f>_xlfn.IFERROR(VLOOKUP(B431,'[1]ПО КОРИСНИЦИМА'!$C$3:$J$11609,5,FALSE),"")</f>
      </c>
      <c r="D431" s="1019"/>
      <c r="E431" s="1013">
        <f t="shared" si="12"/>
        <v>0</v>
      </c>
      <c r="F431" s="1020"/>
      <c r="G431" s="1016">
        <f t="shared" si="13"/>
        <v>0</v>
      </c>
      <c r="H431" s="1017"/>
    </row>
    <row r="432" spans="1:8" ht="12.75" hidden="1">
      <c r="A432" s="1030"/>
      <c r="B432" s="1030" t="s">
        <v>663</v>
      </c>
      <c r="C432" s="1015">
        <f>_xlfn.IFERROR(VLOOKUP(B432,'[1]ПО КОРИСНИЦИМА'!$C$3:$J$11609,5,FALSE),"")</f>
      </c>
      <c r="D432" s="1019"/>
      <c r="E432" s="1013">
        <f t="shared" si="12"/>
        <v>0</v>
      </c>
      <c r="F432" s="1020"/>
      <c r="G432" s="1016">
        <f t="shared" si="13"/>
        <v>0</v>
      </c>
      <c r="H432" s="1017"/>
    </row>
    <row r="433" spans="1:8" ht="12.75" hidden="1">
      <c r="A433" s="1030"/>
      <c r="B433" s="1030" t="s">
        <v>664</v>
      </c>
      <c r="C433" s="1015">
        <f>_xlfn.IFERROR(VLOOKUP(B433,'[1]ПО КОРИСНИЦИМА'!$C$3:$J$11609,5,FALSE),"")</f>
      </c>
      <c r="D433" s="1019"/>
      <c r="E433" s="1013">
        <f t="shared" si="12"/>
        <v>0</v>
      </c>
      <c r="F433" s="1020"/>
      <c r="G433" s="1016">
        <f t="shared" si="13"/>
        <v>0</v>
      </c>
      <c r="H433" s="1017"/>
    </row>
    <row r="434" spans="1:8" ht="12.75" hidden="1">
      <c r="A434" s="1030"/>
      <c r="B434" s="1030" t="s">
        <v>665</v>
      </c>
      <c r="C434" s="1015">
        <f>_xlfn.IFERROR(VLOOKUP(B434,'[1]ПО КОРИСНИЦИМА'!$C$3:$J$11609,5,FALSE),"")</f>
      </c>
      <c r="D434" s="1019"/>
      <c r="E434" s="1013">
        <f t="shared" si="12"/>
        <v>0</v>
      </c>
      <c r="F434" s="1020"/>
      <c r="G434" s="1016">
        <f t="shared" si="13"/>
        <v>0</v>
      </c>
      <c r="H434" s="1017"/>
    </row>
    <row r="435" spans="1:8" ht="12.75" hidden="1">
      <c r="A435" s="1030"/>
      <c r="B435" s="1030" t="s">
        <v>666</v>
      </c>
      <c r="C435" s="1015">
        <f>_xlfn.IFERROR(VLOOKUP(B435,'[1]ПО КОРИСНИЦИМА'!$C$3:$J$11609,5,FALSE),"")</f>
      </c>
      <c r="D435" s="1019"/>
      <c r="E435" s="1013">
        <f t="shared" si="12"/>
        <v>0</v>
      </c>
      <c r="F435" s="1020"/>
      <c r="G435" s="1016">
        <f t="shared" si="13"/>
        <v>0</v>
      </c>
      <c r="H435" s="1017"/>
    </row>
    <row r="436" spans="1:8" ht="12.75" hidden="1">
      <c r="A436" s="1030"/>
      <c r="B436" s="1030" t="s">
        <v>667</v>
      </c>
      <c r="C436" s="1015">
        <f>_xlfn.IFERROR(VLOOKUP(B436,'[1]ПО КОРИСНИЦИМА'!$C$3:$J$11609,5,FALSE),"")</f>
      </c>
      <c r="D436" s="1019"/>
      <c r="E436" s="1013">
        <f t="shared" si="12"/>
        <v>0</v>
      </c>
      <c r="F436" s="1020"/>
      <c r="G436" s="1016">
        <f t="shared" si="13"/>
        <v>0</v>
      </c>
      <c r="H436" s="1017"/>
    </row>
    <row r="437" spans="1:8" ht="12.75" hidden="1">
      <c r="A437" s="1030"/>
      <c r="B437" s="1030" t="s">
        <v>668</v>
      </c>
      <c r="C437" s="1015">
        <f>_xlfn.IFERROR(VLOOKUP(B437,'[1]ПО КОРИСНИЦИМА'!$C$3:$J$11609,5,FALSE),"")</f>
      </c>
      <c r="D437" s="1019"/>
      <c r="E437" s="1013">
        <f t="shared" si="12"/>
        <v>0</v>
      </c>
      <c r="F437" s="1020"/>
      <c r="G437" s="1016">
        <f t="shared" si="13"/>
        <v>0</v>
      </c>
      <c r="H437" s="1017"/>
    </row>
    <row r="438" spans="1:8" ht="12.75" hidden="1">
      <c r="A438" s="1030"/>
      <c r="B438" s="1030" t="s">
        <v>669</v>
      </c>
      <c r="C438" s="1015">
        <f>_xlfn.IFERROR(VLOOKUP(B438,'[1]ПО КОРИСНИЦИМА'!$C$3:$J$11609,5,FALSE),"")</f>
      </c>
      <c r="D438" s="1019"/>
      <c r="E438" s="1013">
        <f t="shared" si="12"/>
        <v>0</v>
      </c>
      <c r="F438" s="1020"/>
      <c r="G438" s="1016">
        <f t="shared" si="13"/>
        <v>0</v>
      </c>
      <c r="H438" s="1017"/>
    </row>
    <row r="439" spans="1:8" ht="12.75" hidden="1">
      <c r="A439" s="1030"/>
      <c r="B439" s="1030" t="s">
        <v>670</v>
      </c>
      <c r="C439" s="1015">
        <f>_xlfn.IFERROR(VLOOKUP(B439,'[1]ПО КОРИСНИЦИМА'!$C$3:$J$11609,5,FALSE),"")</f>
      </c>
      <c r="D439" s="1019"/>
      <c r="E439" s="1013">
        <f t="shared" si="12"/>
        <v>0</v>
      </c>
      <c r="F439" s="1020"/>
      <c r="G439" s="1016">
        <f t="shared" si="13"/>
        <v>0</v>
      </c>
      <c r="H439" s="1017"/>
    </row>
    <row r="440" spans="1:8" ht="12.75" hidden="1">
      <c r="A440" s="1030"/>
      <c r="B440" s="1030" t="s">
        <v>671</v>
      </c>
      <c r="C440" s="1015">
        <f>_xlfn.IFERROR(VLOOKUP(B440,'[1]ПО КОРИСНИЦИМА'!$C$3:$J$11609,5,FALSE),"")</f>
      </c>
      <c r="D440" s="1019"/>
      <c r="E440" s="1013">
        <f t="shared" si="12"/>
        <v>0</v>
      </c>
      <c r="F440" s="1020"/>
      <c r="G440" s="1016">
        <f t="shared" si="13"/>
        <v>0</v>
      </c>
      <c r="H440" s="1017"/>
    </row>
    <row r="441" spans="1:8" ht="12.75" hidden="1">
      <c r="A441" s="1030"/>
      <c r="B441" s="1030" t="s">
        <v>672</v>
      </c>
      <c r="C441" s="1015">
        <f>_xlfn.IFERROR(VLOOKUP(B441,'[1]ПО КОРИСНИЦИМА'!$C$3:$J$11609,5,FALSE),"")</f>
      </c>
      <c r="D441" s="1019"/>
      <c r="E441" s="1013">
        <f t="shared" si="12"/>
        <v>0</v>
      </c>
      <c r="F441" s="1020"/>
      <c r="G441" s="1016">
        <f t="shared" si="13"/>
        <v>0</v>
      </c>
      <c r="H441" s="1017"/>
    </row>
    <row r="442" spans="1:8" ht="12.75" hidden="1">
      <c r="A442" s="1030"/>
      <c r="B442" s="1030" t="s">
        <v>673</v>
      </c>
      <c r="C442" s="1015">
        <f>_xlfn.IFERROR(VLOOKUP(B442,'[1]ПО КОРИСНИЦИМА'!$C$3:$J$11609,5,FALSE),"")</f>
      </c>
      <c r="D442" s="1019"/>
      <c r="E442" s="1013">
        <f t="shared" si="12"/>
        <v>0</v>
      </c>
      <c r="F442" s="1020"/>
      <c r="G442" s="1016">
        <f t="shared" si="13"/>
        <v>0</v>
      </c>
      <c r="H442" s="1017"/>
    </row>
    <row r="443" spans="1:8" ht="12.75" hidden="1">
      <c r="A443" s="1030"/>
      <c r="B443" s="1030" t="s">
        <v>674</v>
      </c>
      <c r="C443" s="1015">
        <f>_xlfn.IFERROR(VLOOKUP(B443,'[1]ПО КОРИСНИЦИМА'!$C$3:$J$11609,5,FALSE),"")</f>
      </c>
      <c r="D443" s="1019"/>
      <c r="E443" s="1013">
        <f t="shared" si="12"/>
        <v>0</v>
      </c>
      <c r="F443" s="1020"/>
      <c r="G443" s="1016">
        <f t="shared" si="13"/>
        <v>0</v>
      </c>
      <c r="H443" s="1017"/>
    </row>
    <row r="444" spans="1:8" ht="12.75" hidden="1">
      <c r="A444" s="1030"/>
      <c r="B444" s="1030" t="s">
        <v>675</v>
      </c>
      <c r="C444" s="1015">
        <f>_xlfn.IFERROR(VLOOKUP(B444,'[1]ПО КОРИСНИЦИМА'!$C$3:$J$11609,5,FALSE),"")</f>
      </c>
      <c r="D444" s="1019" t="e">
        <f>SUMIF('[1]ПО КОРИСНИЦИМА'!$G$3:$G$11609,"Свега за пројекат 1201-П25:",'[1]ПО КОРИСНИЦИМА'!$H$3:$H$11609)</f>
        <v>#VALUE!</v>
      </c>
      <c r="E444" s="1013" t="e">
        <f t="shared" si="12"/>
        <v>#VALUE!</v>
      </c>
      <c r="F444" s="1020" t="e">
        <f>SUMIF('[1]ПО КОРИСНИЦИМА'!$G$3:$G$11609,"Свега за пројекат 1201-П25:",'[1]ПО КОРИСНИЦИМА'!$I$3:$I$11609)</f>
        <v>#VALUE!</v>
      </c>
      <c r="G444" s="1016" t="e">
        <f t="shared" si="13"/>
        <v>#VALUE!</v>
      </c>
      <c r="H444" s="1017"/>
    </row>
    <row r="445" spans="1:8" ht="12.75" hidden="1">
      <c r="A445" s="1030"/>
      <c r="B445" s="1030" t="s">
        <v>676</v>
      </c>
      <c r="C445" s="1015">
        <f>_xlfn.IFERROR(VLOOKUP(B445,'[1]ПО КОРИСНИЦИМА'!$C$3:$J$11609,5,FALSE),"")</f>
      </c>
      <c r="D445" s="1019" t="e">
        <f>SUMIF('[1]ПО КОРИСНИЦИМА'!$G$3:$G$11609,"Свега за пројекат 1201-П26:",'[1]ПО КОРИСНИЦИМА'!$H$3:$H$11609)</f>
        <v>#VALUE!</v>
      </c>
      <c r="E445" s="1013" t="e">
        <f t="shared" si="12"/>
        <v>#VALUE!</v>
      </c>
      <c r="F445" s="1020" t="e">
        <f>SUMIF('[1]ПО КОРИСНИЦИМА'!$G$3:$G$11609,"Свега за пројекат 1201-П26:",'[1]ПО КОРИСНИЦИМА'!$I$3:$I$11609)</f>
        <v>#VALUE!</v>
      </c>
      <c r="G445" s="1016" t="e">
        <f t="shared" si="13"/>
        <v>#VALUE!</v>
      </c>
      <c r="H445" s="1017"/>
    </row>
    <row r="446" spans="1:8" ht="12.75" hidden="1">
      <c r="A446" s="1030"/>
      <c r="B446" s="1030" t="s">
        <v>677</v>
      </c>
      <c r="C446" s="1015">
        <f>_xlfn.IFERROR(VLOOKUP(B446,'[1]ПО КОРИСНИЦИМА'!$C$3:$J$11609,5,FALSE),"")</f>
      </c>
      <c r="D446" s="1019" t="e">
        <f>SUMIF('[1]ПО КОРИСНИЦИМА'!$G$3:$G$11609,"Свега за пројекат 1201-П27:",'[1]ПО КОРИСНИЦИМА'!$H$3:$H$11609)</f>
        <v>#VALUE!</v>
      </c>
      <c r="E446" s="1013" t="e">
        <f t="shared" si="12"/>
        <v>#VALUE!</v>
      </c>
      <c r="F446" s="1020" t="e">
        <f>SUMIF('[1]ПО КОРИСНИЦИМА'!$G$3:$G$11609,"Свега за пројекат 1201-П27:",'[1]ПО КОРИСНИЦИМА'!$I$3:$I$11609)</f>
        <v>#VALUE!</v>
      </c>
      <c r="G446" s="1016" t="e">
        <f t="shared" si="13"/>
        <v>#VALUE!</v>
      </c>
      <c r="H446" s="1017"/>
    </row>
    <row r="447" spans="1:8" ht="12.75" hidden="1">
      <c r="A447" s="1030"/>
      <c r="B447" s="1030" t="s">
        <v>678</v>
      </c>
      <c r="C447" s="1015">
        <f>_xlfn.IFERROR(VLOOKUP(B447,'[1]ПО КОРИСНИЦИМА'!$C$3:$J$11609,5,FALSE),"")</f>
      </c>
      <c r="D447" s="1019" t="e">
        <f>SUMIF('[1]ПО КОРИСНИЦИМА'!$G$3:$G$11609,"Свега за пројекат 1201-П28:",'[1]ПО КОРИСНИЦИМА'!$H$3:$H$11609)</f>
        <v>#VALUE!</v>
      </c>
      <c r="E447" s="1013" t="e">
        <f t="shared" si="12"/>
        <v>#VALUE!</v>
      </c>
      <c r="F447" s="1020" t="e">
        <f>SUMIF('[1]ПО КОРИСНИЦИМА'!$G$3:$G$11609,"Свега за пројекат 1201-П28:",'[1]ПО КОРИСНИЦИМА'!$I$3:$I$11609)</f>
        <v>#VALUE!</v>
      </c>
      <c r="G447" s="1016" t="e">
        <f t="shared" si="13"/>
        <v>#VALUE!</v>
      </c>
      <c r="H447" s="1017"/>
    </row>
    <row r="448" spans="1:8" ht="12.75" hidden="1">
      <c r="A448" s="1030"/>
      <c r="B448" s="1030" t="s">
        <v>679</v>
      </c>
      <c r="C448" s="1015">
        <f>_xlfn.IFERROR(VLOOKUP(B448,'[1]ПО КОРИСНИЦИМА'!$C$3:$J$11609,5,FALSE),"")</f>
      </c>
      <c r="D448" s="1019" t="e">
        <f>SUMIF('[1]ПО КОРИСНИЦИМА'!$G$3:$G$11609,"Свега за пројекат 1201-П29:",'[1]ПО КОРИСНИЦИМА'!$H$3:$H$11609)</f>
        <v>#VALUE!</v>
      </c>
      <c r="E448" s="1013" t="e">
        <f t="shared" si="12"/>
        <v>#VALUE!</v>
      </c>
      <c r="F448" s="1020" t="e">
        <f>SUMIF('[1]ПО КОРИСНИЦИМА'!$G$3:$G$11609,"Свега за пројекат 1201-П29:",'[1]ПО КОРИСНИЦИМА'!$I$3:$I$11609)</f>
        <v>#VALUE!</v>
      </c>
      <c r="G448" s="1016" t="e">
        <f t="shared" si="13"/>
        <v>#VALUE!</v>
      </c>
      <c r="H448" s="1017"/>
    </row>
    <row r="449" spans="1:8" ht="12.75" hidden="1">
      <c r="A449" s="1030"/>
      <c r="B449" s="1030" t="s">
        <v>680</v>
      </c>
      <c r="C449" s="1015">
        <f>_xlfn.IFERROR(VLOOKUP(B449,'[1]ПО КОРИСНИЦИМА'!$C$3:$J$11609,5,FALSE),"")</f>
      </c>
      <c r="D449" s="1019" t="e">
        <f>SUMIF('[1]ПО КОРИСНИЦИМА'!$G$3:$G$11609,"Свега за пројекат 1201-П30:",'[1]ПО КОРИСНИЦИМА'!$H$3:$H$11609)</f>
        <v>#VALUE!</v>
      </c>
      <c r="E449" s="1013" t="e">
        <f t="shared" si="12"/>
        <v>#VALUE!</v>
      </c>
      <c r="F449" s="1020" t="e">
        <f>SUMIF('[1]ПО КОРИСНИЦИМА'!$G$3:$G$11609,"Свега за пројекат 1201-П30:",'[1]ПО КОРИСНИЦИМА'!$I$3:$I$11609)</f>
        <v>#VALUE!</v>
      </c>
      <c r="G449" s="1016" t="e">
        <f t="shared" si="13"/>
        <v>#VALUE!</v>
      </c>
      <c r="H449" s="1017"/>
    </row>
    <row r="450" spans="1:8" ht="12.75" hidden="1">
      <c r="A450" s="1030"/>
      <c r="B450" s="1030" t="s">
        <v>681</v>
      </c>
      <c r="C450" s="1015">
        <f>_xlfn.IFERROR(VLOOKUP(B450,'[1]ПО КОРИСНИЦИМА'!$C$3:$J$11609,5,FALSE),"")</f>
      </c>
      <c r="D450" s="1019" t="e">
        <f>SUMIF('[1]ПО КОРИСНИЦИМА'!$G$3:$G$11609,"Свега за пројекат 1201-П31:",'[1]ПО КОРИСНИЦИМА'!$H$3:$H$11609)</f>
        <v>#VALUE!</v>
      </c>
      <c r="E450" s="1013" t="e">
        <f t="shared" si="12"/>
        <v>#VALUE!</v>
      </c>
      <c r="F450" s="1020" t="e">
        <f>SUMIF('[1]ПО КОРИСНИЦИМА'!$G$3:$G$11609,"Свега за пројекат 1201-П31:",'[1]ПО КОРИСНИЦИМА'!$I$3:$I$11609)</f>
        <v>#VALUE!</v>
      </c>
      <c r="G450" s="1016" t="e">
        <f t="shared" si="13"/>
        <v>#VALUE!</v>
      </c>
      <c r="H450" s="1017"/>
    </row>
    <row r="451" spans="1:8" ht="12.75" hidden="1">
      <c r="A451" s="1030"/>
      <c r="B451" s="1030" t="s">
        <v>682</v>
      </c>
      <c r="C451" s="1015">
        <f>_xlfn.IFERROR(VLOOKUP(B451,'[1]ПО КОРИСНИЦИМА'!$C$3:$J$11609,5,FALSE),"")</f>
      </c>
      <c r="D451" s="1019" t="e">
        <f>SUMIF('[1]ПО КОРИСНИЦИМА'!$G$3:$G$11609,"Свега за пројекат 1201-П32:",'[1]ПО КОРИСНИЦИМА'!$H$3:$H$11609)</f>
        <v>#VALUE!</v>
      </c>
      <c r="E451" s="1013" t="e">
        <f t="shared" si="12"/>
        <v>#VALUE!</v>
      </c>
      <c r="F451" s="1020" t="e">
        <f>SUMIF('[1]ПО КОРИСНИЦИМА'!$G$3:$G$11609,"Свега за пројекат 1201-П32:",'[1]ПО КОРИСНИЦИМА'!$I$3:$I$11609)</f>
        <v>#VALUE!</v>
      </c>
      <c r="G451" s="1016" t="e">
        <f t="shared" si="13"/>
        <v>#VALUE!</v>
      </c>
      <c r="H451" s="1017"/>
    </row>
    <row r="452" spans="1:8" ht="12.75" hidden="1">
      <c r="A452" s="1030"/>
      <c r="B452" s="1030" t="s">
        <v>683</v>
      </c>
      <c r="C452" s="1015">
        <f>_xlfn.IFERROR(VLOOKUP(B452,'[1]ПО КОРИСНИЦИМА'!$C$3:$J$11609,5,FALSE),"")</f>
      </c>
      <c r="D452" s="1019" t="e">
        <f>SUMIF('[1]ПО КОРИСНИЦИМА'!$G$3:$G$11609,"Свега за пројекат 1201-П33:",'[1]ПО КОРИСНИЦИМА'!$H$3:$H$11609)</f>
        <v>#VALUE!</v>
      </c>
      <c r="E452" s="1013" t="e">
        <f t="shared" si="12"/>
        <v>#VALUE!</v>
      </c>
      <c r="F452" s="1020" t="e">
        <f>SUMIF('[1]ПО КОРИСНИЦИМА'!$G$3:$G$11609,"Свега за пројекат 1201-П33:",'[1]ПО КОРИСНИЦИМА'!$I$3:$I$11609)</f>
        <v>#VALUE!</v>
      </c>
      <c r="G452" s="1016" t="e">
        <f t="shared" si="13"/>
        <v>#VALUE!</v>
      </c>
      <c r="H452" s="1017"/>
    </row>
    <row r="453" spans="1:8" ht="12.75" hidden="1">
      <c r="A453" s="1030"/>
      <c r="B453" s="1030" t="s">
        <v>684</v>
      </c>
      <c r="C453" s="1015">
        <f>_xlfn.IFERROR(VLOOKUP(B453,'[1]ПО КОРИСНИЦИМА'!$C$3:$J$11609,5,FALSE),"")</f>
      </c>
      <c r="D453" s="1019" t="e">
        <f>SUMIF('[1]ПО КОРИСНИЦИМА'!$G$3:$G$11609,"Свега за пројекат 1201-П34:",'[1]ПО КОРИСНИЦИМА'!$H$3:$H$11609)</f>
        <v>#VALUE!</v>
      </c>
      <c r="E453" s="1013" t="e">
        <f t="shared" si="12"/>
        <v>#VALUE!</v>
      </c>
      <c r="F453" s="1020" t="e">
        <f>SUMIF('[1]ПО КОРИСНИЦИМА'!$G$3:$G$11609,"Свега за пројекат 1201-П34:",'[1]ПО КОРИСНИЦИМА'!$I$3:$I$11609)</f>
        <v>#VALUE!</v>
      </c>
      <c r="G453" s="1016" t="e">
        <f t="shared" si="13"/>
        <v>#VALUE!</v>
      </c>
      <c r="H453" s="1017"/>
    </row>
    <row r="454" spans="1:8" ht="12.75" hidden="1">
      <c r="A454" s="1030"/>
      <c r="B454" s="1030" t="s">
        <v>685</v>
      </c>
      <c r="C454" s="1015">
        <f>_xlfn.IFERROR(VLOOKUP(B454,'[1]ПО КОРИСНИЦИМА'!$C$3:$J$11609,5,FALSE),"")</f>
      </c>
      <c r="D454" s="1019" t="e">
        <f>SUMIF('[1]ПО КОРИСНИЦИМА'!$G$3:$G$11609,"Свега за пројекат 1201-П35:",'[1]ПО КОРИСНИЦИМА'!$H$3:$H$11609)</f>
        <v>#VALUE!</v>
      </c>
      <c r="E454" s="1013" t="e">
        <f aca="true" t="shared" si="14" ref="E454:E517">D454/453286579</f>
        <v>#VALUE!</v>
      </c>
      <c r="F454" s="1020" t="e">
        <f>SUMIF('[1]ПО КОРИСНИЦИМА'!$G$3:$G$11609,"Свега за пројекат 1201-П35:",'[1]ПО КОРИСНИЦИМА'!$I$3:$I$11609)</f>
        <v>#VALUE!</v>
      </c>
      <c r="G454" s="1016" t="e">
        <f aca="true" t="shared" si="15" ref="G454:G517">D454+F454</f>
        <v>#VALUE!</v>
      </c>
      <c r="H454" s="1017"/>
    </row>
    <row r="455" spans="1:8" ht="12.75" hidden="1">
      <c r="A455" s="1030"/>
      <c r="B455" s="1030" t="s">
        <v>686</v>
      </c>
      <c r="C455" s="1015">
        <f>_xlfn.IFERROR(VLOOKUP(B455,'[1]ПО КОРИСНИЦИМА'!$C$3:$J$11609,5,FALSE),"")</f>
      </c>
      <c r="D455" s="1019" t="e">
        <f>SUMIF('[1]ПО КОРИСНИЦИМА'!$G$3:$G$11609,"Свега за пројекат 1201-П36:",'[1]ПО КОРИСНИЦИМА'!$H$3:$H$11609)</f>
        <v>#VALUE!</v>
      </c>
      <c r="E455" s="1013" t="e">
        <f t="shared" si="14"/>
        <v>#VALUE!</v>
      </c>
      <c r="F455" s="1020" t="e">
        <f>SUMIF('[1]ПО КОРИСНИЦИМА'!$G$3:$G$11609,"Свега за пројекат 1201-П36:",'[1]ПО КОРИСНИЦИМА'!$I$3:$I$11609)</f>
        <v>#VALUE!</v>
      </c>
      <c r="G455" s="1016" t="e">
        <f t="shared" si="15"/>
        <v>#VALUE!</v>
      </c>
      <c r="H455" s="1017"/>
    </row>
    <row r="456" spans="1:8" ht="12.75" hidden="1">
      <c r="A456" s="1030"/>
      <c r="B456" s="1030" t="s">
        <v>687</v>
      </c>
      <c r="C456" s="1015">
        <f>_xlfn.IFERROR(VLOOKUP(B456,'[1]ПО КОРИСНИЦИМА'!$C$3:$J$11609,5,FALSE),"")</f>
      </c>
      <c r="D456" s="1019" t="e">
        <f>SUMIF('[1]ПО КОРИСНИЦИМА'!$G$3:$G$11609,"Свега за пројекат 1201-П37:",'[1]ПО КОРИСНИЦИМА'!$H$3:$H$11609)</f>
        <v>#VALUE!</v>
      </c>
      <c r="E456" s="1013" t="e">
        <f t="shared" si="14"/>
        <v>#VALUE!</v>
      </c>
      <c r="F456" s="1020" t="e">
        <f>SUMIF('[1]ПО КОРИСНИЦИМА'!$G$3:$G$11609,"Свега за пројекат 1201-П37:",'[1]ПО КОРИСНИЦИМА'!$I$3:$I$11609)</f>
        <v>#VALUE!</v>
      </c>
      <c r="G456" s="1016" t="e">
        <f t="shared" si="15"/>
        <v>#VALUE!</v>
      </c>
      <c r="H456" s="1017"/>
    </row>
    <row r="457" spans="1:8" ht="12.75" hidden="1">
      <c r="A457" s="1030"/>
      <c r="B457" s="1030" t="s">
        <v>688</v>
      </c>
      <c r="C457" s="1015">
        <f>_xlfn.IFERROR(VLOOKUP(B457,'[1]ПО КОРИСНИЦИМА'!$C$3:$J$11609,5,FALSE),"")</f>
      </c>
      <c r="D457" s="1019" t="e">
        <f>SUMIF('[1]ПО КОРИСНИЦИМА'!$G$3:$G$11609,"Свега за пројекат 1201-П38:",'[1]ПО КОРИСНИЦИМА'!$H$3:$H$11609)</f>
        <v>#VALUE!</v>
      </c>
      <c r="E457" s="1013" t="e">
        <f t="shared" si="14"/>
        <v>#VALUE!</v>
      </c>
      <c r="F457" s="1020" t="e">
        <f>SUMIF('[1]ПО КОРИСНИЦИМА'!$G$3:$G$11609,"Свега за пројекат 1201-П38:",'[1]ПО КОРИСНИЦИМА'!$I$3:$I$11609)</f>
        <v>#VALUE!</v>
      </c>
      <c r="G457" s="1016" t="e">
        <f t="shared" si="15"/>
        <v>#VALUE!</v>
      </c>
      <c r="H457" s="1017"/>
    </row>
    <row r="458" spans="1:8" ht="12.75" hidden="1">
      <c r="A458" s="1030"/>
      <c r="B458" s="1030" t="s">
        <v>689</v>
      </c>
      <c r="C458" s="1015">
        <f>_xlfn.IFERROR(VLOOKUP(B458,'[1]ПО КОРИСНИЦИМА'!$C$3:$J$11609,5,FALSE),"")</f>
      </c>
      <c r="D458" s="1019" t="e">
        <f>SUMIF('[1]ПО КОРИСНИЦИМА'!$G$3:$G$11609,"Свега за пројекат 1201-П39:",'[1]ПО КОРИСНИЦИМА'!$H$3:$H$11609)</f>
        <v>#VALUE!</v>
      </c>
      <c r="E458" s="1013" t="e">
        <f t="shared" si="14"/>
        <v>#VALUE!</v>
      </c>
      <c r="F458" s="1020" t="e">
        <f>SUMIF('[1]ПО КОРИСНИЦИМА'!$G$3:$G$11609,"Свега за пројекат 1201-П39:",'[1]ПО КОРИСНИЦИМА'!$I$3:$I$11609)</f>
        <v>#VALUE!</v>
      </c>
      <c r="G458" s="1016" t="e">
        <f t="shared" si="15"/>
        <v>#VALUE!</v>
      </c>
      <c r="H458" s="1017"/>
    </row>
    <row r="459" spans="1:8" ht="12.75" hidden="1">
      <c r="A459" s="1030"/>
      <c r="B459" s="1030" t="s">
        <v>690</v>
      </c>
      <c r="C459" s="1015">
        <f>_xlfn.IFERROR(VLOOKUP(B459,'[1]ПО КОРИСНИЦИМА'!$C$3:$J$11609,5,FALSE),"")</f>
      </c>
      <c r="D459" s="1019" t="e">
        <f>SUMIF('[1]ПО КОРИСНИЦИМА'!$G$3:$G$11609,"Свега за пројекат 1201-П40:",'[1]ПО КОРИСНИЦИМА'!$H$3:$H$11609)</f>
        <v>#VALUE!</v>
      </c>
      <c r="E459" s="1013" t="e">
        <f t="shared" si="14"/>
        <v>#VALUE!</v>
      </c>
      <c r="F459" s="1020" t="e">
        <f>SUMIF('[1]ПО КОРИСНИЦИМА'!$G$3:$G$11609,"Свега за пројекат 1201-П40:",'[1]ПО КОРИСНИЦИМА'!$I$3:$I$11609)</f>
        <v>#VALUE!</v>
      </c>
      <c r="G459" s="1016" t="e">
        <f t="shared" si="15"/>
        <v>#VALUE!</v>
      </c>
      <c r="H459" s="1017"/>
    </row>
    <row r="460" spans="1:8" ht="12.75" hidden="1">
      <c r="A460" s="1030"/>
      <c r="B460" s="1030" t="s">
        <v>691</v>
      </c>
      <c r="C460" s="1015">
        <f>_xlfn.IFERROR(VLOOKUP(B460,'[1]ПО КОРИСНИЦИМА'!$C$3:$J$11609,5,FALSE),"")</f>
      </c>
      <c r="D460" s="1019" t="e">
        <f>SUMIF('[1]ПО КОРИСНИЦИМА'!$G$3:$G$11609,"Свега за пројекат 1201-П41:",'[1]ПО КОРИСНИЦИМА'!$H$3:$H$11609)</f>
        <v>#VALUE!</v>
      </c>
      <c r="E460" s="1013" t="e">
        <f t="shared" si="14"/>
        <v>#VALUE!</v>
      </c>
      <c r="F460" s="1020" t="e">
        <f>SUMIF('[1]ПО КОРИСНИЦИМА'!$G$3:$G$11609,"Свега за пројекат 1201-П41:",'[1]ПО КОРИСНИЦИМА'!$I$3:$I$11609)</f>
        <v>#VALUE!</v>
      </c>
      <c r="G460" s="1016" t="e">
        <f t="shared" si="15"/>
        <v>#VALUE!</v>
      </c>
      <c r="H460" s="1017"/>
    </row>
    <row r="461" spans="1:8" ht="12.75" hidden="1">
      <c r="A461" s="1030"/>
      <c r="B461" s="1030" t="s">
        <v>692</v>
      </c>
      <c r="C461" s="1015">
        <f>_xlfn.IFERROR(VLOOKUP(B461,'[1]ПО КОРИСНИЦИМА'!$C$3:$J$11609,5,FALSE),"")</f>
      </c>
      <c r="D461" s="1019" t="e">
        <f>SUMIF('[1]ПО КОРИСНИЦИМА'!$G$3:$G$11609,"Свега за пројекат 1201-П42:",'[1]ПО КОРИСНИЦИМА'!$H$3:$H$11609)</f>
        <v>#VALUE!</v>
      </c>
      <c r="E461" s="1013" t="e">
        <f t="shared" si="14"/>
        <v>#VALUE!</v>
      </c>
      <c r="F461" s="1020" t="e">
        <f>SUMIF('[1]ПО КОРИСНИЦИМА'!$G$3:$G$11609,"Свега за пројекат 1201-П42:",'[1]ПО КОРИСНИЦИМА'!$I$3:$I$11609)</f>
        <v>#VALUE!</v>
      </c>
      <c r="G461" s="1016" t="e">
        <f t="shared" si="15"/>
        <v>#VALUE!</v>
      </c>
      <c r="H461" s="1017"/>
    </row>
    <row r="462" spans="1:8" ht="12.75" hidden="1">
      <c r="A462" s="1030"/>
      <c r="B462" s="1030" t="s">
        <v>693</v>
      </c>
      <c r="C462" s="1015">
        <f>_xlfn.IFERROR(VLOOKUP(B462,'[1]ПО КОРИСНИЦИМА'!$C$3:$J$11609,5,FALSE),"")</f>
      </c>
      <c r="D462" s="1019" t="e">
        <f>SUMIF('[1]ПО КОРИСНИЦИМА'!$G$3:$G$11609,"Свега за пројекат 1201-П43:",'[1]ПО КОРИСНИЦИМА'!$H$3:$H$11609)</f>
        <v>#VALUE!</v>
      </c>
      <c r="E462" s="1013" t="e">
        <f t="shared" si="14"/>
        <v>#VALUE!</v>
      </c>
      <c r="F462" s="1020" t="e">
        <f>SUMIF('[1]ПО КОРИСНИЦИМА'!$G$3:$G$11609,"Свега за пројекат 1201-П43:",'[1]ПО КОРИСНИЦИМА'!$I$3:$I$11609)</f>
        <v>#VALUE!</v>
      </c>
      <c r="G462" s="1016" t="e">
        <f t="shared" si="15"/>
        <v>#VALUE!</v>
      </c>
      <c r="H462" s="1017"/>
    </row>
    <row r="463" spans="1:8" ht="12.75" hidden="1">
      <c r="A463" s="1030"/>
      <c r="B463" s="1030" t="s">
        <v>694</v>
      </c>
      <c r="C463" s="1015">
        <f>_xlfn.IFERROR(VLOOKUP(B463,'[1]ПО КОРИСНИЦИМА'!$C$3:$J$11609,5,FALSE),"")</f>
      </c>
      <c r="D463" s="1019" t="e">
        <f>SUMIF('[1]ПО КОРИСНИЦИМА'!$G$3:$G$11609,"Свега за пројекат 1201-П44:",'[1]ПО КОРИСНИЦИМА'!$H$3:$H$11609)</f>
        <v>#VALUE!</v>
      </c>
      <c r="E463" s="1013" t="e">
        <f t="shared" si="14"/>
        <v>#VALUE!</v>
      </c>
      <c r="F463" s="1020" t="e">
        <f>SUMIF('[1]ПО КОРИСНИЦИМА'!$G$3:$G$11609,"Свега за пројекат 1201-П44:",'[1]ПО КОРИСНИЦИМА'!$I$3:$I$11609)</f>
        <v>#VALUE!</v>
      </c>
      <c r="G463" s="1016" t="e">
        <f t="shared" si="15"/>
        <v>#VALUE!</v>
      </c>
      <c r="H463" s="1017"/>
    </row>
    <row r="464" spans="1:8" ht="12.75" hidden="1">
      <c r="A464" s="1030"/>
      <c r="B464" s="1030" t="s">
        <v>695</v>
      </c>
      <c r="C464" s="1015">
        <f>_xlfn.IFERROR(VLOOKUP(B464,'[1]ПО КОРИСНИЦИМА'!$C$3:$J$11609,5,FALSE),"")</f>
      </c>
      <c r="D464" s="1019" t="e">
        <f>SUMIF('[1]ПО КОРИСНИЦИМА'!$G$3:$G$11609,"Свега за пројекат 1201-П45:",'[1]ПО КОРИСНИЦИМА'!$H$3:$H$11609)</f>
        <v>#VALUE!</v>
      </c>
      <c r="E464" s="1013" t="e">
        <f t="shared" si="14"/>
        <v>#VALUE!</v>
      </c>
      <c r="F464" s="1020" t="e">
        <f>SUMIF('[1]ПО КОРИСНИЦИМА'!$G$3:$G$11609,"Свега за пројекат 1201-П45:",'[1]ПО КОРИСНИЦИМА'!$I$3:$I$11609)</f>
        <v>#VALUE!</v>
      </c>
      <c r="G464" s="1016" t="e">
        <f t="shared" si="15"/>
        <v>#VALUE!</v>
      </c>
      <c r="H464" s="1017"/>
    </row>
    <row r="465" spans="1:8" ht="12.75" hidden="1">
      <c r="A465" s="1030"/>
      <c r="B465" s="1030" t="s">
        <v>696</v>
      </c>
      <c r="C465" s="1015">
        <f>_xlfn.IFERROR(VLOOKUP(B465,'[1]ПО КОРИСНИЦИМА'!$C$3:$J$11609,5,FALSE),"")</f>
      </c>
      <c r="D465" s="1019" t="e">
        <f>SUMIF('[1]ПО КОРИСНИЦИМА'!$G$3:$G$11609,"Свега за пројекат 1201-П46:",'[1]ПО КОРИСНИЦИМА'!$H$3:$H$11609)</f>
        <v>#VALUE!</v>
      </c>
      <c r="E465" s="1013" t="e">
        <f t="shared" si="14"/>
        <v>#VALUE!</v>
      </c>
      <c r="F465" s="1020" t="e">
        <f>SUMIF('[1]ПО КОРИСНИЦИМА'!$G$3:$G$11609,"Свега за пројекат 1201-П46:",'[1]ПО КОРИСНИЦИМА'!$I$3:$I$11609)</f>
        <v>#VALUE!</v>
      </c>
      <c r="G465" s="1016" t="e">
        <f t="shared" si="15"/>
        <v>#VALUE!</v>
      </c>
      <c r="H465" s="1017"/>
    </row>
    <row r="466" spans="1:8" ht="12.75" hidden="1">
      <c r="A466" s="1030"/>
      <c r="B466" s="1030" t="s">
        <v>697</v>
      </c>
      <c r="C466" s="1015">
        <f>_xlfn.IFERROR(VLOOKUP(B466,'[1]ПО КОРИСНИЦИМА'!$C$3:$J$11609,5,FALSE),"")</f>
      </c>
      <c r="D466" s="1019" t="e">
        <f>SUMIF('[1]ПО КОРИСНИЦИМА'!$G$3:$G$11609,"Свега за пројекат 1201-П47:",'[1]ПО КОРИСНИЦИМА'!$H$3:$H$11609)</f>
        <v>#VALUE!</v>
      </c>
      <c r="E466" s="1013" t="e">
        <f t="shared" si="14"/>
        <v>#VALUE!</v>
      </c>
      <c r="F466" s="1020" t="e">
        <f>SUMIF('[1]ПО КОРИСНИЦИМА'!$G$3:$G$11609,"Свега за пројекат 1201-П47:",'[1]ПО КОРИСНИЦИМА'!$I$3:$I$11609)</f>
        <v>#VALUE!</v>
      </c>
      <c r="G466" s="1016" t="e">
        <f t="shared" si="15"/>
        <v>#VALUE!</v>
      </c>
      <c r="H466" s="1017"/>
    </row>
    <row r="467" spans="1:8" ht="12.75" hidden="1">
      <c r="A467" s="1030"/>
      <c r="B467" s="1030" t="s">
        <v>698</v>
      </c>
      <c r="C467" s="1015">
        <f>_xlfn.IFERROR(VLOOKUP(B467,'[1]ПО КОРИСНИЦИМА'!$C$3:$J$11609,5,FALSE),"")</f>
      </c>
      <c r="D467" s="1019" t="e">
        <f>SUMIF('[1]ПО КОРИСНИЦИМА'!$G$3:$G$11609,"Свега за пројекат 1201-П48:",'[1]ПО КОРИСНИЦИМА'!$H$3:$H$11609)</f>
        <v>#VALUE!</v>
      </c>
      <c r="E467" s="1013" t="e">
        <f t="shared" si="14"/>
        <v>#VALUE!</v>
      </c>
      <c r="F467" s="1020" t="e">
        <f>SUMIF('[1]ПО КОРИСНИЦИМА'!$G$3:$G$11609,"Свега за пројекат 1201-П48:",'[1]ПО КОРИСНИЦИМА'!$I$3:$I$11609)</f>
        <v>#VALUE!</v>
      </c>
      <c r="G467" s="1016" t="e">
        <f t="shared" si="15"/>
        <v>#VALUE!</v>
      </c>
      <c r="H467" s="1017"/>
    </row>
    <row r="468" spans="1:8" ht="12.75" hidden="1">
      <c r="A468" s="1030"/>
      <c r="B468" s="1030" t="s">
        <v>699</v>
      </c>
      <c r="C468" s="1015">
        <f>_xlfn.IFERROR(VLOOKUP(B468,'[1]ПО КОРИСНИЦИМА'!$C$3:$J$11609,5,FALSE),"")</f>
      </c>
      <c r="D468" s="1019" t="e">
        <f>SUMIF('[1]ПО КОРИСНИЦИМА'!$G$3:$G$11609,"Свега за пројекат 1201-П49:",'[1]ПО КОРИСНИЦИМА'!$H$3:$H$11609)</f>
        <v>#VALUE!</v>
      </c>
      <c r="E468" s="1013" t="e">
        <f t="shared" si="14"/>
        <v>#VALUE!</v>
      </c>
      <c r="F468" s="1020" t="e">
        <f>SUMIF('[1]ПО КОРИСНИЦИМА'!$G$3:$G$11609,"Свега за пројекат 1201-П49:",'[1]ПО КОРИСНИЦИМА'!$I$3:$I$11609)</f>
        <v>#VALUE!</v>
      </c>
      <c r="G468" s="1016" t="e">
        <f t="shared" si="15"/>
        <v>#VALUE!</v>
      </c>
      <c r="H468" s="1017"/>
    </row>
    <row r="469" spans="1:8" ht="12.75" hidden="1">
      <c r="A469" s="1030"/>
      <c r="B469" s="1030" t="s">
        <v>700</v>
      </c>
      <c r="C469" s="1015">
        <f>_xlfn.IFERROR(VLOOKUP(B469,'[1]ПО КОРИСНИЦИМА'!$C$3:$J$11609,5,FALSE),"")</f>
      </c>
      <c r="D469" s="1019" t="e">
        <f>SUMIF('[1]ПО КОРИСНИЦИМА'!$G$3:$G$11609,"Свега за пројекат 1201-П50:",'[1]ПО КОРИСНИЦИМА'!$H$3:$H$11609)</f>
        <v>#VALUE!</v>
      </c>
      <c r="E469" s="1013" t="e">
        <f t="shared" si="14"/>
        <v>#VALUE!</v>
      </c>
      <c r="F469" s="1020" t="e">
        <f>SUMIF('[1]ПО КОРИСНИЦИМА'!$G$3:$G$11609,"Свега за пројекат 1201-П50:",'[1]ПО КОРИСНИЦИМА'!$I$3:$I$11609)</f>
        <v>#VALUE!</v>
      </c>
      <c r="G469" s="1016" t="e">
        <f t="shared" si="15"/>
        <v>#VALUE!</v>
      </c>
      <c r="H469" s="1017"/>
    </row>
    <row r="470" spans="1:8" s="320" customFormat="1" ht="12.75">
      <c r="A470" s="1009" t="s">
        <v>306</v>
      </c>
      <c r="B470" s="1010"/>
      <c r="C470" s="1011" t="s">
        <v>9</v>
      </c>
      <c r="D470" s="1012">
        <f>SUM(D471:D472)</f>
        <v>7001000</v>
      </c>
      <c r="E470" s="1013">
        <f t="shared" si="14"/>
        <v>0.015444975263651033</v>
      </c>
      <c r="F470" s="1012">
        <f>F471</f>
        <v>0</v>
      </c>
      <c r="G470" s="1012">
        <f t="shared" si="15"/>
        <v>7001000</v>
      </c>
      <c r="H470" s="1027"/>
    </row>
    <row r="471" spans="1:8" ht="24">
      <c r="A471" s="1038"/>
      <c r="B471" s="1030" t="s">
        <v>308</v>
      </c>
      <c r="C471" s="1045" t="s">
        <v>324</v>
      </c>
      <c r="D471" s="1016">
        <f>'Rashodi-2021'!M139</f>
        <v>7001000</v>
      </c>
      <c r="E471" s="1486">
        <f t="shared" si="14"/>
        <v>0.015444975263651033</v>
      </c>
      <c r="F471" s="1016">
        <f>'Rashodi-2021'!T139</f>
        <v>0</v>
      </c>
      <c r="G471" s="1040">
        <f t="shared" si="15"/>
        <v>7001000</v>
      </c>
      <c r="H471" s="1017" t="s">
        <v>1167</v>
      </c>
    </row>
    <row r="472" spans="1:8" ht="26.25" customHeight="1" hidden="1">
      <c r="A472" s="1038"/>
      <c r="B472" s="1030"/>
      <c r="C472" s="1045"/>
      <c r="D472" s="1016"/>
      <c r="E472" s="1013">
        <f t="shared" si="14"/>
        <v>0</v>
      </c>
      <c r="F472" s="1016" t="e">
        <f>'Rashodi-2021'!#REF!</f>
        <v>#REF!</v>
      </c>
      <c r="G472" s="1040" t="e">
        <f t="shared" si="15"/>
        <v>#REF!</v>
      </c>
      <c r="H472" s="1017"/>
    </row>
    <row r="473" spans="1:8" ht="12.75" hidden="1">
      <c r="A473" s="1038"/>
      <c r="B473" s="1030" t="s">
        <v>855</v>
      </c>
      <c r="C473" s="1039" t="s">
        <v>856</v>
      </c>
      <c r="D473" s="1016"/>
      <c r="E473" s="1013">
        <f t="shared" si="14"/>
        <v>0</v>
      </c>
      <c r="F473" s="1018"/>
      <c r="G473" s="1040">
        <f t="shared" si="15"/>
        <v>0</v>
      </c>
      <c r="H473" s="1017"/>
    </row>
    <row r="474" spans="1:8" ht="12.75" hidden="1">
      <c r="A474" s="1030"/>
      <c r="B474" s="1030" t="s">
        <v>701</v>
      </c>
      <c r="C474" s="1015">
        <f>_xlfn.IFERROR(VLOOKUP(B474,'[1]ПО КОРИСНИЦИМА'!$C$3:$J$11609,5,FALSE),"")</f>
      </c>
      <c r="D474" s="1019"/>
      <c r="E474" s="1013">
        <f t="shared" si="14"/>
        <v>0</v>
      </c>
      <c r="F474" s="1020"/>
      <c r="G474" s="1040">
        <f t="shared" si="15"/>
        <v>0</v>
      </c>
      <c r="H474" s="1017"/>
    </row>
    <row r="475" spans="1:8" ht="12.75" hidden="1">
      <c r="A475" s="1030"/>
      <c r="B475" s="1030" t="s">
        <v>702</v>
      </c>
      <c r="C475" s="1015">
        <f>_xlfn.IFERROR(VLOOKUP(B475,'[1]ПО КОРИСНИЦИМА'!$C$3:$J$11609,5,FALSE),"")</f>
      </c>
      <c r="D475" s="1019"/>
      <c r="E475" s="1013">
        <f t="shared" si="14"/>
        <v>0</v>
      </c>
      <c r="F475" s="1020"/>
      <c r="G475" s="1016">
        <f t="shared" si="15"/>
        <v>0</v>
      </c>
      <c r="H475" s="1017"/>
    </row>
    <row r="476" spans="1:8" ht="12.75" hidden="1">
      <c r="A476" s="1030"/>
      <c r="B476" s="1030" t="s">
        <v>703</v>
      </c>
      <c r="C476" s="1015">
        <f>_xlfn.IFERROR(VLOOKUP(B476,'[1]ПО КОРИСНИЦИМА'!$C$3:$J$11609,5,FALSE),"")</f>
      </c>
      <c r="D476" s="1019"/>
      <c r="E476" s="1013">
        <f t="shared" si="14"/>
        <v>0</v>
      </c>
      <c r="F476" s="1020"/>
      <c r="G476" s="1016">
        <f t="shared" si="15"/>
        <v>0</v>
      </c>
      <c r="H476" s="1017"/>
    </row>
    <row r="477" spans="1:8" ht="12.75" hidden="1">
      <c r="A477" s="1030"/>
      <c r="B477" s="1030" t="s">
        <v>704</v>
      </c>
      <c r="C477" s="1015">
        <f>_xlfn.IFERROR(VLOOKUP(B477,'[1]ПО КОРИСНИЦИМА'!$C$3:$J$11609,5,FALSE),"")</f>
      </c>
      <c r="D477" s="1019"/>
      <c r="E477" s="1013">
        <f t="shared" si="14"/>
        <v>0</v>
      </c>
      <c r="F477" s="1020"/>
      <c r="G477" s="1016">
        <f t="shared" si="15"/>
        <v>0</v>
      </c>
      <c r="H477" s="1017"/>
    </row>
    <row r="478" spans="1:8" ht="12.75" hidden="1">
      <c r="A478" s="1030"/>
      <c r="B478" s="1030" t="s">
        <v>705</v>
      </c>
      <c r="C478" s="1015">
        <f>_xlfn.IFERROR(VLOOKUP(B478,'[1]ПО КОРИСНИЦИМА'!$C$3:$J$11609,5,FALSE),"")</f>
      </c>
      <c r="D478" s="1019"/>
      <c r="E478" s="1013">
        <f t="shared" si="14"/>
        <v>0</v>
      </c>
      <c r="F478" s="1020"/>
      <c r="G478" s="1016">
        <f t="shared" si="15"/>
        <v>0</v>
      </c>
      <c r="H478" s="1017"/>
    </row>
    <row r="479" spans="1:8" ht="12.75" hidden="1">
      <c r="A479" s="1030"/>
      <c r="B479" s="1030" t="s">
        <v>706</v>
      </c>
      <c r="C479" s="1015">
        <f>_xlfn.IFERROR(VLOOKUP(B479,'[1]ПО КОРИСНИЦИМА'!$C$3:$J$11609,5,FALSE),"")</f>
      </c>
      <c r="D479" s="1019"/>
      <c r="E479" s="1013">
        <f t="shared" si="14"/>
        <v>0</v>
      </c>
      <c r="F479" s="1020"/>
      <c r="G479" s="1016">
        <f t="shared" si="15"/>
        <v>0</v>
      </c>
      <c r="H479" s="1017"/>
    </row>
    <row r="480" spans="1:8" ht="12.75" hidden="1">
      <c r="A480" s="1030"/>
      <c r="B480" s="1030" t="s">
        <v>707</v>
      </c>
      <c r="C480" s="1015">
        <f>_xlfn.IFERROR(VLOOKUP(B480,'[1]ПО КОРИСНИЦИМА'!$C$3:$J$11609,5,FALSE),"")</f>
      </c>
      <c r="D480" s="1019"/>
      <c r="E480" s="1013">
        <f t="shared" si="14"/>
        <v>0</v>
      </c>
      <c r="F480" s="1020"/>
      <c r="G480" s="1016">
        <f t="shared" si="15"/>
        <v>0</v>
      </c>
      <c r="H480" s="1017"/>
    </row>
    <row r="481" spans="1:8" ht="12.75" hidden="1">
      <c r="A481" s="1030"/>
      <c r="B481" s="1030" t="s">
        <v>708</v>
      </c>
      <c r="C481" s="1015">
        <f>_xlfn.IFERROR(VLOOKUP(B481,'[1]ПО КОРИСНИЦИМА'!$C$3:$J$11609,5,FALSE),"")</f>
      </c>
      <c r="D481" s="1019"/>
      <c r="E481" s="1013">
        <f t="shared" si="14"/>
        <v>0</v>
      </c>
      <c r="F481" s="1020"/>
      <c r="G481" s="1016">
        <f t="shared" si="15"/>
        <v>0</v>
      </c>
      <c r="H481" s="1017"/>
    </row>
    <row r="482" spans="1:8" ht="12.75" hidden="1">
      <c r="A482" s="1030"/>
      <c r="B482" s="1030" t="s">
        <v>709</v>
      </c>
      <c r="C482" s="1015">
        <f>_xlfn.IFERROR(VLOOKUP(B482,'[1]ПО КОРИСНИЦИМА'!$C$3:$J$11609,5,FALSE),"")</f>
      </c>
      <c r="D482" s="1019" t="e">
        <f>SUMIF('[1]ПО КОРИСНИЦИМА'!$G$3:$G$11609,"Свега за пројекат 1301-П9:",'[1]ПО КОРИСНИЦИМА'!$H$3:$H$11609)</f>
        <v>#VALUE!</v>
      </c>
      <c r="E482" s="1013" t="e">
        <f t="shared" si="14"/>
        <v>#VALUE!</v>
      </c>
      <c r="F482" s="1020" t="e">
        <f>SUMIF('[1]ПО КОРИСНИЦИМА'!$G$3:$G$11609,"Свега за пројекат 1301-П9:",'[1]ПО КОРИСНИЦИМА'!$I$3:$I$11609)</f>
        <v>#VALUE!</v>
      </c>
      <c r="G482" s="1016" t="e">
        <f t="shared" si="15"/>
        <v>#VALUE!</v>
      </c>
      <c r="H482" s="1017"/>
    </row>
    <row r="483" spans="1:8" ht="12.75" hidden="1">
      <c r="A483" s="1030"/>
      <c r="B483" s="1030" t="s">
        <v>710</v>
      </c>
      <c r="C483" s="1015">
        <f>_xlfn.IFERROR(VLOOKUP(B483,'[1]ПО КОРИСНИЦИМА'!$C$3:$J$11609,5,FALSE),"")</f>
      </c>
      <c r="D483" s="1019" t="e">
        <f>SUMIF('[1]ПО КОРИСНИЦИМА'!$G$3:$G$11609,"Свега за пројекат 1301-П10:",'[1]ПО КОРИСНИЦИМА'!$H$3:$H$11609)</f>
        <v>#VALUE!</v>
      </c>
      <c r="E483" s="1013" t="e">
        <f t="shared" si="14"/>
        <v>#VALUE!</v>
      </c>
      <c r="F483" s="1020" t="e">
        <f>SUMIF('[1]ПО КОРИСНИЦИМА'!$G$3:$G$11609,"Свега за пројекат 1301-П10:",'[1]ПО КОРИСНИЦИМА'!$I$3:$I$11609)</f>
        <v>#VALUE!</v>
      </c>
      <c r="G483" s="1016" t="e">
        <f t="shared" si="15"/>
        <v>#VALUE!</v>
      </c>
      <c r="H483" s="1017"/>
    </row>
    <row r="484" spans="1:8" ht="12.75" hidden="1">
      <c r="A484" s="1030"/>
      <c r="B484" s="1030" t="s">
        <v>711</v>
      </c>
      <c r="C484" s="1015">
        <f>_xlfn.IFERROR(VLOOKUP(B484,'[1]ПО КОРИСНИЦИМА'!$C$3:$J$11609,5,FALSE),"")</f>
      </c>
      <c r="D484" s="1019" t="e">
        <f>SUMIF('[1]ПО КОРИСНИЦИМА'!$G$3:$G$11609,"Свега за пројекат 1301-П11:",'[1]ПО КОРИСНИЦИМА'!$H$3:$H$11609)</f>
        <v>#VALUE!</v>
      </c>
      <c r="E484" s="1013" t="e">
        <f t="shared" si="14"/>
        <v>#VALUE!</v>
      </c>
      <c r="F484" s="1020" t="e">
        <f>SUMIF('[1]ПО КОРИСНИЦИМА'!$G$3:$G$11609,"Свега за пројекат 1301-П11:",'[1]ПО КОРИСНИЦИМА'!$I$3:$I$11609)</f>
        <v>#VALUE!</v>
      </c>
      <c r="G484" s="1016" t="e">
        <f t="shared" si="15"/>
        <v>#VALUE!</v>
      </c>
      <c r="H484" s="1017"/>
    </row>
    <row r="485" spans="1:8" ht="12.75" hidden="1">
      <c r="A485" s="1030"/>
      <c r="B485" s="1030" t="s">
        <v>712</v>
      </c>
      <c r="C485" s="1015">
        <f>_xlfn.IFERROR(VLOOKUP(B485,'[1]ПО КОРИСНИЦИМА'!$C$3:$J$11609,5,FALSE),"")</f>
      </c>
      <c r="D485" s="1019" t="e">
        <f>SUMIF('[1]ПО КОРИСНИЦИМА'!$G$3:$G$11609,"Свега за пројекат 1301-П12:",'[1]ПО КОРИСНИЦИМА'!$H$3:$H$11609)</f>
        <v>#VALUE!</v>
      </c>
      <c r="E485" s="1013" t="e">
        <f t="shared" si="14"/>
        <v>#VALUE!</v>
      </c>
      <c r="F485" s="1020" t="e">
        <f>SUMIF('[1]ПО КОРИСНИЦИМА'!$G$3:$G$11609,"Свега за пројекат 1301-П12:",'[1]ПО КОРИСНИЦИМА'!$I$3:$I$11609)</f>
        <v>#VALUE!</v>
      </c>
      <c r="G485" s="1016" t="e">
        <f t="shared" si="15"/>
        <v>#VALUE!</v>
      </c>
      <c r="H485" s="1017"/>
    </row>
    <row r="486" spans="1:8" ht="12.75" hidden="1">
      <c r="A486" s="1030"/>
      <c r="B486" s="1030" t="s">
        <v>713</v>
      </c>
      <c r="C486" s="1015">
        <f>_xlfn.IFERROR(VLOOKUP(B486,'[1]ПО КОРИСНИЦИМА'!$C$3:$J$11609,5,FALSE),"")</f>
      </c>
      <c r="D486" s="1019" t="e">
        <f>SUMIF('[1]ПО КОРИСНИЦИМА'!$G$3:$G$11609,"Свега за пројекат 1301-П13:",'[1]ПО КОРИСНИЦИМА'!$H$3:$H$11609)</f>
        <v>#VALUE!</v>
      </c>
      <c r="E486" s="1013" t="e">
        <f t="shared" si="14"/>
        <v>#VALUE!</v>
      </c>
      <c r="F486" s="1020" t="e">
        <f>SUMIF('[1]ПО КОРИСНИЦИМА'!$G$3:$G$11609,"Свега за пројекат 1301-П13:",'[1]ПО КОРИСНИЦИМА'!$I$3:$I$11609)</f>
        <v>#VALUE!</v>
      </c>
      <c r="G486" s="1016" t="e">
        <f t="shared" si="15"/>
        <v>#VALUE!</v>
      </c>
      <c r="H486" s="1017"/>
    </row>
    <row r="487" spans="1:8" ht="12.75" hidden="1">
      <c r="A487" s="1030"/>
      <c r="B487" s="1030" t="s">
        <v>714</v>
      </c>
      <c r="C487" s="1015">
        <f>_xlfn.IFERROR(VLOOKUP(B487,'[1]ПО КОРИСНИЦИМА'!$C$3:$J$11609,5,FALSE),"")</f>
      </c>
      <c r="D487" s="1019" t="e">
        <f>SUMIF('[1]ПО КОРИСНИЦИМА'!$G$3:$G$11609,"Свега за пројекат 1301-П14:",'[1]ПО КОРИСНИЦИМА'!$H$3:$H$11609)</f>
        <v>#VALUE!</v>
      </c>
      <c r="E487" s="1013" t="e">
        <f t="shared" si="14"/>
        <v>#VALUE!</v>
      </c>
      <c r="F487" s="1020" t="e">
        <f>SUMIF('[1]ПО КОРИСНИЦИМА'!$G$3:$G$11609,"Свега за пројекат 1301-П14:",'[1]ПО КОРИСНИЦИМА'!$I$3:$I$11609)</f>
        <v>#VALUE!</v>
      </c>
      <c r="G487" s="1016" t="e">
        <f t="shared" si="15"/>
        <v>#VALUE!</v>
      </c>
      <c r="H487" s="1017"/>
    </row>
    <row r="488" spans="1:8" ht="12.75" hidden="1">
      <c r="A488" s="1030"/>
      <c r="B488" s="1030" t="s">
        <v>715</v>
      </c>
      <c r="C488" s="1015">
        <f>_xlfn.IFERROR(VLOOKUP(B488,'[1]ПО КОРИСНИЦИМА'!$C$3:$J$11609,5,FALSE),"")</f>
      </c>
      <c r="D488" s="1019" t="e">
        <f>SUMIF('[1]ПО КОРИСНИЦИМА'!$G$3:$G$11609,"Свега за пројекат 1301-П15:",'[1]ПО КОРИСНИЦИМА'!$H$3:$H$11609)</f>
        <v>#VALUE!</v>
      </c>
      <c r="E488" s="1013" t="e">
        <f t="shared" si="14"/>
        <v>#VALUE!</v>
      </c>
      <c r="F488" s="1020" t="e">
        <f>SUMIF('[1]ПО КОРИСНИЦИМА'!$G$3:$G$11609,"Свега за пројекат 1301-П15:",'[1]ПО КОРИСНИЦИМА'!$I$3:$I$11609)</f>
        <v>#VALUE!</v>
      </c>
      <c r="G488" s="1016" t="e">
        <f t="shared" si="15"/>
        <v>#VALUE!</v>
      </c>
      <c r="H488" s="1017"/>
    </row>
    <row r="489" spans="1:8" ht="12.75" hidden="1">
      <c r="A489" s="1030"/>
      <c r="B489" s="1030" t="s">
        <v>716</v>
      </c>
      <c r="C489" s="1015">
        <f>_xlfn.IFERROR(VLOOKUP(B489,'[1]ПО КОРИСНИЦИМА'!$C$3:$J$11609,5,FALSE),"")</f>
      </c>
      <c r="D489" s="1019" t="e">
        <f>SUMIF('[1]ПО КОРИСНИЦИМА'!$G$3:$G$11609,"Свега за пројекат 1301-П16:",'[1]ПО КОРИСНИЦИМА'!$H$3:$H$11609)</f>
        <v>#VALUE!</v>
      </c>
      <c r="E489" s="1013" t="e">
        <f t="shared" si="14"/>
        <v>#VALUE!</v>
      </c>
      <c r="F489" s="1020" t="e">
        <f>SUMIF('[1]ПО КОРИСНИЦИМА'!$G$3:$G$11609,"Свега за пројекат 1301-П16:",'[1]ПО КОРИСНИЦИМА'!$I$3:$I$11609)</f>
        <v>#VALUE!</v>
      </c>
      <c r="G489" s="1016" t="e">
        <f t="shared" si="15"/>
        <v>#VALUE!</v>
      </c>
      <c r="H489" s="1017"/>
    </row>
    <row r="490" spans="1:8" ht="12.75" hidden="1">
      <c r="A490" s="1030"/>
      <c r="B490" s="1030" t="s">
        <v>717</v>
      </c>
      <c r="C490" s="1015">
        <f>_xlfn.IFERROR(VLOOKUP(B490,'[1]ПО КОРИСНИЦИМА'!$C$3:$J$11609,5,FALSE),"")</f>
      </c>
      <c r="D490" s="1019" t="e">
        <f>SUMIF('[1]ПО КОРИСНИЦИМА'!$G$3:$G$11609,"Свега за пројекат 1301-П17:",'[1]ПО КОРИСНИЦИМА'!$H$3:$H$11609)</f>
        <v>#VALUE!</v>
      </c>
      <c r="E490" s="1013" t="e">
        <f t="shared" si="14"/>
        <v>#VALUE!</v>
      </c>
      <c r="F490" s="1020" t="e">
        <f>SUMIF('[1]ПО КОРИСНИЦИМА'!$G$3:$G$11609,"Свега за пројекат 1301-П17:",'[1]ПО КОРИСНИЦИМА'!$I$3:$I$11609)</f>
        <v>#VALUE!</v>
      </c>
      <c r="G490" s="1016" t="e">
        <f t="shared" si="15"/>
        <v>#VALUE!</v>
      </c>
      <c r="H490" s="1017"/>
    </row>
    <row r="491" spans="1:8" ht="12.75" hidden="1">
      <c r="A491" s="1030"/>
      <c r="B491" s="1030" t="s">
        <v>718</v>
      </c>
      <c r="C491" s="1015">
        <f>_xlfn.IFERROR(VLOOKUP(B491,'[1]ПО КОРИСНИЦИМА'!$C$3:$J$11609,5,FALSE),"")</f>
      </c>
      <c r="D491" s="1019" t="e">
        <f>SUMIF('[1]ПО КОРИСНИЦИМА'!$G$3:$G$11609,"Свега за пројекат 1301-П18:",'[1]ПО КОРИСНИЦИМА'!$H$3:$H$11609)</f>
        <v>#VALUE!</v>
      </c>
      <c r="E491" s="1013" t="e">
        <f t="shared" si="14"/>
        <v>#VALUE!</v>
      </c>
      <c r="F491" s="1020" t="e">
        <f>SUMIF('[1]ПО КОРИСНИЦИМА'!$G$3:$G$11609,"Свега за пројекат 1301-П18:",'[1]ПО КОРИСНИЦИМА'!$I$3:$I$11609)</f>
        <v>#VALUE!</v>
      </c>
      <c r="G491" s="1016" t="e">
        <f t="shared" si="15"/>
        <v>#VALUE!</v>
      </c>
      <c r="H491" s="1017"/>
    </row>
    <row r="492" spans="1:8" ht="12.75" hidden="1">
      <c r="A492" s="1030"/>
      <c r="B492" s="1030" t="s">
        <v>719</v>
      </c>
      <c r="C492" s="1015">
        <f>_xlfn.IFERROR(VLOOKUP(B492,'[1]ПО КОРИСНИЦИМА'!$C$3:$J$11609,5,FALSE),"")</f>
      </c>
      <c r="D492" s="1019" t="e">
        <f>SUMIF('[1]ПО КОРИСНИЦИМА'!$G$3:$G$11609,"Свега за пројекат 1301-П19:",'[1]ПО КОРИСНИЦИМА'!$H$3:$H$11609)</f>
        <v>#VALUE!</v>
      </c>
      <c r="E492" s="1013" t="e">
        <f t="shared" si="14"/>
        <v>#VALUE!</v>
      </c>
      <c r="F492" s="1020" t="e">
        <f>SUMIF('[1]ПО КОРИСНИЦИМА'!$G$3:$G$11609,"Свега за пројекат 1301-П19:",'[1]ПО КОРИСНИЦИМА'!$I$3:$I$11609)</f>
        <v>#VALUE!</v>
      </c>
      <c r="G492" s="1016" t="e">
        <f t="shared" si="15"/>
        <v>#VALUE!</v>
      </c>
      <c r="H492" s="1017"/>
    </row>
    <row r="493" spans="1:8" ht="12.75" hidden="1">
      <c r="A493" s="1030"/>
      <c r="B493" s="1030" t="s">
        <v>720</v>
      </c>
      <c r="C493" s="1015">
        <f>_xlfn.IFERROR(VLOOKUP(B493,'[1]ПО КОРИСНИЦИМА'!$C$3:$J$11609,5,FALSE),"")</f>
      </c>
      <c r="D493" s="1019" t="e">
        <f>SUMIF('[1]ПО КОРИСНИЦИМА'!$G$3:$G$11609,"Свега за пројекат 1301-П20:",'[1]ПО КОРИСНИЦИМА'!$H$3:$H$11609)</f>
        <v>#VALUE!</v>
      </c>
      <c r="E493" s="1013" t="e">
        <f t="shared" si="14"/>
        <v>#VALUE!</v>
      </c>
      <c r="F493" s="1020" t="e">
        <f>SUMIF('[1]ПО КОРИСНИЦИМА'!$G$3:$G$11609,"Свега за пројекат 1301-П20:",'[1]ПО КОРИСНИЦИМА'!$I$3:$I$11609)</f>
        <v>#VALUE!</v>
      </c>
      <c r="G493" s="1016" t="e">
        <f t="shared" si="15"/>
        <v>#VALUE!</v>
      </c>
      <c r="H493" s="1017"/>
    </row>
    <row r="494" spans="1:8" ht="12.75" hidden="1">
      <c r="A494" s="1030"/>
      <c r="B494" s="1030" t="s">
        <v>721</v>
      </c>
      <c r="C494" s="1015">
        <f>_xlfn.IFERROR(VLOOKUP(B494,'[1]ПО КОРИСНИЦИМА'!$C$3:$J$11609,5,FALSE),"")</f>
      </c>
      <c r="D494" s="1019" t="e">
        <f>SUMIF('[1]ПО КОРИСНИЦИМА'!$G$3:$G$11609,"Свега за пројекат 1301-П21:",'[1]ПО КОРИСНИЦИМА'!$H$3:$H$11609)</f>
        <v>#VALUE!</v>
      </c>
      <c r="E494" s="1013" t="e">
        <f t="shared" si="14"/>
        <v>#VALUE!</v>
      </c>
      <c r="F494" s="1020" t="e">
        <f>SUMIF('[1]ПО КОРИСНИЦИМА'!$G$3:$G$11609,"Свега за пројекат 1301-П21:",'[1]ПО КОРИСНИЦИМА'!$I$3:$I$11609)</f>
        <v>#VALUE!</v>
      </c>
      <c r="G494" s="1016" t="e">
        <f t="shared" si="15"/>
        <v>#VALUE!</v>
      </c>
      <c r="H494" s="1017"/>
    </row>
    <row r="495" spans="1:8" ht="12.75" hidden="1">
      <c r="A495" s="1030"/>
      <c r="B495" s="1030" t="s">
        <v>722</v>
      </c>
      <c r="C495" s="1015">
        <f>_xlfn.IFERROR(VLOOKUP(B495,'[1]ПО КОРИСНИЦИМА'!$C$3:$J$11609,5,FALSE),"")</f>
      </c>
      <c r="D495" s="1019" t="e">
        <f>SUMIF('[1]ПО КОРИСНИЦИМА'!$G$3:$G$11609,"Свега за пројекат 1301-П22:",'[1]ПО КОРИСНИЦИМА'!$H$3:$H$11609)</f>
        <v>#VALUE!</v>
      </c>
      <c r="E495" s="1013" t="e">
        <f t="shared" si="14"/>
        <v>#VALUE!</v>
      </c>
      <c r="F495" s="1020" t="e">
        <f>SUMIF('[1]ПО КОРИСНИЦИМА'!$G$3:$G$11609,"Свега за пројекат 1301-П22:",'[1]ПО КОРИСНИЦИМА'!$I$3:$I$11609)</f>
        <v>#VALUE!</v>
      </c>
      <c r="G495" s="1016" t="e">
        <f t="shared" si="15"/>
        <v>#VALUE!</v>
      </c>
      <c r="H495" s="1017"/>
    </row>
    <row r="496" spans="1:8" ht="12.75" hidden="1">
      <c r="A496" s="1030"/>
      <c r="B496" s="1030" t="s">
        <v>723</v>
      </c>
      <c r="C496" s="1015">
        <f>_xlfn.IFERROR(VLOOKUP(B496,'[1]ПО КОРИСНИЦИМА'!$C$3:$J$11609,5,FALSE),"")</f>
      </c>
      <c r="D496" s="1019" t="e">
        <f>SUMIF('[1]ПО КОРИСНИЦИМА'!$G$3:$G$11609,"Свега за пројекат 1301-П23:",'[1]ПО КОРИСНИЦИМА'!$H$3:$H$11609)</f>
        <v>#VALUE!</v>
      </c>
      <c r="E496" s="1013" t="e">
        <f t="shared" si="14"/>
        <v>#VALUE!</v>
      </c>
      <c r="F496" s="1020" t="e">
        <f>SUMIF('[1]ПО КОРИСНИЦИМА'!$G$3:$G$11609,"Свега за пројекат 1301-П23:",'[1]ПО КОРИСНИЦИМА'!$I$3:$I$11609)</f>
        <v>#VALUE!</v>
      </c>
      <c r="G496" s="1016" t="e">
        <f t="shared" si="15"/>
        <v>#VALUE!</v>
      </c>
      <c r="H496" s="1017"/>
    </row>
    <row r="497" spans="1:8" ht="12.75" hidden="1">
      <c r="A497" s="1030"/>
      <c r="B497" s="1030" t="s">
        <v>724</v>
      </c>
      <c r="C497" s="1015">
        <f>_xlfn.IFERROR(VLOOKUP(B497,'[1]ПО КОРИСНИЦИМА'!$C$3:$J$11609,5,FALSE),"")</f>
      </c>
      <c r="D497" s="1019" t="e">
        <f>SUMIF('[1]ПО КОРИСНИЦИМА'!$G$3:$G$11609,"Свега за пројекат 1301-П24:",'[1]ПО КОРИСНИЦИМА'!$H$3:$H$11609)</f>
        <v>#VALUE!</v>
      </c>
      <c r="E497" s="1013" t="e">
        <f t="shared" si="14"/>
        <v>#VALUE!</v>
      </c>
      <c r="F497" s="1020" t="e">
        <f>SUMIF('[1]ПО КОРИСНИЦИМА'!$G$3:$G$11609,"Свега за пројекат 1301-П24:",'[1]ПО КОРИСНИЦИМА'!$I$3:$I$11609)</f>
        <v>#VALUE!</v>
      </c>
      <c r="G497" s="1016" t="e">
        <f t="shared" si="15"/>
        <v>#VALUE!</v>
      </c>
      <c r="H497" s="1017"/>
    </row>
    <row r="498" spans="1:8" ht="12.75" hidden="1">
      <c r="A498" s="1030"/>
      <c r="B498" s="1030" t="s">
        <v>725</v>
      </c>
      <c r="C498" s="1015">
        <f>_xlfn.IFERROR(VLOOKUP(B498,'[1]ПО КОРИСНИЦИМА'!$C$3:$J$11609,5,FALSE),"")</f>
      </c>
      <c r="D498" s="1019" t="e">
        <f>SUMIF('[1]ПО КОРИСНИЦИМА'!$G$3:$G$11609,"Свега за пројекат 1301-П25:",'[1]ПО КОРИСНИЦИМА'!$H$3:$H$11609)</f>
        <v>#VALUE!</v>
      </c>
      <c r="E498" s="1013" t="e">
        <f t="shared" si="14"/>
        <v>#VALUE!</v>
      </c>
      <c r="F498" s="1020" t="e">
        <f>SUMIF('[1]ПО КОРИСНИЦИМА'!$G$3:$G$11609,"Свега за пројекат 1301-П25:",'[1]ПО КОРИСНИЦИМА'!$I$3:$I$11609)</f>
        <v>#VALUE!</v>
      </c>
      <c r="G498" s="1016" t="e">
        <f t="shared" si="15"/>
        <v>#VALUE!</v>
      </c>
      <c r="H498" s="1017"/>
    </row>
    <row r="499" spans="1:8" ht="12.75" hidden="1">
      <c r="A499" s="1030"/>
      <c r="B499" s="1030" t="s">
        <v>726</v>
      </c>
      <c r="C499" s="1015">
        <f>_xlfn.IFERROR(VLOOKUP(B499,'[1]ПО КОРИСНИЦИМА'!$C$3:$J$11609,5,FALSE),"")</f>
      </c>
      <c r="D499" s="1019" t="e">
        <f>SUMIF('[1]ПО КОРИСНИЦИМА'!$G$3:$G$11609,"Свега за пројекат 1301-П26:",'[1]ПО КОРИСНИЦИМА'!$H$3:$H$11609)</f>
        <v>#VALUE!</v>
      </c>
      <c r="E499" s="1013" t="e">
        <f t="shared" si="14"/>
        <v>#VALUE!</v>
      </c>
      <c r="F499" s="1020" t="e">
        <f>SUMIF('[1]ПО КОРИСНИЦИМА'!$G$3:$G$11609,"Свега за пројекат 1301-П26:",'[1]ПО КОРИСНИЦИМА'!$I$3:$I$11609)</f>
        <v>#VALUE!</v>
      </c>
      <c r="G499" s="1016" t="e">
        <f t="shared" si="15"/>
        <v>#VALUE!</v>
      </c>
      <c r="H499" s="1017"/>
    </row>
    <row r="500" spans="1:8" ht="12.75" hidden="1">
      <c r="A500" s="1030"/>
      <c r="B500" s="1030" t="s">
        <v>727</v>
      </c>
      <c r="C500" s="1015">
        <f>_xlfn.IFERROR(VLOOKUP(B500,'[1]ПО КОРИСНИЦИМА'!$C$3:$J$11609,5,FALSE),"")</f>
      </c>
      <c r="D500" s="1019" t="e">
        <f>SUMIF('[1]ПО КОРИСНИЦИМА'!$G$3:$G$11609,"Свега за пројекат 1301-П27:",'[1]ПО КОРИСНИЦИМА'!$H$3:$H$11609)</f>
        <v>#VALUE!</v>
      </c>
      <c r="E500" s="1013" t="e">
        <f t="shared" si="14"/>
        <v>#VALUE!</v>
      </c>
      <c r="F500" s="1020" t="e">
        <f>SUMIF('[1]ПО КОРИСНИЦИМА'!$G$3:$G$11609,"Свега за пројекат 1301-П27:",'[1]ПО КОРИСНИЦИМА'!$I$3:$I$11609)</f>
        <v>#VALUE!</v>
      </c>
      <c r="G500" s="1016" t="e">
        <f t="shared" si="15"/>
        <v>#VALUE!</v>
      </c>
      <c r="H500" s="1017"/>
    </row>
    <row r="501" spans="1:8" ht="12.75" hidden="1">
      <c r="A501" s="1030"/>
      <c r="B501" s="1030" t="s">
        <v>728</v>
      </c>
      <c r="C501" s="1015">
        <f>_xlfn.IFERROR(VLOOKUP(B501,'[1]ПО КОРИСНИЦИМА'!$C$3:$J$11609,5,FALSE),"")</f>
      </c>
      <c r="D501" s="1019" t="e">
        <f>SUMIF('[1]ПО КОРИСНИЦИМА'!$G$3:$G$11609,"Свега за пројекат 1301-П28:",'[1]ПО КОРИСНИЦИМА'!$H$3:$H$11609)</f>
        <v>#VALUE!</v>
      </c>
      <c r="E501" s="1013" t="e">
        <f t="shared" si="14"/>
        <v>#VALUE!</v>
      </c>
      <c r="F501" s="1020" t="e">
        <f>SUMIF('[1]ПО КОРИСНИЦИМА'!$G$3:$G$11609,"Свега за пројекат 1301-П28:",'[1]ПО КОРИСНИЦИМА'!$I$3:$I$11609)</f>
        <v>#VALUE!</v>
      </c>
      <c r="G501" s="1016" t="e">
        <f t="shared" si="15"/>
        <v>#VALUE!</v>
      </c>
      <c r="H501" s="1017"/>
    </row>
    <row r="502" spans="1:8" ht="12.75" hidden="1">
      <c r="A502" s="1030"/>
      <c r="B502" s="1030" t="s">
        <v>729</v>
      </c>
      <c r="C502" s="1015">
        <f>_xlfn.IFERROR(VLOOKUP(B502,'[1]ПО КОРИСНИЦИМА'!$C$3:$J$11609,5,FALSE),"")</f>
      </c>
      <c r="D502" s="1019" t="e">
        <f>SUMIF('[1]ПО КОРИСНИЦИМА'!$G$3:$G$11609,"Свега за пројекат 1301-П29:",'[1]ПО КОРИСНИЦИМА'!$H$3:$H$11609)</f>
        <v>#VALUE!</v>
      </c>
      <c r="E502" s="1013" t="e">
        <f t="shared" si="14"/>
        <v>#VALUE!</v>
      </c>
      <c r="F502" s="1020" t="e">
        <f>SUMIF('[1]ПО КОРИСНИЦИМА'!$G$3:$G$11609,"Свега за пројекат 1301-П29:",'[1]ПО КОРИСНИЦИМА'!$I$3:$I$11609)</f>
        <v>#VALUE!</v>
      </c>
      <c r="G502" s="1016" t="e">
        <f t="shared" si="15"/>
        <v>#VALUE!</v>
      </c>
      <c r="H502" s="1017"/>
    </row>
    <row r="503" spans="1:8" ht="12.75" hidden="1">
      <c r="A503" s="1030"/>
      <c r="B503" s="1030" t="s">
        <v>730</v>
      </c>
      <c r="C503" s="1015">
        <f>_xlfn.IFERROR(VLOOKUP(B503,'[1]ПО КОРИСНИЦИМА'!$C$3:$J$11609,5,FALSE),"")</f>
      </c>
      <c r="D503" s="1019" t="e">
        <f>SUMIF('[1]ПО КОРИСНИЦИМА'!$G$3:$G$11609,"Свега за пројекат 1301-П30:",'[1]ПО КОРИСНИЦИМА'!$H$3:$H$11609)</f>
        <v>#VALUE!</v>
      </c>
      <c r="E503" s="1013" t="e">
        <f t="shared" si="14"/>
        <v>#VALUE!</v>
      </c>
      <c r="F503" s="1020" t="e">
        <f>SUMIF('[1]ПО КОРИСНИЦИМА'!$G$3:$G$11609,"Свега за пројекат 1301-П30:",'[1]ПО КОРИСНИЦИМА'!$I$3:$I$11609)</f>
        <v>#VALUE!</v>
      </c>
      <c r="G503" s="1016" t="e">
        <f t="shared" si="15"/>
        <v>#VALUE!</v>
      </c>
      <c r="H503" s="1017"/>
    </row>
    <row r="504" spans="1:8" ht="12.75" hidden="1">
      <c r="A504" s="1030"/>
      <c r="B504" s="1030" t="s">
        <v>731</v>
      </c>
      <c r="C504" s="1015">
        <f>_xlfn.IFERROR(VLOOKUP(B504,'[1]ПО КОРИСНИЦИМА'!$C$3:$J$11609,5,FALSE),"")</f>
      </c>
      <c r="D504" s="1019" t="e">
        <f>SUMIF('[1]ПО КОРИСНИЦИМА'!$G$3:$G$11609,"Свега за пројекат 1301-П31:",'[1]ПО КОРИСНИЦИМА'!$H$3:$H$11609)</f>
        <v>#VALUE!</v>
      </c>
      <c r="E504" s="1013" t="e">
        <f t="shared" si="14"/>
        <v>#VALUE!</v>
      </c>
      <c r="F504" s="1020" t="e">
        <f>SUMIF('[1]ПО КОРИСНИЦИМА'!$G$3:$G$11609,"Свега за пројекат 1301-П31:",'[1]ПО КОРИСНИЦИМА'!$I$3:$I$11609)</f>
        <v>#VALUE!</v>
      </c>
      <c r="G504" s="1016" t="e">
        <f t="shared" si="15"/>
        <v>#VALUE!</v>
      </c>
      <c r="H504" s="1017"/>
    </row>
    <row r="505" spans="1:8" ht="12.75" hidden="1">
      <c r="A505" s="1030"/>
      <c r="B505" s="1030" t="s">
        <v>732</v>
      </c>
      <c r="C505" s="1015">
        <f>_xlfn.IFERROR(VLOOKUP(B505,'[1]ПО КОРИСНИЦИМА'!$C$3:$J$11609,5,FALSE),"")</f>
      </c>
      <c r="D505" s="1019" t="e">
        <f>SUMIF('[1]ПО КОРИСНИЦИМА'!$G$3:$G$11609,"Свега за пројекат 1301-П32:",'[1]ПО КОРИСНИЦИМА'!$H$3:$H$11609)</f>
        <v>#VALUE!</v>
      </c>
      <c r="E505" s="1013" t="e">
        <f t="shared" si="14"/>
        <v>#VALUE!</v>
      </c>
      <c r="F505" s="1020" t="e">
        <f>SUMIF('[1]ПО КОРИСНИЦИМА'!$G$3:$G$11609,"Свега за пројекат 1301-П32:",'[1]ПО КОРИСНИЦИМА'!$I$3:$I$11609)</f>
        <v>#VALUE!</v>
      </c>
      <c r="G505" s="1016" t="e">
        <f t="shared" si="15"/>
        <v>#VALUE!</v>
      </c>
      <c r="H505" s="1017"/>
    </row>
    <row r="506" spans="1:8" ht="12.75" hidden="1">
      <c r="A506" s="1030"/>
      <c r="B506" s="1030" t="s">
        <v>733</v>
      </c>
      <c r="C506" s="1015">
        <f>_xlfn.IFERROR(VLOOKUP(B506,'[1]ПО КОРИСНИЦИМА'!$C$3:$J$11609,5,FALSE),"")</f>
      </c>
      <c r="D506" s="1019" t="e">
        <f>SUMIF('[1]ПО КОРИСНИЦИМА'!$G$3:$G$11609,"Свега за пројекат 1301-П33:",'[1]ПО КОРИСНИЦИМА'!$H$3:$H$11609)</f>
        <v>#VALUE!</v>
      </c>
      <c r="E506" s="1013" t="e">
        <f t="shared" si="14"/>
        <v>#VALUE!</v>
      </c>
      <c r="F506" s="1020" t="e">
        <f>SUMIF('[1]ПО КОРИСНИЦИМА'!$G$3:$G$11609,"Свега за пројекат 1301-П33:",'[1]ПО КОРИСНИЦИМА'!$I$3:$I$11609)</f>
        <v>#VALUE!</v>
      </c>
      <c r="G506" s="1016" t="e">
        <f t="shared" si="15"/>
        <v>#VALUE!</v>
      </c>
      <c r="H506" s="1017"/>
    </row>
    <row r="507" spans="1:8" ht="12.75" hidden="1">
      <c r="A507" s="1030"/>
      <c r="B507" s="1030" t="s">
        <v>734</v>
      </c>
      <c r="C507" s="1015">
        <f>_xlfn.IFERROR(VLOOKUP(B507,'[1]ПО КОРИСНИЦИМА'!$C$3:$J$11609,5,FALSE),"")</f>
      </c>
      <c r="D507" s="1019" t="e">
        <f>SUMIF('[1]ПО КОРИСНИЦИМА'!$G$3:$G$11609,"Свега за пројекат 1301-П34:",'[1]ПО КОРИСНИЦИМА'!$H$3:$H$11609)</f>
        <v>#VALUE!</v>
      </c>
      <c r="E507" s="1013" t="e">
        <f t="shared" si="14"/>
        <v>#VALUE!</v>
      </c>
      <c r="F507" s="1020" t="e">
        <f>SUMIF('[1]ПО КОРИСНИЦИМА'!$G$3:$G$11609,"Свега за пројекат 1301-П34:",'[1]ПО КОРИСНИЦИМА'!$I$3:$I$11609)</f>
        <v>#VALUE!</v>
      </c>
      <c r="G507" s="1016" t="e">
        <f t="shared" si="15"/>
        <v>#VALUE!</v>
      </c>
      <c r="H507" s="1017"/>
    </row>
    <row r="508" spans="1:8" ht="12.75" hidden="1">
      <c r="A508" s="1030"/>
      <c r="B508" s="1030" t="s">
        <v>735</v>
      </c>
      <c r="C508" s="1015">
        <f>_xlfn.IFERROR(VLOOKUP(B508,'[1]ПО КОРИСНИЦИМА'!$C$3:$J$11609,5,FALSE),"")</f>
      </c>
      <c r="D508" s="1019" t="e">
        <f>SUMIF('[1]ПО КОРИСНИЦИМА'!$G$3:$G$11609,"Свега за пројекат 1301-П35:",'[1]ПО КОРИСНИЦИМА'!$H$3:$H$11609)</f>
        <v>#VALUE!</v>
      </c>
      <c r="E508" s="1013" t="e">
        <f t="shared" si="14"/>
        <v>#VALUE!</v>
      </c>
      <c r="F508" s="1020" t="e">
        <f>SUMIF('[1]ПО КОРИСНИЦИМА'!$G$3:$G$11609,"Свега за пројекат 1301-П35:",'[1]ПО КОРИСНИЦИМА'!$I$3:$I$11609)</f>
        <v>#VALUE!</v>
      </c>
      <c r="G508" s="1016" t="e">
        <f t="shared" si="15"/>
        <v>#VALUE!</v>
      </c>
      <c r="H508" s="1017"/>
    </row>
    <row r="509" spans="1:8" ht="12.75" hidden="1">
      <c r="A509" s="1030"/>
      <c r="B509" s="1030" t="s">
        <v>736</v>
      </c>
      <c r="C509" s="1015">
        <f>_xlfn.IFERROR(VLOOKUP(B509,'[1]ПО КОРИСНИЦИМА'!$C$3:$J$11609,5,FALSE),"")</f>
      </c>
      <c r="D509" s="1019" t="e">
        <f>SUMIF('[1]ПО КОРИСНИЦИМА'!$G$3:$G$11609,"Свега за пројекат 1301-П36:",'[1]ПО КОРИСНИЦИМА'!$H$3:$H$11609)</f>
        <v>#VALUE!</v>
      </c>
      <c r="E509" s="1013" t="e">
        <f t="shared" si="14"/>
        <v>#VALUE!</v>
      </c>
      <c r="F509" s="1020" t="e">
        <f>SUMIF('[1]ПО КОРИСНИЦИМА'!$G$3:$G$11609,"Свега за пројекат 1301-П36:",'[1]ПО КОРИСНИЦИМА'!$I$3:$I$11609)</f>
        <v>#VALUE!</v>
      </c>
      <c r="G509" s="1016" t="e">
        <f t="shared" si="15"/>
        <v>#VALUE!</v>
      </c>
      <c r="H509" s="1017"/>
    </row>
    <row r="510" spans="1:8" ht="12.75" hidden="1">
      <c r="A510" s="1030"/>
      <c r="B510" s="1030" t="s">
        <v>737</v>
      </c>
      <c r="C510" s="1015">
        <f>_xlfn.IFERROR(VLOOKUP(B510,'[1]ПО КОРИСНИЦИМА'!$C$3:$J$11609,5,FALSE),"")</f>
      </c>
      <c r="D510" s="1019" t="e">
        <f>SUMIF('[1]ПО КОРИСНИЦИМА'!$G$3:$G$11609,"Свега за пројекат 1301-П37:",'[1]ПО КОРИСНИЦИМА'!$H$3:$H$11609)</f>
        <v>#VALUE!</v>
      </c>
      <c r="E510" s="1013" t="e">
        <f t="shared" si="14"/>
        <v>#VALUE!</v>
      </c>
      <c r="F510" s="1020" t="e">
        <f>SUMIF('[1]ПО КОРИСНИЦИМА'!$G$3:$G$11609,"Свега за пројекат 1301-П37:",'[1]ПО КОРИСНИЦИМА'!$I$3:$I$11609)</f>
        <v>#VALUE!</v>
      </c>
      <c r="G510" s="1016" t="e">
        <f t="shared" si="15"/>
        <v>#VALUE!</v>
      </c>
      <c r="H510" s="1017"/>
    </row>
    <row r="511" spans="1:8" ht="12.75" hidden="1">
      <c r="A511" s="1030"/>
      <c r="B511" s="1030" t="s">
        <v>738</v>
      </c>
      <c r="C511" s="1015">
        <f>_xlfn.IFERROR(VLOOKUP(B511,'[1]ПО КОРИСНИЦИМА'!$C$3:$J$11609,5,FALSE),"")</f>
      </c>
      <c r="D511" s="1019" t="e">
        <f>SUMIF('[1]ПО КОРИСНИЦИМА'!$G$3:$G$11609,"Свега за пројекат 1301-П38:",'[1]ПО КОРИСНИЦИМА'!$H$3:$H$11609)</f>
        <v>#VALUE!</v>
      </c>
      <c r="E511" s="1013" t="e">
        <f t="shared" si="14"/>
        <v>#VALUE!</v>
      </c>
      <c r="F511" s="1020" t="e">
        <f>SUMIF('[1]ПО КОРИСНИЦИМА'!$G$3:$G$11609,"Свега за пројекат 1301-П38:",'[1]ПО КОРИСНИЦИМА'!$I$3:$I$11609)</f>
        <v>#VALUE!</v>
      </c>
      <c r="G511" s="1016" t="e">
        <f t="shared" si="15"/>
        <v>#VALUE!</v>
      </c>
      <c r="H511" s="1017"/>
    </row>
    <row r="512" spans="1:8" ht="12.75" hidden="1">
      <c r="A512" s="1030"/>
      <c r="B512" s="1030" t="s">
        <v>739</v>
      </c>
      <c r="C512" s="1015">
        <f>_xlfn.IFERROR(VLOOKUP(B512,'[1]ПО КОРИСНИЦИМА'!$C$3:$J$11609,5,FALSE),"")</f>
      </c>
      <c r="D512" s="1019" t="e">
        <f>SUMIF('[1]ПО КОРИСНИЦИМА'!$G$3:$G$11609,"Свега за пројекат 1301-П39:",'[1]ПО КОРИСНИЦИМА'!$H$3:$H$11609)</f>
        <v>#VALUE!</v>
      </c>
      <c r="E512" s="1013" t="e">
        <f t="shared" si="14"/>
        <v>#VALUE!</v>
      </c>
      <c r="F512" s="1020" t="e">
        <f>SUMIF('[1]ПО КОРИСНИЦИМА'!$G$3:$G$11609,"Свега за пројекат 1301-П39:",'[1]ПО КОРИСНИЦИМА'!$I$3:$I$11609)</f>
        <v>#VALUE!</v>
      </c>
      <c r="G512" s="1016" t="e">
        <f t="shared" si="15"/>
        <v>#VALUE!</v>
      </c>
      <c r="H512" s="1017"/>
    </row>
    <row r="513" spans="1:8" ht="12.75" hidden="1">
      <c r="A513" s="1030"/>
      <c r="B513" s="1030" t="s">
        <v>740</v>
      </c>
      <c r="C513" s="1015">
        <f>_xlfn.IFERROR(VLOOKUP(B513,'[1]ПО КОРИСНИЦИМА'!$C$3:$J$11609,5,FALSE),"")</f>
      </c>
      <c r="D513" s="1019" t="e">
        <f>SUMIF('[1]ПО КОРИСНИЦИМА'!$G$3:$G$11609,"Свега за пројекат 1301-П40:",'[1]ПО КОРИСНИЦИМА'!$H$3:$H$11609)</f>
        <v>#VALUE!</v>
      </c>
      <c r="E513" s="1013" t="e">
        <f t="shared" si="14"/>
        <v>#VALUE!</v>
      </c>
      <c r="F513" s="1020" t="e">
        <f>SUMIF('[1]ПО КОРИСНИЦИМА'!$G$3:$G$11609,"Свега за пројекат 1301-П40:",'[1]ПО КОРИСНИЦИМА'!$I$3:$I$11609)</f>
        <v>#VALUE!</v>
      </c>
      <c r="G513" s="1016" t="e">
        <f t="shared" si="15"/>
        <v>#VALUE!</v>
      </c>
      <c r="H513" s="1017"/>
    </row>
    <row r="514" spans="1:8" ht="12.75" hidden="1">
      <c r="A514" s="1030"/>
      <c r="B514" s="1030" t="s">
        <v>741</v>
      </c>
      <c r="C514" s="1015">
        <f>_xlfn.IFERROR(VLOOKUP(B514,'[1]ПО КОРИСНИЦИМА'!$C$3:$J$11609,5,FALSE),"")</f>
      </c>
      <c r="D514" s="1019" t="e">
        <f>SUMIF('[1]ПО КОРИСНИЦИМА'!$G$3:$G$11609,"Свега за пројекат 1301-П41:",'[1]ПО КОРИСНИЦИМА'!$H$3:$H$11609)</f>
        <v>#VALUE!</v>
      </c>
      <c r="E514" s="1013" t="e">
        <f t="shared" si="14"/>
        <v>#VALUE!</v>
      </c>
      <c r="F514" s="1020" t="e">
        <f>SUMIF('[1]ПО КОРИСНИЦИМА'!$G$3:$G$11609,"Свега за пројекат 1301-П41:",'[1]ПО КОРИСНИЦИМА'!$I$3:$I$11609)</f>
        <v>#VALUE!</v>
      </c>
      <c r="G514" s="1016" t="e">
        <f t="shared" si="15"/>
        <v>#VALUE!</v>
      </c>
      <c r="H514" s="1017"/>
    </row>
    <row r="515" spans="1:8" ht="12.75" hidden="1">
      <c r="A515" s="1030"/>
      <c r="B515" s="1030" t="s">
        <v>742</v>
      </c>
      <c r="C515" s="1015">
        <f>_xlfn.IFERROR(VLOOKUP(B515,'[1]ПО КОРИСНИЦИМА'!$C$3:$J$11609,5,FALSE),"")</f>
      </c>
      <c r="D515" s="1019" t="e">
        <f>SUMIF('[1]ПО КОРИСНИЦИМА'!$G$3:$G$11609,"Свега за пројекат 1301-П42:",'[1]ПО КОРИСНИЦИМА'!$H$3:$H$11609)</f>
        <v>#VALUE!</v>
      </c>
      <c r="E515" s="1013" t="e">
        <f t="shared" si="14"/>
        <v>#VALUE!</v>
      </c>
      <c r="F515" s="1020" t="e">
        <f>SUMIF('[1]ПО КОРИСНИЦИМА'!$G$3:$G$11609,"Свега за пројекат 1301-П42:",'[1]ПО КОРИСНИЦИМА'!$I$3:$I$11609)</f>
        <v>#VALUE!</v>
      </c>
      <c r="G515" s="1016" t="e">
        <f t="shared" si="15"/>
        <v>#VALUE!</v>
      </c>
      <c r="H515" s="1017"/>
    </row>
    <row r="516" spans="1:8" ht="12.75" hidden="1">
      <c r="A516" s="1030"/>
      <c r="B516" s="1030" t="s">
        <v>743</v>
      </c>
      <c r="C516" s="1015">
        <f>_xlfn.IFERROR(VLOOKUP(B516,'[1]ПО КОРИСНИЦИМА'!$C$3:$J$11609,5,FALSE),"")</f>
      </c>
      <c r="D516" s="1019" t="e">
        <f>SUMIF('[1]ПО КОРИСНИЦИМА'!$G$3:$G$11609,"Свега за пројекат 1301-П43:",'[1]ПО КОРИСНИЦИМА'!$H$3:$H$11609)</f>
        <v>#VALUE!</v>
      </c>
      <c r="E516" s="1013" t="e">
        <f t="shared" si="14"/>
        <v>#VALUE!</v>
      </c>
      <c r="F516" s="1020" t="e">
        <f>SUMIF('[1]ПО КОРИСНИЦИМА'!$G$3:$G$11609,"Свега за пројекат 1301-П43:",'[1]ПО КОРИСНИЦИМА'!$I$3:$I$11609)</f>
        <v>#VALUE!</v>
      </c>
      <c r="G516" s="1016" t="e">
        <f t="shared" si="15"/>
        <v>#VALUE!</v>
      </c>
      <c r="H516" s="1017"/>
    </row>
    <row r="517" spans="1:8" ht="12.75" hidden="1">
      <c r="A517" s="1030"/>
      <c r="B517" s="1030" t="s">
        <v>744</v>
      </c>
      <c r="C517" s="1015">
        <f>_xlfn.IFERROR(VLOOKUP(B517,'[1]ПО КОРИСНИЦИМА'!$C$3:$J$11609,5,FALSE),"")</f>
      </c>
      <c r="D517" s="1019" t="e">
        <f>SUMIF('[1]ПО КОРИСНИЦИМА'!$G$3:$G$11609,"Свега за пројекат 1301-П44:",'[1]ПО КОРИСНИЦИМА'!$H$3:$H$11609)</f>
        <v>#VALUE!</v>
      </c>
      <c r="E517" s="1013" t="e">
        <f t="shared" si="14"/>
        <v>#VALUE!</v>
      </c>
      <c r="F517" s="1020" t="e">
        <f>SUMIF('[1]ПО КОРИСНИЦИМА'!$G$3:$G$11609,"Свега за пројекат 1301-П44:",'[1]ПО КОРИСНИЦИМА'!$I$3:$I$11609)</f>
        <v>#VALUE!</v>
      </c>
      <c r="G517" s="1016" t="e">
        <f t="shared" si="15"/>
        <v>#VALUE!</v>
      </c>
      <c r="H517" s="1017"/>
    </row>
    <row r="518" spans="1:8" ht="12.75" hidden="1">
      <c r="A518" s="1030"/>
      <c r="B518" s="1030" t="s">
        <v>745</v>
      </c>
      <c r="C518" s="1015">
        <f>_xlfn.IFERROR(VLOOKUP(B518,'[1]ПО КОРИСНИЦИМА'!$C$3:$J$11609,5,FALSE),"")</f>
      </c>
      <c r="D518" s="1019" t="e">
        <f>SUMIF('[1]ПО КОРИСНИЦИМА'!$G$3:$G$11609,"Свега за пројекат 1301-П45:",'[1]ПО КОРИСНИЦИМА'!$H$3:$H$11609)</f>
        <v>#VALUE!</v>
      </c>
      <c r="E518" s="1013" t="e">
        <f aca="true" t="shared" si="16" ref="E518:E581">D518/453286579</f>
        <v>#VALUE!</v>
      </c>
      <c r="F518" s="1020" t="e">
        <f>SUMIF('[1]ПО КОРИСНИЦИМА'!$G$3:$G$11609,"Свега за пројекат 1301-П45:",'[1]ПО КОРИСНИЦИМА'!$I$3:$I$11609)</f>
        <v>#VALUE!</v>
      </c>
      <c r="G518" s="1016" t="e">
        <f aca="true" t="shared" si="17" ref="G518:G580">D518+F518</f>
        <v>#VALUE!</v>
      </c>
      <c r="H518" s="1017"/>
    </row>
    <row r="519" spans="1:8" ht="12.75" hidden="1">
      <c r="A519" s="1030"/>
      <c r="B519" s="1030" t="s">
        <v>746</v>
      </c>
      <c r="C519" s="1015">
        <f>_xlfn.IFERROR(VLOOKUP(B519,'[1]ПО КОРИСНИЦИМА'!$C$3:$J$11609,5,FALSE),"")</f>
      </c>
      <c r="D519" s="1019" t="e">
        <f>SUMIF('[1]ПО КОРИСНИЦИМА'!$G$3:$G$11609,"Свега за пројекат 1301-П46:",'[1]ПО КОРИСНИЦИМА'!$H$3:$H$11609)</f>
        <v>#VALUE!</v>
      </c>
      <c r="E519" s="1013" t="e">
        <f t="shared" si="16"/>
        <v>#VALUE!</v>
      </c>
      <c r="F519" s="1020" t="e">
        <f>SUMIF('[1]ПО КОРИСНИЦИМА'!$G$3:$G$11609,"Свега за пројекат 1301-П46:",'[1]ПО КОРИСНИЦИМА'!$I$3:$I$11609)</f>
        <v>#VALUE!</v>
      </c>
      <c r="G519" s="1016" t="e">
        <f t="shared" si="17"/>
        <v>#VALUE!</v>
      </c>
      <c r="H519" s="1017"/>
    </row>
    <row r="520" spans="1:8" ht="12.75" hidden="1">
      <c r="A520" s="1030"/>
      <c r="B520" s="1030" t="s">
        <v>747</v>
      </c>
      <c r="C520" s="1015">
        <f>_xlfn.IFERROR(VLOOKUP(B520,'[1]ПО КОРИСНИЦИМА'!$C$3:$J$11609,5,FALSE),"")</f>
      </c>
      <c r="D520" s="1019" t="e">
        <f>SUMIF('[1]ПО КОРИСНИЦИМА'!$G$3:$G$11609,"Свега за пројекат 1301-П47:",'[1]ПО КОРИСНИЦИМА'!$H$3:$H$11609)</f>
        <v>#VALUE!</v>
      </c>
      <c r="E520" s="1013" t="e">
        <f t="shared" si="16"/>
        <v>#VALUE!</v>
      </c>
      <c r="F520" s="1020" t="e">
        <f>SUMIF('[1]ПО КОРИСНИЦИМА'!$G$3:$G$11609,"Свега за пројекат 1301-П47:",'[1]ПО КОРИСНИЦИМА'!$I$3:$I$11609)</f>
        <v>#VALUE!</v>
      </c>
      <c r="G520" s="1016" t="e">
        <f t="shared" si="17"/>
        <v>#VALUE!</v>
      </c>
      <c r="H520" s="1017"/>
    </row>
    <row r="521" spans="1:8" ht="12.75" hidden="1">
      <c r="A521" s="1030"/>
      <c r="B521" s="1030" t="s">
        <v>748</v>
      </c>
      <c r="C521" s="1015">
        <f>_xlfn.IFERROR(VLOOKUP(B521,'[1]ПО КОРИСНИЦИМА'!$C$3:$J$11609,5,FALSE),"")</f>
      </c>
      <c r="D521" s="1019" t="e">
        <f>SUMIF('[1]ПО КОРИСНИЦИМА'!$G$3:$G$11609,"Свега за пројекат 1301-П48:",'[1]ПО КОРИСНИЦИМА'!$H$3:$H$11609)</f>
        <v>#VALUE!</v>
      </c>
      <c r="E521" s="1013" t="e">
        <f t="shared" si="16"/>
        <v>#VALUE!</v>
      </c>
      <c r="F521" s="1020" t="e">
        <f>SUMIF('[1]ПО КОРИСНИЦИМА'!$G$3:$G$11609,"Свега за пројекат 1301-П48:",'[1]ПО КОРИСНИЦИМА'!$I$3:$I$11609)</f>
        <v>#VALUE!</v>
      </c>
      <c r="G521" s="1016" t="e">
        <f t="shared" si="17"/>
        <v>#VALUE!</v>
      </c>
      <c r="H521" s="1017"/>
    </row>
    <row r="522" spans="1:8" ht="12.75" hidden="1">
      <c r="A522" s="1030"/>
      <c r="B522" s="1030" t="s">
        <v>749</v>
      </c>
      <c r="C522" s="1015">
        <f>_xlfn.IFERROR(VLOOKUP(B522,'[1]ПО КОРИСНИЦИМА'!$C$3:$J$11609,5,FALSE),"")</f>
      </c>
      <c r="D522" s="1019" t="e">
        <f>SUMIF('[1]ПО КОРИСНИЦИМА'!$G$3:$G$11609,"Свега за пројекат 1301-П49:",'[1]ПО КОРИСНИЦИМА'!$H$3:$H$11609)</f>
        <v>#VALUE!</v>
      </c>
      <c r="E522" s="1013" t="e">
        <f t="shared" si="16"/>
        <v>#VALUE!</v>
      </c>
      <c r="F522" s="1020" t="e">
        <f>SUMIF('[1]ПО КОРИСНИЦИМА'!$G$3:$G$11609,"Свега за пројекат 1301-П49:",'[1]ПО КОРИСНИЦИМА'!$I$3:$I$11609)</f>
        <v>#VALUE!</v>
      </c>
      <c r="G522" s="1016" t="e">
        <f t="shared" si="17"/>
        <v>#VALUE!</v>
      </c>
      <c r="H522" s="1017"/>
    </row>
    <row r="523" spans="1:8" ht="12.75" hidden="1">
      <c r="A523" s="1030"/>
      <c r="B523" s="1030" t="s">
        <v>750</v>
      </c>
      <c r="C523" s="1015">
        <f>_xlfn.IFERROR(VLOOKUP(B523,'[1]ПО КОРИСНИЦИМА'!$C$3:$J$11609,5,FALSE),"")</f>
      </c>
      <c r="D523" s="1019" t="e">
        <f>SUMIF('[1]ПО КОРИСНИЦИМА'!$G$3:$G$11609,"Свега за пројекат 1301-П50:",'[1]ПО КОРИСНИЦИМА'!$H$3:$H$11609)</f>
        <v>#VALUE!</v>
      </c>
      <c r="E523" s="1013" t="e">
        <f t="shared" si="16"/>
        <v>#VALUE!</v>
      </c>
      <c r="F523" s="1020" t="e">
        <f>SUMIF('[1]ПО КОРИСНИЦИМА'!$G$3:$G$11609,"Свега за пројекат 1301-П50:",'[1]ПО КОРИСНИЦИМА'!$I$3:$I$11609)</f>
        <v>#VALUE!</v>
      </c>
      <c r="G523" s="1016" t="e">
        <f t="shared" si="17"/>
        <v>#VALUE!</v>
      </c>
      <c r="H523" s="1017"/>
    </row>
    <row r="524" spans="1:8" s="320" customFormat="1" ht="12.75">
      <c r="A524" s="1009" t="s">
        <v>284</v>
      </c>
      <c r="B524" s="1010"/>
      <c r="C524" s="1011" t="s">
        <v>10</v>
      </c>
      <c r="D524" s="1012">
        <f>SUM(D525:D539)</f>
        <v>111069781</v>
      </c>
      <c r="E524" s="1013">
        <f t="shared" si="16"/>
        <v>0.2450321411347147</v>
      </c>
      <c r="F524" s="1012">
        <f>SUM(F525:F539)</f>
        <v>6637115</v>
      </c>
      <c r="G524" s="1012">
        <f t="shared" si="17"/>
        <v>117706896</v>
      </c>
      <c r="H524" s="1027"/>
    </row>
    <row r="525" spans="1:8" ht="24">
      <c r="A525" s="1038"/>
      <c r="B525" s="1035" t="s">
        <v>286</v>
      </c>
      <c r="C525" s="1046" t="s">
        <v>857</v>
      </c>
      <c r="D525" s="1016">
        <f>'Rashodi-2021'!M74</f>
        <v>86070000</v>
      </c>
      <c r="E525" s="1486">
        <f t="shared" si="16"/>
        <v>0.18987987729502134</v>
      </c>
      <c r="F525" s="1016">
        <f>'Rashodi-2021'!T74</f>
        <v>2952400</v>
      </c>
      <c r="G525" s="1040">
        <f t="shared" si="17"/>
        <v>89022400</v>
      </c>
      <c r="H525" s="1017" t="s">
        <v>1166</v>
      </c>
    </row>
    <row r="526" spans="1:8" ht="12.75">
      <c r="A526" s="1038"/>
      <c r="B526" s="1035" t="s">
        <v>302</v>
      </c>
      <c r="C526" s="1021" t="s">
        <v>1337</v>
      </c>
      <c r="D526" s="1016">
        <f>'Rashodi-2021'!M407+'Rashodi-2021'!M418+'Rashodi-2021'!M436+'Rashodi-2021'!M449+'Rashodi-2021'!M463+'Rashodi-2021'!M480+'Rashodi-2021'!M495</f>
        <v>17678781</v>
      </c>
      <c r="E526" s="1486">
        <f t="shared" si="16"/>
        <v>0.03900133341472702</v>
      </c>
      <c r="F526" s="1016">
        <f>'Rashodi-2021'!T495+'Rashodi-2021'!T480+'Rashodi-2021'!T463+'Rashodi-2021'!T449+'Rashodi-2021'!T436+'Rashodi-2021'!T418+'Rashodi-2021'!T405</f>
        <v>3684715</v>
      </c>
      <c r="G526" s="1040">
        <f t="shared" si="17"/>
        <v>21363496</v>
      </c>
      <c r="H526" s="1017" t="s">
        <v>1166</v>
      </c>
    </row>
    <row r="527" spans="1:8" ht="12.75" hidden="1">
      <c r="A527" s="1038"/>
      <c r="B527" s="1035" t="s">
        <v>858</v>
      </c>
      <c r="C527" s="1021" t="s">
        <v>859</v>
      </c>
      <c r="D527" s="1016"/>
      <c r="E527" s="1486">
        <f t="shared" si="16"/>
        <v>0</v>
      </c>
      <c r="F527" s="1016"/>
      <c r="G527" s="1040">
        <f t="shared" si="17"/>
        <v>0</v>
      </c>
      <c r="H527" s="1017"/>
    </row>
    <row r="528" spans="1:8" ht="12.75">
      <c r="A528" s="1038"/>
      <c r="B528" s="1035" t="s">
        <v>860</v>
      </c>
      <c r="C528" s="1021" t="s">
        <v>1262</v>
      </c>
      <c r="D528" s="1016">
        <f>'Rashodi-2021'!M33</f>
        <v>591000</v>
      </c>
      <c r="E528" s="1486">
        <f t="shared" si="16"/>
        <v>0.0013038109385541724</v>
      </c>
      <c r="F528" s="1016"/>
      <c r="G528" s="1040">
        <f t="shared" si="17"/>
        <v>591000</v>
      </c>
      <c r="H528" s="1017" t="s">
        <v>1166</v>
      </c>
    </row>
    <row r="529" spans="1:8" ht="12.75" hidden="1">
      <c r="A529" s="1038"/>
      <c r="B529" s="1035" t="s">
        <v>861</v>
      </c>
      <c r="C529" s="1021" t="s">
        <v>1159</v>
      </c>
      <c r="D529" s="1016"/>
      <c r="E529" s="1486">
        <f t="shared" si="16"/>
        <v>0</v>
      </c>
      <c r="F529" s="1016"/>
      <c r="G529" s="1040">
        <f t="shared" si="17"/>
        <v>0</v>
      </c>
      <c r="H529" s="1017" t="s">
        <v>1166</v>
      </c>
    </row>
    <row r="530" spans="1:8" ht="12.75" hidden="1">
      <c r="A530" s="1038"/>
      <c r="B530" s="1035"/>
      <c r="C530" s="1021"/>
      <c r="D530" s="1016"/>
      <c r="E530" s="1486">
        <f t="shared" si="16"/>
        <v>0</v>
      </c>
      <c r="F530" s="1016"/>
      <c r="G530" s="1040">
        <f t="shared" si="17"/>
        <v>0</v>
      </c>
      <c r="H530" s="1017" t="s">
        <v>1166</v>
      </c>
    </row>
    <row r="531" spans="1:8" ht="12.75" hidden="1">
      <c r="A531" s="1038"/>
      <c r="B531" s="1035" t="s">
        <v>862</v>
      </c>
      <c r="C531" s="1021" t="s">
        <v>1158</v>
      </c>
      <c r="D531" s="1016"/>
      <c r="E531" s="1486">
        <f t="shared" si="16"/>
        <v>0</v>
      </c>
      <c r="F531" s="1016"/>
      <c r="G531" s="1040">
        <f t="shared" si="17"/>
        <v>0</v>
      </c>
      <c r="H531" s="1017" t="s">
        <v>1166</v>
      </c>
    </row>
    <row r="532" spans="1:8" ht="12.75">
      <c r="A532" s="1038"/>
      <c r="B532" s="1035" t="s">
        <v>862</v>
      </c>
      <c r="C532" s="1021" t="s">
        <v>1263</v>
      </c>
      <c r="D532" s="1016">
        <f>'Rashodi-2021'!M28</f>
        <v>200000</v>
      </c>
      <c r="E532" s="1486">
        <f t="shared" si="16"/>
        <v>0.00044122197582205494</v>
      </c>
      <c r="F532" s="1016">
        <v>0</v>
      </c>
      <c r="G532" s="1040">
        <f t="shared" si="17"/>
        <v>200000</v>
      </c>
      <c r="H532" s="1017" t="s">
        <v>1166</v>
      </c>
    </row>
    <row r="533" spans="1:8" ht="12.75" hidden="1">
      <c r="A533" s="1038"/>
      <c r="B533" s="1035" t="s">
        <v>863</v>
      </c>
      <c r="C533" s="1021" t="s">
        <v>864</v>
      </c>
      <c r="D533" s="1016"/>
      <c r="E533" s="1486">
        <f t="shared" si="16"/>
        <v>0</v>
      </c>
      <c r="F533" s="1016"/>
      <c r="G533" s="1040">
        <f t="shared" si="17"/>
        <v>0</v>
      </c>
      <c r="H533" s="1017" t="s">
        <v>1166</v>
      </c>
    </row>
    <row r="534" spans="1:8" ht="12.75">
      <c r="A534" s="1038"/>
      <c r="B534" s="1035" t="s">
        <v>863</v>
      </c>
      <c r="C534" s="1021" t="s">
        <v>1206</v>
      </c>
      <c r="D534" s="1016">
        <f>'Rashodi-2021'!M127</f>
        <v>500000</v>
      </c>
      <c r="E534" s="1486">
        <f t="shared" si="16"/>
        <v>0.0011030549395551373</v>
      </c>
      <c r="F534" s="1016">
        <f>'Rashodi-2021'!T127</f>
        <v>0</v>
      </c>
      <c r="G534" s="1040">
        <f t="shared" si="17"/>
        <v>500000</v>
      </c>
      <c r="H534" s="1017" t="s">
        <v>1166</v>
      </c>
    </row>
    <row r="535" spans="1:8" ht="12.75">
      <c r="A535" s="1038"/>
      <c r="B535" s="1035" t="s">
        <v>287</v>
      </c>
      <c r="C535" s="1021" t="s">
        <v>1207</v>
      </c>
      <c r="D535" s="1016">
        <f>'Rashodi-2021'!M124</f>
        <v>500000</v>
      </c>
      <c r="E535" s="1486">
        <f t="shared" si="16"/>
        <v>0.0011030549395551373</v>
      </c>
      <c r="F535" s="1016">
        <f>'Rashodi-2021'!T124</f>
        <v>0</v>
      </c>
      <c r="G535" s="1040">
        <f t="shared" si="17"/>
        <v>500000</v>
      </c>
      <c r="H535" s="1017" t="s">
        <v>1166</v>
      </c>
    </row>
    <row r="536" spans="1:8" ht="12.75" hidden="1">
      <c r="A536" s="1038"/>
      <c r="B536" s="1035" t="s">
        <v>751</v>
      </c>
      <c r="C536" s="1015">
        <f>_xlfn.IFERROR(VLOOKUP(B536,'[1]ПО КОРИСНИЦИМА'!$C$3:$J$11609,5,FALSE),"")</f>
      </c>
      <c r="D536" s="1019"/>
      <c r="E536" s="1486">
        <f t="shared" si="16"/>
        <v>0</v>
      </c>
      <c r="F536" s="1019"/>
      <c r="G536" s="1040">
        <f t="shared" si="17"/>
        <v>0</v>
      </c>
      <c r="H536" s="1017" t="s">
        <v>1166</v>
      </c>
    </row>
    <row r="537" spans="1:8" ht="12.75">
      <c r="A537" s="1038"/>
      <c r="B537" s="1035" t="s">
        <v>1208</v>
      </c>
      <c r="C537" s="1015" t="s">
        <v>1264</v>
      </c>
      <c r="D537" s="1019">
        <f>'Rashodi-2021'!M117</f>
        <v>2980000</v>
      </c>
      <c r="E537" s="1486">
        <f t="shared" si="16"/>
        <v>0.006574207439748619</v>
      </c>
      <c r="F537" s="1019">
        <f>'Rashodi-2021'!T117</f>
        <v>0</v>
      </c>
      <c r="G537" s="1040">
        <f t="shared" si="17"/>
        <v>2980000</v>
      </c>
      <c r="H537" s="1017" t="s">
        <v>1166</v>
      </c>
    </row>
    <row r="538" spans="1:8" ht="36">
      <c r="A538" s="1038"/>
      <c r="B538" s="1035" t="s">
        <v>751</v>
      </c>
      <c r="C538" s="1025" t="s">
        <v>1169</v>
      </c>
      <c r="D538" s="1019">
        <f>'Rashodi-2021'!M106</f>
        <v>2550000</v>
      </c>
      <c r="E538" s="1486">
        <f t="shared" si="16"/>
        <v>0.0056255801917312</v>
      </c>
      <c r="F538" s="1019">
        <f>'Rashodi-2021'!T106</f>
        <v>0</v>
      </c>
      <c r="G538" s="1040">
        <f t="shared" si="17"/>
        <v>2550000</v>
      </c>
      <c r="H538" s="1017" t="s">
        <v>1166</v>
      </c>
    </row>
    <row r="539" spans="1:8" ht="12.75">
      <c r="A539" s="1038"/>
      <c r="B539" s="1035" t="s">
        <v>752</v>
      </c>
      <c r="C539" s="1015" t="s">
        <v>1271</v>
      </c>
      <c r="D539" s="1019">
        <f>'Rashodi-2021'!M112</f>
        <v>0</v>
      </c>
      <c r="E539" s="1486">
        <f t="shared" si="16"/>
        <v>0</v>
      </c>
      <c r="F539" s="1020">
        <f>'Rashodi-2021'!T112</f>
        <v>0</v>
      </c>
      <c r="G539" s="1040">
        <f t="shared" si="17"/>
        <v>0</v>
      </c>
      <c r="H539" s="1017" t="s">
        <v>1166</v>
      </c>
    </row>
    <row r="540" spans="1:8" ht="12.75" hidden="1">
      <c r="A540" s="1038"/>
      <c r="B540" s="1035" t="s">
        <v>753</v>
      </c>
      <c r="C540" s="1015">
        <f>_xlfn.IFERROR(VLOOKUP(B540,'[1]ПО КОРИСНИЦИМА'!$C$3:$J$11609,5,FALSE),"")</f>
      </c>
      <c r="D540" s="1019"/>
      <c r="E540" s="1013">
        <f t="shared" si="16"/>
        <v>0</v>
      </c>
      <c r="F540" s="1020"/>
      <c r="G540" s="1040">
        <f t="shared" si="17"/>
        <v>0</v>
      </c>
      <c r="H540" s="1017"/>
    </row>
    <row r="541" spans="1:8" ht="12.75" hidden="1">
      <c r="A541" s="1038"/>
      <c r="B541" s="1035" t="s">
        <v>754</v>
      </c>
      <c r="C541" s="1015">
        <f>_xlfn.IFERROR(VLOOKUP(B541,'[1]ПО КОРИСНИЦИМА'!$C$3:$J$11609,5,FALSE),"")</f>
      </c>
      <c r="D541" s="1019"/>
      <c r="E541" s="1013">
        <f t="shared" si="16"/>
        <v>0</v>
      </c>
      <c r="F541" s="1020"/>
      <c r="G541" s="1040">
        <f t="shared" si="17"/>
        <v>0</v>
      </c>
      <c r="H541" s="1017"/>
    </row>
    <row r="542" spans="1:8" ht="12.75" hidden="1">
      <c r="A542" s="1038"/>
      <c r="B542" s="1035" t="s">
        <v>755</v>
      </c>
      <c r="C542" s="1015">
        <f>_xlfn.IFERROR(VLOOKUP(B542,'[1]ПО КОРИСНИЦИМА'!$C$3:$J$11609,5,FALSE),"")</f>
      </c>
      <c r="D542" s="1019"/>
      <c r="E542" s="1013">
        <f t="shared" si="16"/>
        <v>0</v>
      </c>
      <c r="F542" s="1020"/>
      <c r="G542" s="1040">
        <f t="shared" si="17"/>
        <v>0</v>
      </c>
      <c r="H542" s="1017"/>
    </row>
    <row r="543" spans="1:8" ht="12.75" hidden="1">
      <c r="A543" s="1038"/>
      <c r="B543" s="1035" t="s">
        <v>756</v>
      </c>
      <c r="C543" s="1015">
        <f>_xlfn.IFERROR(VLOOKUP(B543,'[1]ПО КОРИСНИЦИМА'!$C$3:$J$11609,5,FALSE),"")</f>
      </c>
      <c r="D543" s="1019"/>
      <c r="E543" s="1013">
        <f t="shared" si="16"/>
        <v>0</v>
      </c>
      <c r="F543" s="1020"/>
      <c r="G543" s="1040">
        <f t="shared" si="17"/>
        <v>0</v>
      </c>
      <c r="H543" s="1017"/>
    </row>
    <row r="544" spans="1:8" ht="12.75" hidden="1">
      <c r="A544" s="1038"/>
      <c r="B544" s="1035" t="s">
        <v>757</v>
      </c>
      <c r="C544" s="1015">
        <f>_xlfn.IFERROR(VLOOKUP(B544,'[1]ПО КОРИСНИЦИМА'!$C$3:$J$11609,5,FALSE),"")</f>
      </c>
      <c r="D544" s="1019"/>
      <c r="E544" s="1013">
        <f t="shared" si="16"/>
        <v>0</v>
      </c>
      <c r="F544" s="1020"/>
      <c r="G544" s="1040">
        <f t="shared" si="17"/>
        <v>0</v>
      </c>
      <c r="H544" s="1017"/>
    </row>
    <row r="545" spans="1:8" ht="12.75" hidden="1">
      <c r="A545" s="1038"/>
      <c r="B545" s="1035" t="s">
        <v>758</v>
      </c>
      <c r="C545" s="1015">
        <f>_xlfn.IFERROR(VLOOKUP(B545,'[1]ПО КОРИСНИЦИМА'!$C$3:$J$11609,5,FALSE),"")</f>
      </c>
      <c r="D545" s="1019" t="e">
        <f>SUMIF('[1]ПО КОРИСНИЦИМА'!$G$3:$G$11609,"Свега за пројекат 0602-П10:",'[1]ПО КОРИСНИЦИМА'!$H$3:$H$11609)</f>
        <v>#VALUE!</v>
      </c>
      <c r="E545" s="1013" t="e">
        <f t="shared" si="16"/>
        <v>#VALUE!</v>
      </c>
      <c r="F545" s="1020" t="e">
        <f>SUMIF('[1]ПО КОРИСНИЦИМА'!$G$3:$G$11609,"Свега за пројекат 0602-П10:",'[1]ПО КОРИСНИЦИМА'!$I$3:$I$11609)</f>
        <v>#VALUE!</v>
      </c>
      <c r="G545" s="1047" t="e">
        <f t="shared" si="17"/>
        <v>#VALUE!</v>
      </c>
      <c r="H545" s="1017"/>
    </row>
    <row r="546" spans="1:8" ht="12.75" hidden="1">
      <c r="A546" s="1038"/>
      <c r="B546" s="1035" t="s">
        <v>759</v>
      </c>
      <c r="C546" s="1015">
        <f>_xlfn.IFERROR(VLOOKUP(B546,'[1]ПО КОРИСНИЦИМА'!$C$3:$J$11609,5,FALSE),"")</f>
      </c>
      <c r="D546" s="1019" t="e">
        <f>SUMIF('[1]ПО КОРИСНИЦИМА'!$G$3:$G$11609,"Свега за пројекат 0602-П11:",'[1]ПО КОРИСНИЦИМА'!$H$3:$H$11609)</f>
        <v>#VALUE!</v>
      </c>
      <c r="E546" s="1013" t="e">
        <f t="shared" si="16"/>
        <v>#VALUE!</v>
      </c>
      <c r="F546" s="1020" t="e">
        <f>SUMIF('[1]ПО КОРИСНИЦИМА'!$G$3:$G$11609,"Свега за пројекат 0602-П11:",'[1]ПО КОРИСНИЦИМА'!$I$3:$I$11609)</f>
        <v>#VALUE!</v>
      </c>
      <c r="G546" s="1047" t="e">
        <f t="shared" si="17"/>
        <v>#VALUE!</v>
      </c>
      <c r="H546" s="1017"/>
    </row>
    <row r="547" spans="1:8" ht="12.75" hidden="1">
      <c r="A547" s="1038"/>
      <c r="B547" s="1035" t="s">
        <v>760</v>
      </c>
      <c r="C547" s="1015">
        <f>_xlfn.IFERROR(VLOOKUP(B547,'[1]ПО КОРИСНИЦИМА'!$C$3:$J$11609,5,FALSE),"")</f>
      </c>
      <c r="D547" s="1019" t="e">
        <f>SUMIF('[1]ПО КОРИСНИЦИМА'!$G$3:$G$11609,"Свега за пројекат 0602-П12:",'[1]ПО КОРИСНИЦИМА'!$H$3:$H$11609)</f>
        <v>#VALUE!</v>
      </c>
      <c r="E547" s="1013" t="e">
        <f t="shared" si="16"/>
        <v>#VALUE!</v>
      </c>
      <c r="F547" s="1020" t="e">
        <f>SUMIF('[1]ПО КОРИСНИЦИМА'!$G$3:$G$11609,"Свега за пројекат 0602-П12:",'[1]ПО КОРИСНИЦИМА'!$I$3:$I$11609)</f>
        <v>#VALUE!</v>
      </c>
      <c r="G547" s="1047" t="e">
        <f t="shared" si="17"/>
        <v>#VALUE!</v>
      </c>
      <c r="H547" s="1017"/>
    </row>
    <row r="548" spans="1:8" ht="12.75" hidden="1">
      <c r="A548" s="1038"/>
      <c r="B548" s="1035" t="s">
        <v>761</v>
      </c>
      <c r="C548" s="1015">
        <f>_xlfn.IFERROR(VLOOKUP(B548,'[1]ПО КОРИСНИЦИМА'!$C$3:$J$11609,5,FALSE),"")</f>
      </c>
      <c r="D548" s="1019" t="e">
        <f>SUMIF('[1]ПО КОРИСНИЦИМА'!$G$3:$G$11609,"Свега за пројекат 0602-П13:",'[1]ПО КОРИСНИЦИМА'!$H$3:$H$11609)</f>
        <v>#VALUE!</v>
      </c>
      <c r="E548" s="1013" t="e">
        <f t="shared" si="16"/>
        <v>#VALUE!</v>
      </c>
      <c r="F548" s="1020" t="e">
        <f>SUMIF('[1]ПО КОРИСНИЦИМА'!$G$3:$G$11609,"Свега за пројекат 0602-П13:",'[1]ПО КОРИСНИЦИМА'!$I$3:$I$11609)</f>
        <v>#VALUE!</v>
      </c>
      <c r="G548" s="1047" t="e">
        <f t="shared" si="17"/>
        <v>#VALUE!</v>
      </c>
      <c r="H548" s="1017"/>
    </row>
    <row r="549" spans="1:8" ht="12.75" hidden="1">
      <c r="A549" s="1038"/>
      <c r="B549" s="1035" t="s">
        <v>762</v>
      </c>
      <c r="C549" s="1015">
        <f>_xlfn.IFERROR(VLOOKUP(B549,'[1]ПО КОРИСНИЦИМА'!$C$3:$J$11609,5,FALSE),"")</f>
      </c>
      <c r="D549" s="1019" t="e">
        <f>SUMIF('[1]ПО КОРИСНИЦИМА'!$G$3:$G$11609,"Свега за пројекат 0602-П14:",'[1]ПО КОРИСНИЦИМА'!$H$3:$H$11609)</f>
        <v>#VALUE!</v>
      </c>
      <c r="E549" s="1013" t="e">
        <f t="shared" si="16"/>
        <v>#VALUE!</v>
      </c>
      <c r="F549" s="1020" t="e">
        <f>SUMIF('[1]ПО КОРИСНИЦИМА'!$G$3:$G$11609,"Свега за пројекат 0602-П14:",'[1]ПО КОРИСНИЦИМА'!$I$3:$I$11609)</f>
        <v>#VALUE!</v>
      </c>
      <c r="G549" s="1047" t="e">
        <f t="shared" si="17"/>
        <v>#VALUE!</v>
      </c>
      <c r="H549" s="1017"/>
    </row>
    <row r="550" spans="1:8" ht="12.75" hidden="1">
      <c r="A550" s="1038"/>
      <c r="B550" s="1035" t="s">
        <v>763</v>
      </c>
      <c r="C550" s="1015">
        <f>_xlfn.IFERROR(VLOOKUP(B550,'[1]ПО КОРИСНИЦИМА'!$C$3:$J$11609,5,FALSE),"")</f>
      </c>
      <c r="D550" s="1019" t="e">
        <f>SUMIF('[1]ПО КОРИСНИЦИМА'!$G$3:$G$11609,"Свега за пројекат 0602-П15:",'[1]ПО КОРИСНИЦИМА'!$H$3:$H$11609)</f>
        <v>#VALUE!</v>
      </c>
      <c r="E550" s="1013" t="e">
        <f t="shared" si="16"/>
        <v>#VALUE!</v>
      </c>
      <c r="F550" s="1020" t="e">
        <f>SUMIF('[1]ПО КОРИСНИЦИМА'!$G$3:$G$11609,"Свега за пројекат 0602-П15:",'[1]ПО КОРИСНИЦИМА'!$I$3:$I$11609)</f>
        <v>#VALUE!</v>
      </c>
      <c r="G550" s="1047" t="e">
        <f t="shared" si="17"/>
        <v>#VALUE!</v>
      </c>
      <c r="H550" s="1017"/>
    </row>
    <row r="551" spans="1:8" ht="12.75" hidden="1">
      <c r="A551" s="1038"/>
      <c r="B551" s="1035" t="s">
        <v>764</v>
      </c>
      <c r="C551" s="1015">
        <f>_xlfn.IFERROR(VLOOKUP(B551,'[1]ПО КОРИСНИЦИМА'!$C$3:$J$11609,5,FALSE),"")</f>
      </c>
      <c r="D551" s="1019" t="e">
        <f>SUMIF('[1]ПО КОРИСНИЦИМА'!$G$3:$G$11609,"Свега за пројекат 0602-П16:",'[1]ПО КОРИСНИЦИМА'!$H$3:$H$11609)</f>
        <v>#VALUE!</v>
      </c>
      <c r="E551" s="1013" t="e">
        <f t="shared" si="16"/>
        <v>#VALUE!</v>
      </c>
      <c r="F551" s="1020" t="e">
        <f>SUMIF('[1]ПО КОРИСНИЦИМА'!$G$3:$G$11609,"Свега за пројекат 0602-П16:",'[1]ПО КОРИСНИЦИМА'!$I$3:$I$11609)</f>
        <v>#VALUE!</v>
      </c>
      <c r="G551" s="1047" t="e">
        <f t="shared" si="17"/>
        <v>#VALUE!</v>
      </c>
      <c r="H551" s="1017"/>
    </row>
    <row r="552" spans="1:8" ht="12.75" hidden="1">
      <c r="A552" s="1038"/>
      <c r="B552" s="1035" t="s">
        <v>765</v>
      </c>
      <c r="C552" s="1015">
        <f>_xlfn.IFERROR(VLOOKUP(B552,'[1]ПО КОРИСНИЦИМА'!$C$3:$J$11609,5,FALSE),"")</f>
      </c>
      <c r="D552" s="1019" t="e">
        <f>SUMIF('[1]ПО КОРИСНИЦИМА'!$G$3:$G$11609,"Свега за пројекат 0602-П17:",'[1]ПО КОРИСНИЦИМА'!$H$3:$H$11609)</f>
        <v>#VALUE!</v>
      </c>
      <c r="E552" s="1013" t="e">
        <f t="shared" si="16"/>
        <v>#VALUE!</v>
      </c>
      <c r="F552" s="1020" t="e">
        <f>SUMIF('[1]ПО КОРИСНИЦИМА'!$G$3:$G$11609,"Свега за пројекат 0602-П17:",'[1]ПО КОРИСНИЦИМА'!$I$3:$I$11609)</f>
        <v>#VALUE!</v>
      </c>
      <c r="G552" s="1047" t="e">
        <f t="shared" si="17"/>
        <v>#VALUE!</v>
      </c>
      <c r="H552" s="1017"/>
    </row>
    <row r="553" spans="1:8" ht="12.75" hidden="1">
      <c r="A553" s="1038"/>
      <c r="B553" s="1035" t="s">
        <v>766</v>
      </c>
      <c r="C553" s="1015">
        <f>_xlfn.IFERROR(VLOOKUP(B553,'[1]ПО КОРИСНИЦИМА'!$C$3:$J$11609,5,FALSE),"")</f>
      </c>
      <c r="D553" s="1019" t="e">
        <f>SUMIF('[1]ПО КОРИСНИЦИМА'!$G$3:$G$11609,"Свега за пројекат 0602-П18:",'[1]ПО КОРИСНИЦИМА'!$H$3:$H$11609)</f>
        <v>#VALUE!</v>
      </c>
      <c r="E553" s="1013" t="e">
        <f t="shared" si="16"/>
        <v>#VALUE!</v>
      </c>
      <c r="F553" s="1020" t="e">
        <f>SUMIF('[1]ПО КОРИСНИЦИМА'!$G$3:$G$11609,"Свега за пројекат 0602-П18:",'[1]ПО КОРИСНИЦИМА'!$I$3:$I$11609)</f>
        <v>#VALUE!</v>
      </c>
      <c r="G553" s="1047" t="e">
        <f t="shared" si="17"/>
        <v>#VALUE!</v>
      </c>
      <c r="H553" s="1017"/>
    </row>
    <row r="554" spans="1:8" ht="12.75" hidden="1">
      <c r="A554" s="1038"/>
      <c r="B554" s="1035" t="s">
        <v>767</v>
      </c>
      <c r="C554" s="1015">
        <f>_xlfn.IFERROR(VLOOKUP(B554,'[1]ПО КОРИСНИЦИМА'!$C$3:$J$11609,5,FALSE),"")</f>
      </c>
      <c r="D554" s="1019" t="e">
        <f>SUMIF('[1]ПО КОРИСНИЦИМА'!$G$3:$G$11609,"Свега за пројекат 0602-П19:",'[1]ПО КОРИСНИЦИМА'!$H$3:$H$11609)</f>
        <v>#VALUE!</v>
      </c>
      <c r="E554" s="1013" t="e">
        <f t="shared" si="16"/>
        <v>#VALUE!</v>
      </c>
      <c r="F554" s="1020" t="e">
        <f>SUMIF('[1]ПО КОРИСНИЦИМА'!$G$3:$G$11609,"Свега за пројекат 0602-П19:",'[1]ПО КОРИСНИЦИМА'!$I$3:$I$11609)</f>
        <v>#VALUE!</v>
      </c>
      <c r="G554" s="1047" t="e">
        <f t="shared" si="17"/>
        <v>#VALUE!</v>
      </c>
      <c r="H554" s="1017"/>
    </row>
    <row r="555" spans="1:8" ht="12.75" hidden="1">
      <c r="A555" s="1038"/>
      <c r="B555" s="1035" t="s">
        <v>768</v>
      </c>
      <c r="C555" s="1015">
        <f>_xlfn.IFERROR(VLOOKUP(B555,'[1]ПО КОРИСНИЦИМА'!$C$3:$J$11609,5,FALSE),"")</f>
      </c>
      <c r="D555" s="1019" t="e">
        <f>SUMIF('[1]ПО КОРИСНИЦИМА'!$G$3:$G$11609,"Свега за пројекат 0602-П20:",'[1]ПО КОРИСНИЦИМА'!$H$3:$H$11609)</f>
        <v>#VALUE!</v>
      </c>
      <c r="E555" s="1013" t="e">
        <f t="shared" si="16"/>
        <v>#VALUE!</v>
      </c>
      <c r="F555" s="1020" t="e">
        <f>SUMIF('[1]ПО КОРИСНИЦИМА'!$G$3:$G$11609,"Свега за пројекат 0602-П20:",'[1]ПО КОРИСНИЦИМА'!$I$3:$I$11609)</f>
        <v>#VALUE!</v>
      </c>
      <c r="G555" s="1047" t="e">
        <f t="shared" si="17"/>
        <v>#VALUE!</v>
      </c>
      <c r="H555" s="1017"/>
    </row>
    <row r="556" spans="1:8" ht="12.75" hidden="1">
      <c r="A556" s="1038"/>
      <c r="B556" s="1035" t="s">
        <v>769</v>
      </c>
      <c r="C556" s="1015">
        <f>_xlfn.IFERROR(VLOOKUP(B556,'[1]ПО КОРИСНИЦИМА'!$C$3:$J$11609,5,FALSE),"")</f>
      </c>
      <c r="D556" s="1019" t="e">
        <f>SUMIF('[1]ПО КОРИСНИЦИМА'!$G$3:$G$11609,"Свега за пројекат 0602-П21:",'[1]ПО КОРИСНИЦИМА'!$H$3:$H$11609)</f>
        <v>#VALUE!</v>
      </c>
      <c r="E556" s="1013" t="e">
        <f t="shared" si="16"/>
        <v>#VALUE!</v>
      </c>
      <c r="F556" s="1020" t="e">
        <f>SUMIF('[1]ПО КОРИСНИЦИМА'!$G$3:$G$11609,"Свега за пројекат 0602-П21:",'[1]ПО КОРИСНИЦИМА'!$I$3:$I$11609)</f>
        <v>#VALUE!</v>
      </c>
      <c r="G556" s="1047" t="e">
        <f t="shared" si="17"/>
        <v>#VALUE!</v>
      </c>
      <c r="H556" s="1017"/>
    </row>
    <row r="557" spans="1:8" ht="12.75" hidden="1">
      <c r="A557" s="1038"/>
      <c r="B557" s="1035" t="s">
        <v>770</v>
      </c>
      <c r="C557" s="1015">
        <f>_xlfn.IFERROR(VLOOKUP(B557,'[1]ПО КОРИСНИЦИМА'!$C$3:$J$11609,5,FALSE),"")</f>
      </c>
      <c r="D557" s="1019" t="e">
        <f>SUMIF('[1]ПО КОРИСНИЦИМА'!$G$3:$G$11609,"Свега за пројекат 0602-П22:",'[1]ПО КОРИСНИЦИМА'!$H$3:$H$11609)</f>
        <v>#VALUE!</v>
      </c>
      <c r="E557" s="1013" t="e">
        <f t="shared" si="16"/>
        <v>#VALUE!</v>
      </c>
      <c r="F557" s="1020" t="e">
        <f>SUMIF('[1]ПО КОРИСНИЦИМА'!$G$3:$G$11609,"Свега за пројекат 0602-П22:",'[1]ПО КОРИСНИЦИМА'!$I$3:$I$11609)</f>
        <v>#VALUE!</v>
      </c>
      <c r="G557" s="1047" t="e">
        <f t="shared" si="17"/>
        <v>#VALUE!</v>
      </c>
      <c r="H557" s="1017"/>
    </row>
    <row r="558" spans="1:8" ht="12.75" hidden="1">
      <c r="A558" s="1038"/>
      <c r="B558" s="1035" t="s">
        <v>771</v>
      </c>
      <c r="C558" s="1015">
        <f>_xlfn.IFERROR(VLOOKUP(B558,'[1]ПО КОРИСНИЦИМА'!$C$3:$J$11609,5,FALSE),"")</f>
      </c>
      <c r="D558" s="1019" t="e">
        <f>SUMIF('[1]ПО КОРИСНИЦИМА'!$G$3:$G$11609,"Свега за пројекат 0602-П23:",'[1]ПО КОРИСНИЦИМА'!$H$3:$H$11609)</f>
        <v>#VALUE!</v>
      </c>
      <c r="E558" s="1013" t="e">
        <f t="shared" si="16"/>
        <v>#VALUE!</v>
      </c>
      <c r="F558" s="1020" t="e">
        <f>SUMIF('[1]ПО КОРИСНИЦИМА'!$G$3:$G$11609,"Свега за пројекат 0602-П23:",'[1]ПО КОРИСНИЦИМА'!$I$3:$I$11609)</f>
        <v>#VALUE!</v>
      </c>
      <c r="G558" s="1047" t="e">
        <f t="shared" si="17"/>
        <v>#VALUE!</v>
      </c>
      <c r="H558" s="1017"/>
    </row>
    <row r="559" spans="1:8" ht="12.75" hidden="1">
      <c r="A559" s="1038"/>
      <c r="B559" s="1035" t="s">
        <v>772</v>
      </c>
      <c r="C559" s="1015">
        <f>_xlfn.IFERROR(VLOOKUP(B559,'[1]ПО КОРИСНИЦИМА'!$C$3:$J$11609,5,FALSE),"")</f>
      </c>
      <c r="D559" s="1019" t="e">
        <f>SUMIF('[1]ПО КОРИСНИЦИМА'!$G$3:$G$11609,"Свега за пројекат 0602-П24:",'[1]ПО КОРИСНИЦИМА'!$H$3:$H$11609)</f>
        <v>#VALUE!</v>
      </c>
      <c r="E559" s="1013" t="e">
        <f t="shared" si="16"/>
        <v>#VALUE!</v>
      </c>
      <c r="F559" s="1020" t="e">
        <f>SUMIF('[1]ПО КОРИСНИЦИМА'!$G$3:$G$11609,"Свега за пројекат 0602-П24:",'[1]ПО КОРИСНИЦИМА'!$I$3:$I$11609)</f>
        <v>#VALUE!</v>
      </c>
      <c r="G559" s="1047" t="e">
        <f t="shared" si="17"/>
        <v>#VALUE!</v>
      </c>
      <c r="H559" s="1017"/>
    </row>
    <row r="560" spans="1:8" ht="12.75" hidden="1">
      <c r="A560" s="1038"/>
      <c r="B560" s="1035" t="s">
        <v>773</v>
      </c>
      <c r="C560" s="1015">
        <f>_xlfn.IFERROR(VLOOKUP(B560,'[1]ПО КОРИСНИЦИМА'!$C$3:$J$11609,5,FALSE),"")</f>
      </c>
      <c r="D560" s="1019" t="e">
        <f>SUMIF('[1]ПО КОРИСНИЦИМА'!$G$3:$G$11609,"Свега за пројекат 0602-П25:",'[1]ПО КОРИСНИЦИМА'!$H$3:$H$11609)</f>
        <v>#VALUE!</v>
      </c>
      <c r="E560" s="1013" t="e">
        <f t="shared" si="16"/>
        <v>#VALUE!</v>
      </c>
      <c r="F560" s="1020" t="e">
        <f>SUMIF('[1]ПО КОРИСНИЦИМА'!$G$3:$G$11609,"Свега за пројекат 0602-П25:",'[1]ПО КОРИСНИЦИМА'!$I$3:$I$11609)</f>
        <v>#VALUE!</v>
      </c>
      <c r="G560" s="1047" t="e">
        <f t="shared" si="17"/>
        <v>#VALUE!</v>
      </c>
      <c r="H560" s="1017"/>
    </row>
    <row r="561" spans="1:8" ht="12.75" hidden="1">
      <c r="A561" s="1038"/>
      <c r="B561" s="1035" t="s">
        <v>774</v>
      </c>
      <c r="C561" s="1015">
        <f>_xlfn.IFERROR(VLOOKUP(B561,'[1]ПО КОРИСНИЦИМА'!$C$3:$J$11609,5,FALSE),"")</f>
      </c>
      <c r="D561" s="1019" t="e">
        <f>SUMIF('[1]ПО КОРИСНИЦИМА'!$G$3:$G$11609,"Свега за пројекат 0602-П26:",'[1]ПО КОРИСНИЦИМА'!$H$3:$H$11609)</f>
        <v>#VALUE!</v>
      </c>
      <c r="E561" s="1013" t="e">
        <f t="shared" si="16"/>
        <v>#VALUE!</v>
      </c>
      <c r="F561" s="1020" t="e">
        <f>SUMIF('[1]ПО КОРИСНИЦИМА'!$G$3:$G$11609,"Свега за пројекат 0602-П26:",'[1]ПО КОРИСНИЦИМА'!$I$3:$I$11609)</f>
        <v>#VALUE!</v>
      </c>
      <c r="G561" s="1047" t="e">
        <f t="shared" si="17"/>
        <v>#VALUE!</v>
      </c>
      <c r="H561" s="1017"/>
    </row>
    <row r="562" spans="1:8" ht="12.75" hidden="1">
      <c r="A562" s="1038"/>
      <c r="B562" s="1035" t="s">
        <v>775</v>
      </c>
      <c r="C562" s="1015">
        <f>_xlfn.IFERROR(VLOOKUP(B562,'[1]ПО КОРИСНИЦИМА'!$C$3:$J$11609,5,FALSE),"")</f>
      </c>
      <c r="D562" s="1019" t="e">
        <f>SUMIF('[1]ПО КОРИСНИЦИМА'!$G$3:$G$11609,"Свега за пројекат 0602-П27:",'[1]ПО КОРИСНИЦИМА'!$H$3:$H$11609)</f>
        <v>#VALUE!</v>
      </c>
      <c r="E562" s="1013" t="e">
        <f t="shared" si="16"/>
        <v>#VALUE!</v>
      </c>
      <c r="F562" s="1020" t="e">
        <f>SUMIF('[1]ПО КОРИСНИЦИМА'!$G$3:$G$11609,"Свега за пројекат 0602-П27:",'[1]ПО КОРИСНИЦИМА'!$I$3:$I$11609)</f>
        <v>#VALUE!</v>
      </c>
      <c r="G562" s="1047" t="e">
        <f t="shared" si="17"/>
        <v>#VALUE!</v>
      </c>
      <c r="H562" s="1017"/>
    </row>
    <row r="563" spans="1:8" ht="12.75" hidden="1">
      <c r="A563" s="1038"/>
      <c r="B563" s="1035" t="s">
        <v>776</v>
      </c>
      <c r="C563" s="1015">
        <f>_xlfn.IFERROR(VLOOKUP(B563,'[1]ПО КОРИСНИЦИМА'!$C$3:$J$11609,5,FALSE),"")</f>
      </c>
      <c r="D563" s="1019" t="e">
        <f>SUMIF('[1]ПО КОРИСНИЦИМА'!$G$3:$G$11609,"Свега за пројекат 0602-П28:",'[1]ПО КОРИСНИЦИМА'!$H$3:$H$11609)</f>
        <v>#VALUE!</v>
      </c>
      <c r="E563" s="1013" t="e">
        <f t="shared" si="16"/>
        <v>#VALUE!</v>
      </c>
      <c r="F563" s="1020" t="e">
        <f>SUMIF('[1]ПО КОРИСНИЦИМА'!$G$3:$G$11609,"Свега за пројекат 0602-П28:",'[1]ПО КОРИСНИЦИМА'!$I$3:$I$11609)</f>
        <v>#VALUE!</v>
      </c>
      <c r="G563" s="1047" t="e">
        <f t="shared" si="17"/>
        <v>#VALUE!</v>
      </c>
      <c r="H563" s="1017"/>
    </row>
    <row r="564" spans="1:8" ht="12.75" hidden="1">
      <c r="A564" s="1038"/>
      <c r="B564" s="1035" t="s">
        <v>777</v>
      </c>
      <c r="C564" s="1015">
        <f>_xlfn.IFERROR(VLOOKUP(B564,'[1]ПО КОРИСНИЦИМА'!$C$3:$J$11609,5,FALSE),"")</f>
      </c>
      <c r="D564" s="1019" t="e">
        <f>SUMIF('[1]ПО КОРИСНИЦИМА'!$G$3:$G$11609,"Свега за пројекат 0602-П29:",'[1]ПО КОРИСНИЦИМА'!$H$3:$H$11609)</f>
        <v>#VALUE!</v>
      </c>
      <c r="E564" s="1013" t="e">
        <f t="shared" si="16"/>
        <v>#VALUE!</v>
      </c>
      <c r="F564" s="1020" t="e">
        <f>SUMIF('[1]ПО КОРИСНИЦИМА'!$G$3:$G$11609,"Свега за пројекат 0602-П29:",'[1]ПО КОРИСНИЦИМА'!$I$3:$I$11609)</f>
        <v>#VALUE!</v>
      </c>
      <c r="G564" s="1047" t="e">
        <f t="shared" si="17"/>
        <v>#VALUE!</v>
      </c>
      <c r="H564" s="1017"/>
    </row>
    <row r="565" spans="1:8" ht="12.75" hidden="1">
      <c r="A565" s="1038"/>
      <c r="B565" s="1035" t="s">
        <v>778</v>
      </c>
      <c r="C565" s="1015">
        <f>_xlfn.IFERROR(VLOOKUP(B565,'[1]ПО КОРИСНИЦИМА'!$C$3:$J$11609,5,FALSE),"")</f>
      </c>
      <c r="D565" s="1019" t="e">
        <f>SUMIF('[1]ПО КОРИСНИЦИМА'!$G$3:$G$11609,"Свега за пројекат 0602-П30:",'[1]ПО КОРИСНИЦИМА'!$H$3:$H$11609)</f>
        <v>#VALUE!</v>
      </c>
      <c r="E565" s="1013" t="e">
        <f t="shared" si="16"/>
        <v>#VALUE!</v>
      </c>
      <c r="F565" s="1020" t="e">
        <f>SUMIF('[1]ПО КОРИСНИЦИМА'!$G$3:$G$11609,"Свега за пројекат 0602-П30:",'[1]ПО КОРИСНИЦИМА'!$I$3:$I$11609)</f>
        <v>#VALUE!</v>
      </c>
      <c r="G565" s="1047" t="e">
        <f t="shared" si="17"/>
        <v>#VALUE!</v>
      </c>
      <c r="H565" s="1017"/>
    </row>
    <row r="566" spans="1:8" ht="12.75" hidden="1">
      <c r="A566" s="1038"/>
      <c r="B566" s="1035" t="s">
        <v>779</v>
      </c>
      <c r="C566" s="1015">
        <f>_xlfn.IFERROR(VLOOKUP(B566,'[1]ПО КОРИСНИЦИМА'!$C$3:$J$11609,5,FALSE),"")</f>
      </c>
      <c r="D566" s="1019" t="e">
        <f>SUMIF('[1]ПО КОРИСНИЦИМА'!$G$3:$G$11609,"Свега за пројекат 0602-П31:",'[1]ПО КОРИСНИЦИМА'!$H$3:$H$11609)</f>
        <v>#VALUE!</v>
      </c>
      <c r="E566" s="1013" t="e">
        <f t="shared" si="16"/>
        <v>#VALUE!</v>
      </c>
      <c r="F566" s="1020" t="e">
        <f>SUMIF('[1]ПО КОРИСНИЦИМА'!$G$3:$G$11609,"Свега за пројекат 0602-П31:",'[1]ПО КОРИСНИЦИМА'!$I$3:$I$11609)</f>
        <v>#VALUE!</v>
      </c>
      <c r="G566" s="1047" t="e">
        <f t="shared" si="17"/>
        <v>#VALUE!</v>
      </c>
      <c r="H566" s="1017"/>
    </row>
    <row r="567" spans="1:8" ht="12.75" hidden="1">
      <c r="A567" s="1038"/>
      <c r="B567" s="1035" t="s">
        <v>780</v>
      </c>
      <c r="C567" s="1015">
        <f>_xlfn.IFERROR(VLOOKUP(B567,'[1]ПО КОРИСНИЦИМА'!$C$3:$J$11609,5,FALSE),"")</f>
      </c>
      <c r="D567" s="1019" t="e">
        <f>SUMIF('[1]ПО КОРИСНИЦИМА'!$G$3:$G$11609,"Свега за пројекат 0602-П32:",'[1]ПО КОРИСНИЦИМА'!$H$3:$H$11609)</f>
        <v>#VALUE!</v>
      </c>
      <c r="E567" s="1013" t="e">
        <f t="shared" si="16"/>
        <v>#VALUE!</v>
      </c>
      <c r="F567" s="1020" t="e">
        <f>SUMIF('[1]ПО КОРИСНИЦИМА'!$G$3:$G$11609,"Свега за пројекат 0602-П32:",'[1]ПО КОРИСНИЦИМА'!$I$3:$I$11609)</f>
        <v>#VALUE!</v>
      </c>
      <c r="G567" s="1047" t="e">
        <f t="shared" si="17"/>
        <v>#VALUE!</v>
      </c>
      <c r="H567" s="1017"/>
    </row>
    <row r="568" spans="1:8" ht="12.75" hidden="1">
      <c r="A568" s="1038"/>
      <c r="B568" s="1035" t="s">
        <v>781</v>
      </c>
      <c r="C568" s="1015">
        <f>_xlfn.IFERROR(VLOOKUP(B568,'[1]ПО КОРИСНИЦИМА'!$C$3:$J$11609,5,FALSE),"")</f>
      </c>
      <c r="D568" s="1019" t="e">
        <f>SUMIF('[1]ПО КОРИСНИЦИМА'!$G$3:$G$11609,"Свега за пројекат 0602-П33:",'[1]ПО КОРИСНИЦИМА'!$H$3:$H$11609)</f>
        <v>#VALUE!</v>
      </c>
      <c r="E568" s="1013" t="e">
        <f t="shared" si="16"/>
        <v>#VALUE!</v>
      </c>
      <c r="F568" s="1020" t="e">
        <f>SUMIF('[1]ПО КОРИСНИЦИМА'!$G$3:$G$11609,"Свега за пројекат 0602-П33:",'[1]ПО КОРИСНИЦИМА'!$I$3:$I$11609)</f>
        <v>#VALUE!</v>
      </c>
      <c r="G568" s="1047" t="e">
        <f t="shared" si="17"/>
        <v>#VALUE!</v>
      </c>
      <c r="H568" s="1017"/>
    </row>
    <row r="569" spans="1:8" ht="12.75" hidden="1">
      <c r="A569" s="1038"/>
      <c r="B569" s="1035" t="s">
        <v>782</v>
      </c>
      <c r="C569" s="1015">
        <f>_xlfn.IFERROR(VLOOKUP(B569,'[1]ПО КОРИСНИЦИМА'!$C$3:$J$11609,5,FALSE),"")</f>
      </c>
      <c r="D569" s="1019" t="e">
        <f>SUMIF('[1]ПО КОРИСНИЦИМА'!$G$3:$G$11609,"Свега за пројекат 0602-П34:",'[1]ПО КОРИСНИЦИМА'!$H$3:$H$11609)</f>
        <v>#VALUE!</v>
      </c>
      <c r="E569" s="1013" t="e">
        <f t="shared" si="16"/>
        <v>#VALUE!</v>
      </c>
      <c r="F569" s="1020" t="e">
        <f>SUMIF('[1]ПО КОРИСНИЦИМА'!$G$3:$G$11609,"Свега за пројекат 0602-П34:",'[1]ПО КОРИСНИЦИМА'!$I$3:$I$11609)</f>
        <v>#VALUE!</v>
      </c>
      <c r="G569" s="1047" t="e">
        <f t="shared" si="17"/>
        <v>#VALUE!</v>
      </c>
      <c r="H569" s="1017"/>
    </row>
    <row r="570" spans="1:8" ht="12.75" hidden="1">
      <c r="A570" s="1038"/>
      <c r="B570" s="1035" t="s">
        <v>783</v>
      </c>
      <c r="C570" s="1015">
        <f>_xlfn.IFERROR(VLOOKUP(B570,'[1]ПО КОРИСНИЦИМА'!$C$3:$J$11609,5,FALSE),"")</f>
      </c>
      <c r="D570" s="1019" t="e">
        <f>SUMIF('[1]ПО КОРИСНИЦИМА'!$G$3:$G$11609,"Свега за пројекат 0602-П35:",'[1]ПО КОРИСНИЦИМА'!$H$3:$H$11609)</f>
        <v>#VALUE!</v>
      </c>
      <c r="E570" s="1013" t="e">
        <f t="shared" si="16"/>
        <v>#VALUE!</v>
      </c>
      <c r="F570" s="1020" t="e">
        <f>SUMIF('[1]ПО КОРИСНИЦИМА'!$G$3:$G$11609,"Свега за пројекат 0602-П35:",'[1]ПО КОРИСНИЦИМА'!$I$3:$I$11609)</f>
        <v>#VALUE!</v>
      </c>
      <c r="G570" s="1047" t="e">
        <f t="shared" si="17"/>
        <v>#VALUE!</v>
      </c>
      <c r="H570" s="1017"/>
    </row>
    <row r="571" spans="1:8" ht="12.75" hidden="1">
      <c r="A571" s="1038"/>
      <c r="B571" s="1035" t="s">
        <v>784</v>
      </c>
      <c r="C571" s="1015">
        <f>_xlfn.IFERROR(VLOOKUP(B571,'[1]ПО КОРИСНИЦИМА'!$C$3:$J$11609,5,FALSE),"")</f>
      </c>
      <c r="D571" s="1019" t="e">
        <f>SUMIF('[1]ПО КОРИСНИЦИМА'!$G$3:$G$11609,"Свега за пројекат 0602-П36:",'[1]ПО КОРИСНИЦИМА'!$H$3:$H$11609)</f>
        <v>#VALUE!</v>
      </c>
      <c r="E571" s="1013" t="e">
        <f t="shared" si="16"/>
        <v>#VALUE!</v>
      </c>
      <c r="F571" s="1020" t="e">
        <f>SUMIF('[1]ПО КОРИСНИЦИМА'!$G$3:$G$11609,"Свега за пројекат 0602-П36:",'[1]ПО КОРИСНИЦИМА'!$I$3:$I$11609)</f>
        <v>#VALUE!</v>
      </c>
      <c r="G571" s="1047" t="e">
        <f t="shared" si="17"/>
        <v>#VALUE!</v>
      </c>
      <c r="H571" s="1017"/>
    </row>
    <row r="572" spans="1:8" ht="12.75" hidden="1">
      <c r="A572" s="1038"/>
      <c r="B572" s="1035" t="s">
        <v>785</v>
      </c>
      <c r="C572" s="1015">
        <f>_xlfn.IFERROR(VLOOKUP(B572,'[1]ПО КОРИСНИЦИМА'!$C$3:$J$11609,5,FALSE),"")</f>
      </c>
      <c r="D572" s="1019" t="e">
        <f>SUMIF('[1]ПО КОРИСНИЦИМА'!$G$3:$G$11609,"Свега за пројекат 0602-П37:",'[1]ПО КОРИСНИЦИМА'!$H$3:$H$11609)</f>
        <v>#VALUE!</v>
      </c>
      <c r="E572" s="1013" t="e">
        <f t="shared" si="16"/>
        <v>#VALUE!</v>
      </c>
      <c r="F572" s="1020" t="e">
        <f>SUMIF('[1]ПО КОРИСНИЦИМА'!$G$3:$G$11609,"Свега за пројекат 0602-П37:",'[1]ПО КОРИСНИЦИМА'!$I$3:$I$11609)</f>
        <v>#VALUE!</v>
      </c>
      <c r="G572" s="1047" t="e">
        <f t="shared" si="17"/>
        <v>#VALUE!</v>
      </c>
      <c r="H572" s="1017"/>
    </row>
    <row r="573" spans="1:8" ht="12.75" hidden="1">
      <c r="A573" s="1038"/>
      <c r="B573" s="1035" t="s">
        <v>786</v>
      </c>
      <c r="C573" s="1015">
        <f>_xlfn.IFERROR(VLOOKUP(B573,'[1]ПО КОРИСНИЦИМА'!$C$3:$J$11609,5,FALSE),"")</f>
      </c>
      <c r="D573" s="1019" t="e">
        <f>SUMIF('[1]ПО КОРИСНИЦИМА'!$G$3:$G$11609,"Свега за пројекат 0602-П38:",'[1]ПО КОРИСНИЦИМА'!$H$3:$H$11609)</f>
        <v>#VALUE!</v>
      </c>
      <c r="E573" s="1013" t="e">
        <f t="shared" si="16"/>
        <v>#VALUE!</v>
      </c>
      <c r="F573" s="1020" t="e">
        <f>SUMIF('[1]ПО КОРИСНИЦИМА'!$G$3:$G$11609,"Свега за пројекат 0602-П38:",'[1]ПО КОРИСНИЦИМА'!$I$3:$I$11609)</f>
        <v>#VALUE!</v>
      </c>
      <c r="G573" s="1047" t="e">
        <f t="shared" si="17"/>
        <v>#VALUE!</v>
      </c>
      <c r="H573" s="1017"/>
    </row>
    <row r="574" spans="1:8" ht="12.75" hidden="1">
      <c r="A574" s="1038"/>
      <c r="B574" s="1035" t="s">
        <v>787</v>
      </c>
      <c r="C574" s="1015">
        <f>_xlfn.IFERROR(VLOOKUP(B574,'[1]ПО КОРИСНИЦИМА'!$C$3:$J$11609,5,FALSE),"")</f>
      </c>
      <c r="D574" s="1019" t="e">
        <f>SUMIF('[1]ПО КОРИСНИЦИМА'!$G$3:$G$11609,"Свега за пројекат 0602-П39:",'[1]ПО КОРИСНИЦИМА'!$H$3:$H$11609)</f>
        <v>#VALUE!</v>
      </c>
      <c r="E574" s="1013" t="e">
        <f t="shared" si="16"/>
        <v>#VALUE!</v>
      </c>
      <c r="F574" s="1020" t="e">
        <f>SUMIF('[1]ПО КОРИСНИЦИМА'!$G$3:$G$11609,"Свега за пројекат 0602-П39:",'[1]ПО КОРИСНИЦИМА'!$I$3:$I$11609)</f>
        <v>#VALUE!</v>
      </c>
      <c r="G574" s="1047" t="e">
        <f t="shared" si="17"/>
        <v>#VALUE!</v>
      </c>
      <c r="H574" s="1017"/>
    </row>
    <row r="575" spans="1:8" ht="12.75" hidden="1">
      <c r="A575" s="1038"/>
      <c r="B575" s="1035" t="s">
        <v>788</v>
      </c>
      <c r="C575" s="1015">
        <f>_xlfn.IFERROR(VLOOKUP(B575,'[1]ПО КОРИСНИЦИМА'!$C$3:$J$11609,5,FALSE),"")</f>
      </c>
      <c r="D575" s="1019" t="e">
        <f>SUMIF('[1]ПО КОРИСНИЦИМА'!$G$3:$G$11609,"Свега за пројекат 0602-П40:",'[1]ПО КОРИСНИЦИМА'!$H$3:$H$11609)</f>
        <v>#VALUE!</v>
      </c>
      <c r="E575" s="1013" t="e">
        <f t="shared" si="16"/>
        <v>#VALUE!</v>
      </c>
      <c r="F575" s="1020" t="e">
        <f>SUMIF('[1]ПО КОРИСНИЦИМА'!$G$3:$G$11609,"Свега за пројекат 0602-П40:",'[1]ПО КОРИСНИЦИМА'!$I$3:$I$11609)</f>
        <v>#VALUE!</v>
      </c>
      <c r="G575" s="1047" t="e">
        <f t="shared" si="17"/>
        <v>#VALUE!</v>
      </c>
      <c r="H575" s="1017"/>
    </row>
    <row r="576" spans="1:8" ht="12.75" hidden="1">
      <c r="A576" s="1038"/>
      <c r="B576" s="1035" t="s">
        <v>789</v>
      </c>
      <c r="C576" s="1015">
        <f>_xlfn.IFERROR(VLOOKUP(B576,'[1]ПО КОРИСНИЦИМА'!$C$3:$J$11609,5,FALSE),"")</f>
      </c>
      <c r="D576" s="1019" t="e">
        <f>SUMIF('[1]ПО КОРИСНИЦИМА'!$G$3:$G$11609,"Свега за пројекат 0602-П41:",'[1]ПО КОРИСНИЦИМА'!$H$3:$H$11609)</f>
        <v>#VALUE!</v>
      </c>
      <c r="E576" s="1013" t="e">
        <f t="shared" si="16"/>
        <v>#VALUE!</v>
      </c>
      <c r="F576" s="1020" t="e">
        <f>SUMIF('[1]ПО КОРИСНИЦИМА'!$G$3:$G$11609,"Свега за пројекат 0602-П41:",'[1]ПО КОРИСНИЦИМА'!$I$3:$I$11609)</f>
        <v>#VALUE!</v>
      </c>
      <c r="G576" s="1047" t="e">
        <f t="shared" si="17"/>
        <v>#VALUE!</v>
      </c>
      <c r="H576" s="1017"/>
    </row>
    <row r="577" spans="1:8" ht="12.75" hidden="1">
      <c r="A577" s="1038"/>
      <c r="B577" s="1035" t="s">
        <v>790</v>
      </c>
      <c r="C577" s="1015">
        <f>_xlfn.IFERROR(VLOOKUP(B577,'[1]ПО КОРИСНИЦИМА'!$C$3:$J$11609,5,FALSE),"")</f>
      </c>
      <c r="D577" s="1019" t="e">
        <f>SUMIF('[1]ПО КОРИСНИЦИМА'!$G$3:$G$11609,"Свега за пројекат 0602-П42:",'[1]ПО КОРИСНИЦИМА'!$H$3:$H$11609)</f>
        <v>#VALUE!</v>
      </c>
      <c r="E577" s="1013" t="e">
        <f t="shared" si="16"/>
        <v>#VALUE!</v>
      </c>
      <c r="F577" s="1020" t="e">
        <f>SUMIF('[1]ПО КОРИСНИЦИМА'!$G$3:$G$11609,"Свега за пројекат 0602-П42:",'[1]ПО КОРИСНИЦИМА'!$I$3:$I$11609)</f>
        <v>#VALUE!</v>
      </c>
      <c r="G577" s="1047" t="e">
        <f t="shared" si="17"/>
        <v>#VALUE!</v>
      </c>
      <c r="H577" s="1017"/>
    </row>
    <row r="578" spans="1:8" ht="12.75" hidden="1">
      <c r="A578" s="1038"/>
      <c r="B578" s="1035" t="s">
        <v>791</v>
      </c>
      <c r="C578" s="1015">
        <f>_xlfn.IFERROR(VLOOKUP(B578,'[1]ПО КОРИСНИЦИМА'!$C$3:$J$11609,5,FALSE),"")</f>
      </c>
      <c r="D578" s="1019" t="e">
        <f>SUMIF('[1]ПО КОРИСНИЦИМА'!$G$3:$G$11609,"Свега за пројекат 0602-П43:",'[1]ПО КОРИСНИЦИМА'!$H$3:$H$11609)</f>
        <v>#VALUE!</v>
      </c>
      <c r="E578" s="1013" t="e">
        <f t="shared" si="16"/>
        <v>#VALUE!</v>
      </c>
      <c r="F578" s="1020" t="e">
        <f>SUMIF('[1]ПО КОРИСНИЦИМА'!$G$3:$G$11609,"Свега за пројекат 0602-П43:",'[1]ПО КОРИСНИЦИМА'!$I$3:$I$11609)</f>
        <v>#VALUE!</v>
      </c>
      <c r="G578" s="1047" t="e">
        <f t="shared" si="17"/>
        <v>#VALUE!</v>
      </c>
      <c r="H578" s="1017"/>
    </row>
    <row r="579" spans="1:8" ht="12.75" hidden="1">
      <c r="A579" s="1038"/>
      <c r="B579" s="1035" t="s">
        <v>792</v>
      </c>
      <c r="C579" s="1015">
        <f>_xlfn.IFERROR(VLOOKUP(B579,'[1]ПО КОРИСНИЦИМА'!$C$3:$J$11609,5,FALSE),"")</f>
      </c>
      <c r="D579" s="1019" t="e">
        <f>SUMIF('[1]ПО КОРИСНИЦИМА'!$G$3:$G$11609,"Свега за пројекат 0602-П44:",'[1]ПО КОРИСНИЦИМА'!$H$3:$H$11609)</f>
        <v>#VALUE!</v>
      </c>
      <c r="E579" s="1013" t="e">
        <f t="shared" si="16"/>
        <v>#VALUE!</v>
      </c>
      <c r="F579" s="1020" t="e">
        <f>SUMIF('[1]ПО КОРИСНИЦИМА'!$G$3:$G$11609,"Свега за пројекат 0602-П44:",'[1]ПО КОРИСНИЦИМА'!$I$3:$I$11609)</f>
        <v>#VALUE!</v>
      </c>
      <c r="G579" s="1047" t="e">
        <f t="shared" si="17"/>
        <v>#VALUE!</v>
      </c>
      <c r="H579" s="1017"/>
    </row>
    <row r="580" spans="1:8" ht="12.75" hidden="1">
      <c r="A580" s="1038"/>
      <c r="B580" s="1035" t="s">
        <v>793</v>
      </c>
      <c r="C580" s="1015">
        <f>_xlfn.IFERROR(VLOOKUP(B580,'[1]ПО КОРИСНИЦИМА'!$C$3:$J$11609,5,FALSE),"")</f>
      </c>
      <c r="D580" s="1019" t="e">
        <f>SUMIF('[1]ПО КОРИСНИЦИМА'!$G$3:$G$11609,"Свега за пројекат 0602-П45:",'[1]ПО КОРИСНИЦИМА'!$H$3:$H$11609)</f>
        <v>#VALUE!</v>
      </c>
      <c r="E580" s="1013" t="e">
        <f t="shared" si="16"/>
        <v>#VALUE!</v>
      </c>
      <c r="F580" s="1020" t="e">
        <f>SUMIF('[1]ПО КОРИСНИЦИМА'!$G$3:$G$11609,"Свега за пројекат 0602-П45:",'[1]ПО КОРИСНИЦИМА'!$I$3:$I$11609)</f>
        <v>#VALUE!</v>
      </c>
      <c r="G580" s="1047" t="e">
        <f t="shared" si="17"/>
        <v>#VALUE!</v>
      </c>
      <c r="H580" s="1017"/>
    </row>
    <row r="581" spans="1:8" ht="12.75" hidden="1">
      <c r="A581" s="1038"/>
      <c r="B581" s="1035" t="s">
        <v>794</v>
      </c>
      <c r="C581" s="1015">
        <f>_xlfn.IFERROR(VLOOKUP(B581,'[1]ПО КОРИСНИЦИМА'!$C$3:$J$11609,5,FALSE),"")</f>
      </c>
      <c r="D581" s="1019" t="e">
        <f>SUMIF('[1]ПО КОРИСНИЦИМА'!$G$3:$G$11609,"Свега за пројекат 0602-П46:",'[1]ПО КОРИСНИЦИМА'!$H$3:$H$11609)</f>
        <v>#VALUE!</v>
      </c>
      <c r="E581" s="1013" t="e">
        <f t="shared" si="16"/>
        <v>#VALUE!</v>
      </c>
      <c r="F581" s="1020" t="e">
        <f>SUMIF('[1]ПО КОРИСНИЦИМА'!$G$3:$G$11609,"Свега за пројекат 0602-П46:",'[1]ПО КОРИСНИЦИМА'!$I$3:$I$11609)</f>
        <v>#VALUE!</v>
      </c>
      <c r="G581" s="1047" t="e">
        <f aca="true" t="shared" si="18" ref="G581:G612">D581+F581</f>
        <v>#VALUE!</v>
      </c>
      <c r="H581" s="1017"/>
    </row>
    <row r="582" spans="1:8" ht="12.75" hidden="1">
      <c r="A582" s="1038"/>
      <c r="B582" s="1035" t="s">
        <v>795</v>
      </c>
      <c r="C582" s="1015">
        <f>_xlfn.IFERROR(VLOOKUP(B582,'[1]ПО КОРИСНИЦИМА'!$C$3:$J$11609,5,FALSE),"")</f>
      </c>
      <c r="D582" s="1019" t="e">
        <f>SUMIF('[1]ПО КОРИСНИЦИМА'!$G$3:$G$11609,"Свега за пројекат 0602-П47:",'[1]ПО КОРИСНИЦИМА'!$H$3:$H$11609)</f>
        <v>#VALUE!</v>
      </c>
      <c r="E582" s="1013" t="e">
        <f aca="true" t="shared" si="19" ref="E582:E612">D582/453286579</f>
        <v>#VALUE!</v>
      </c>
      <c r="F582" s="1020" t="e">
        <f>SUMIF('[1]ПО КОРИСНИЦИМА'!$G$3:$G$11609,"Свега за пројекат 0602-П47:",'[1]ПО КОРИСНИЦИМА'!$I$3:$I$11609)</f>
        <v>#VALUE!</v>
      </c>
      <c r="G582" s="1047" t="e">
        <f t="shared" si="18"/>
        <v>#VALUE!</v>
      </c>
      <c r="H582" s="1017"/>
    </row>
    <row r="583" spans="1:8" ht="12.75" hidden="1">
      <c r="A583" s="1038"/>
      <c r="B583" s="1035" t="s">
        <v>796</v>
      </c>
      <c r="C583" s="1015">
        <f>_xlfn.IFERROR(VLOOKUP(B583,'[1]ПО КОРИСНИЦИМА'!$C$3:$J$11609,5,FALSE),"")</f>
      </c>
      <c r="D583" s="1019" t="e">
        <f>SUMIF('[1]ПО КОРИСНИЦИМА'!$G$3:$G$11609,"Свега за пројекат 0602-П48:",'[1]ПО КОРИСНИЦИМА'!$H$3:$H$11609)</f>
        <v>#VALUE!</v>
      </c>
      <c r="E583" s="1013" t="e">
        <f t="shared" si="19"/>
        <v>#VALUE!</v>
      </c>
      <c r="F583" s="1020" t="e">
        <f>SUMIF('[1]ПО КОРИСНИЦИМА'!$G$3:$G$11609,"Свега за пројекат 0602-П48:",'[1]ПО КОРИСНИЦИМА'!$I$3:$I$11609)</f>
        <v>#VALUE!</v>
      </c>
      <c r="G583" s="1047" t="e">
        <f t="shared" si="18"/>
        <v>#VALUE!</v>
      </c>
      <c r="H583" s="1017"/>
    </row>
    <row r="584" spans="1:8" ht="12.75" hidden="1">
      <c r="A584" s="1038"/>
      <c r="B584" s="1035" t="s">
        <v>797</v>
      </c>
      <c r="C584" s="1015">
        <f>_xlfn.IFERROR(VLOOKUP(B584,'[1]ПО КОРИСНИЦИМА'!$C$3:$J$11609,5,FALSE),"")</f>
      </c>
      <c r="D584" s="1019" t="e">
        <f>SUMIF('[1]ПО КОРИСНИЦИМА'!$G$3:$G$11609,"Свега за пројекат 0602-П49:",'[1]ПО КОРИСНИЦИМА'!$H$3:$H$11609)</f>
        <v>#VALUE!</v>
      </c>
      <c r="E584" s="1013" t="e">
        <f t="shared" si="19"/>
        <v>#VALUE!</v>
      </c>
      <c r="F584" s="1020" t="e">
        <f>SUMIF('[1]ПО КОРИСНИЦИМА'!$G$3:$G$11609,"Свега за пројекат 0602-П49:",'[1]ПО КОРИСНИЦИМА'!$I$3:$I$11609)</f>
        <v>#VALUE!</v>
      </c>
      <c r="G584" s="1047" t="e">
        <f t="shared" si="18"/>
        <v>#VALUE!</v>
      </c>
      <c r="H584" s="1017"/>
    </row>
    <row r="585" spans="1:8" ht="12.75" hidden="1">
      <c r="A585" s="1038"/>
      <c r="B585" s="1035" t="s">
        <v>798</v>
      </c>
      <c r="C585" s="1015">
        <f>_xlfn.IFERROR(VLOOKUP(B585,'[1]ПО КОРИСНИЦИМА'!$C$3:$J$11609,5,FALSE),"")</f>
      </c>
      <c r="D585" s="1019" t="e">
        <f>SUMIF('[1]ПО КОРИСНИЦИМА'!$G$3:$G$11609,"Свега за пројекат 0602-П50:",'[1]ПО КОРИСНИЦИМА'!$H$3:$H$11609)</f>
        <v>#VALUE!</v>
      </c>
      <c r="E585" s="1013" t="e">
        <f t="shared" si="19"/>
        <v>#VALUE!</v>
      </c>
      <c r="F585" s="1020" t="e">
        <f>SUMIF('[1]ПО КОРИСНИЦИМА'!$G$3:$G$11609,"Свега за пројекат 0602-П50:",'[1]ПО КОРИСНИЦИМА'!$I$3:$I$11609)</f>
        <v>#VALUE!</v>
      </c>
      <c r="G585" s="1047" t="e">
        <f t="shared" si="18"/>
        <v>#VALUE!</v>
      </c>
      <c r="H585" s="1017"/>
    </row>
    <row r="586" spans="1:8" ht="12.75" hidden="1">
      <c r="A586" s="1038"/>
      <c r="B586" s="1035" t="s">
        <v>799</v>
      </c>
      <c r="C586" s="1015">
        <f>_xlfn.IFERROR(VLOOKUP(B586,'[1]ПО КОРИСНИЦИМА'!$C$3:$J$11609,5,FALSE),"")</f>
      </c>
      <c r="D586" s="1019" t="e">
        <f>SUMIF('[1]ПО КОРИСНИЦИМА'!$G$3:$G$11609,"Свега за пројекат 0602-П51:",'[1]ПО КОРИСНИЦИМА'!$H$3:$H$11609)</f>
        <v>#VALUE!</v>
      </c>
      <c r="E586" s="1013" t="e">
        <f t="shared" si="19"/>
        <v>#VALUE!</v>
      </c>
      <c r="F586" s="1020" t="e">
        <f>SUMIF('[1]ПО КОРИСНИЦИМА'!$G$3:$G$11609,"Свега за пројекат 0602-П51:",'[1]ПО КОРИСНИЦИМА'!$I$3:$I$11609)</f>
        <v>#VALUE!</v>
      </c>
      <c r="G586" s="1047" t="e">
        <f t="shared" si="18"/>
        <v>#VALUE!</v>
      </c>
      <c r="H586" s="1017"/>
    </row>
    <row r="587" spans="1:8" ht="12.75" hidden="1">
      <c r="A587" s="1038"/>
      <c r="B587" s="1035" t="s">
        <v>800</v>
      </c>
      <c r="C587" s="1015">
        <f>_xlfn.IFERROR(VLOOKUP(B587,'[1]ПО КОРИСНИЦИМА'!$C$3:$J$11609,5,FALSE),"")</f>
      </c>
      <c r="D587" s="1019" t="e">
        <f>SUMIF('[1]ПО КОРИСНИЦИМА'!$G$3:$G$11609,"Свега за пројекат 0602-П52:",'[1]ПО КОРИСНИЦИМА'!$H$3:$H$11609)</f>
        <v>#VALUE!</v>
      </c>
      <c r="E587" s="1013" t="e">
        <f t="shared" si="19"/>
        <v>#VALUE!</v>
      </c>
      <c r="F587" s="1020" t="e">
        <f>SUMIF('[1]ПО КОРИСНИЦИМА'!$G$3:$G$11609,"Свега за пројекат 0602-П52:",'[1]ПО КОРИСНИЦИМА'!$I$3:$I$11609)</f>
        <v>#VALUE!</v>
      </c>
      <c r="G587" s="1047" t="e">
        <f t="shared" si="18"/>
        <v>#VALUE!</v>
      </c>
      <c r="H587" s="1017"/>
    </row>
    <row r="588" spans="1:8" ht="12.75" hidden="1">
      <c r="A588" s="1038"/>
      <c r="B588" s="1035" t="s">
        <v>801</v>
      </c>
      <c r="C588" s="1015">
        <f>_xlfn.IFERROR(VLOOKUP(B588,'[1]ПО КОРИСНИЦИМА'!$C$3:$J$11609,5,FALSE),"")</f>
      </c>
      <c r="D588" s="1019" t="e">
        <f>SUMIF('[1]ПО КОРИСНИЦИМА'!$G$3:$G$11609,"Свега за пројекат 0602-П53:",'[1]ПО КОРИСНИЦИМА'!$H$3:$H$11609)</f>
        <v>#VALUE!</v>
      </c>
      <c r="E588" s="1013" t="e">
        <f t="shared" si="19"/>
        <v>#VALUE!</v>
      </c>
      <c r="F588" s="1020" t="e">
        <f>SUMIF('[1]ПО КОРИСНИЦИМА'!$G$3:$G$11609,"Свега за пројекат 0602-П53:",'[1]ПО КОРИСНИЦИМА'!$I$3:$I$11609)</f>
        <v>#VALUE!</v>
      </c>
      <c r="G588" s="1047" t="e">
        <f t="shared" si="18"/>
        <v>#VALUE!</v>
      </c>
      <c r="H588" s="1017"/>
    </row>
    <row r="589" spans="1:8" ht="12.75" hidden="1">
      <c r="A589" s="1038"/>
      <c r="B589" s="1035" t="s">
        <v>802</v>
      </c>
      <c r="C589" s="1015">
        <f>_xlfn.IFERROR(VLOOKUP(B589,'[1]ПО КОРИСНИЦИМА'!$C$3:$J$11609,5,FALSE),"")</f>
      </c>
      <c r="D589" s="1019" t="e">
        <f>SUMIF('[1]ПО КОРИСНИЦИМА'!$G$3:$G$11609,"Свега за пројекат 0602-П54:",'[1]ПО КОРИСНИЦИМА'!$H$3:$H$11609)</f>
        <v>#VALUE!</v>
      </c>
      <c r="E589" s="1013" t="e">
        <f t="shared" si="19"/>
        <v>#VALUE!</v>
      </c>
      <c r="F589" s="1020" t="e">
        <f>SUMIF('[1]ПО КОРИСНИЦИМА'!$G$3:$G$11609,"Свега за пројекат 0602-П54:",'[1]ПО КОРИСНИЦИМА'!$I$3:$I$11609)</f>
        <v>#VALUE!</v>
      </c>
      <c r="G589" s="1047" t="e">
        <f t="shared" si="18"/>
        <v>#VALUE!</v>
      </c>
      <c r="H589" s="1017"/>
    </row>
    <row r="590" spans="1:8" ht="12.75" hidden="1">
      <c r="A590" s="1038"/>
      <c r="B590" s="1035" t="s">
        <v>803</v>
      </c>
      <c r="C590" s="1015">
        <f>_xlfn.IFERROR(VLOOKUP(B590,'[1]ПО КОРИСНИЦИМА'!$C$3:$J$11609,5,FALSE),"")</f>
      </c>
      <c r="D590" s="1019" t="e">
        <f>SUMIF('[1]ПО КОРИСНИЦИМА'!$G$3:$G$11609,"Свега за пројекат 0602-П55:",'[1]ПО КОРИСНИЦИМА'!$H$3:$H$11609)</f>
        <v>#VALUE!</v>
      </c>
      <c r="E590" s="1013" t="e">
        <f t="shared" si="19"/>
        <v>#VALUE!</v>
      </c>
      <c r="F590" s="1020" t="e">
        <f>SUMIF('[1]ПО КОРИСНИЦИМА'!$G$3:$G$11609,"Свега за пројекат 0602-П55:",'[1]ПО КОРИСНИЦИМА'!$I$3:$I$11609)</f>
        <v>#VALUE!</v>
      </c>
      <c r="G590" s="1047" t="e">
        <f t="shared" si="18"/>
        <v>#VALUE!</v>
      </c>
      <c r="H590" s="1017"/>
    </row>
    <row r="591" spans="1:8" ht="12.75" hidden="1">
      <c r="A591" s="1038"/>
      <c r="B591" s="1035" t="s">
        <v>804</v>
      </c>
      <c r="C591" s="1015">
        <f>_xlfn.IFERROR(VLOOKUP(B591,'[1]ПО КОРИСНИЦИМА'!$C$3:$J$11609,5,FALSE),"")</f>
      </c>
      <c r="D591" s="1019" t="e">
        <f>SUMIF('[1]ПО КОРИСНИЦИМА'!$G$3:$G$11609,"Свега за пројекат 0602-П56:",'[1]ПО КОРИСНИЦИМА'!$H$3:$H$11609)</f>
        <v>#VALUE!</v>
      </c>
      <c r="E591" s="1013" t="e">
        <f t="shared" si="19"/>
        <v>#VALUE!</v>
      </c>
      <c r="F591" s="1020" t="e">
        <f>SUMIF('[1]ПО КОРИСНИЦИМА'!$G$3:$G$11609,"Свега за пројекат 0602-П56:",'[1]ПО КОРИСНИЦИМА'!$I$3:$I$11609)</f>
        <v>#VALUE!</v>
      </c>
      <c r="G591" s="1047" t="e">
        <f t="shared" si="18"/>
        <v>#VALUE!</v>
      </c>
      <c r="H591" s="1017"/>
    </row>
    <row r="592" spans="1:8" ht="12.75" hidden="1">
      <c r="A592" s="1038"/>
      <c r="B592" s="1035" t="s">
        <v>805</v>
      </c>
      <c r="C592" s="1015">
        <f>_xlfn.IFERROR(VLOOKUP(B592,'[1]ПО КОРИСНИЦИМА'!$C$3:$J$11609,5,FALSE),"")</f>
      </c>
      <c r="D592" s="1019" t="e">
        <f>SUMIF('[1]ПО КОРИСНИЦИМА'!$G$3:$G$11609,"Свега за пројекат 0602-П57:",'[1]ПО КОРИСНИЦИМА'!$H$3:$H$11609)</f>
        <v>#VALUE!</v>
      </c>
      <c r="E592" s="1013" t="e">
        <f t="shared" si="19"/>
        <v>#VALUE!</v>
      </c>
      <c r="F592" s="1020" t="e">
        <f>SUMIF('[1]ПО КОРИСНИЦИМА'!$G$3:$G$11609,"Свега за пројекат 0602-П57:",'[1]ПО КОРИСНИЦИМА'!$I$3:$I$11609)</f>
        <v>#VALUE!</v>
      </c>
      <c r="G592" s="1047" t="e">
        <f t="shared" si="18"/>
        <v>#VALUE!</v>
      </c>
      <c r="H592" s="1017"/>
    </row>
    <row r="593" spans="1:8" ht="12.75" hidden="1">
      <c r="A593" s="1038"/>
      <c r="B593" s="1035" t="s">
        <v>806</v>
      </c>
      <c r="C593" s="1015">
        <f>_xlfn.IFERROR(VLOOKUP(B593,'[1]ПО КОРИСНИЦИМА'!$C$3:$J$11609,5,FALSE),"")</f>
      </c>
      <c r="D593" s="1019" t="e">
        <f>SUMIF('[1]ПО КОРИСНИЦИМА'!$G$3:$G$11609,"Свега за пројекат 0602-П58:",'[1]ПО КОРИСНИЦИМА'!$H$3:$H$11609)</f>
        <v>#VALUE!</v>
      </c>
      <c r="E593" s="1013" t="e">
        <f t="shared" si="19"/>
        <v>#VALUE!</v>
      </c>
      <c r="F593" s="1020" t="e">
        <f>SUMIF('[1]ПО КОРИСНИЦИМА'!$G$3:$G$11609,"Свега за пројекат 0602-П58:",'[1]ПО КОРИСНИЦИМА'!$I$3:$I$11609)</f>
        <v>#VALUE!</v>
      </c>
      <c r="G593" s="1047" t="e">
        <f t="shared" si="18"/>
        <v>#VALUE!</v>
      </c>
      <c r="H593" s="1017"/>
    </row>
    <row r="594" spans="1:8" ht="12.75" hidden="1">
      <c r="A594" s="1038"/>
      <c r="B594" s="1035" t="s">
        <v>807</v>
      </c>
      <c r="C594" s="1015">
        <f>_xlfn.IFERROR(VLOOKUP(B594,'[1]ПО КОРИСНИЦИМА'!$C$3:$J$11609,5,FALSE),"")</f>
      </c>
      <c r="D594" s="1019" t="e">
        <f>SUMIF('[1]ПО КОРИСНИЦИМА'!$G$3:$G$11609,"Свега за пројекат 0602-П59:",'[1]ПО КОРИСНИЦИМА'!$H$3:$H$11609)</f>
        <v>#VALUE!</v>
      </c>
      <c r="E594" s="1013" t="e">
        <f t="shared" si="19"/>
        <v>#VALUE!</v>
      </c>
      <c r="F594" s="1020" t="e">
        <f>SUMIF('[1]ПО КОРИСНИЦИМА'!$G$3:$G$11609,"Свега за пројекат 0602-П59:",'[1]ПО КОРИСНИЦИМА'!$I$3:$I$11609)</f>
        <v>#VALUE!</v>
      </c>
      <c r="G594" s="1047" t="e">
        <f t="shared" si="18"/>
        <v>#VALUE!</v>
      </c>
      <c r="H594" s="1017"/>
    </row>
    <row r="595" spans="1:8" ht="12.75" hidden="1">
      <c r="A595" s="1038"/>
      <c r="B595" s="1035" t="s">
        <v>808</v>
      </c>
      <c r="C595" s="1015">
        <f>_xlfn.IFERROR(VLOOKUP(B595,'[1]ПО КОРИСНИЦИМА'!$C$3:$J$11609,5,FALSE),"")</f>
      </c>
      <c r="D595" s="1019" t="e">
        <f>SUMIF('[1]ПО КОРИСНИЦИМА'!$G$3:$G$11609,"Свега за пројекат 0602-П60:",'[1]ПО КОРИСНИЦИМА'!$H$3:$H$11609)</f>
        <v>#VALUE!</v>
      </c>
      <c r="E595" s="1013" t="e">
        <f t="shared" si="19"/>
        <v>#VALUE!</v>
      </c>
      <c r="F595" s="1020" t="e">
        <f>SUMIF('[1]ПО КОРИСНИЦИМА'!$G$3:$G$11609,"Свега за пројекат 0602-П60:",'[1]ПО КОРИСНИЦИМА'!$I$3:$I$11609)</f>
        <v>#VALUE!</v>
      </c>
      <c r="G595" s="1047" t="e">
        <f t="shared" si="18"/>
        <v>#VALUE!</v>
      </c>
      <c r="H595" s="1017"/>
    </row>
    <row r="596" spans="1:8" ht="12.75" hidden="1">
      <c r="A596" s="1038"/>
      <c r="B596" s="1035" t="s">
        <v>809</v>
      </c>
      <c r="C596" s="1015">
        <f>_xlfn.IFERROR(VLOOKUP(B596,'[1]ПО КОРИСНИЦИМА'!$C$3:$J$11609,5,FALSE),"")</f>
      </c>
      <c r="D596" s="1019" t="e">
        <f>SUMIF('[1]ПО КОРИСНИЦИМА'!$G$3:$G$11609,"Свега за пројекат 0602-П61:",'[1]ПО КОРИСНИЦИМА'!$H$3:$H$11609)</f>
        <v>#VALUE!</v>
      </c>
      <c r="E596" s="1013" t="e">
        <f t="shared" si="19"/>
        <v>#VALUE!</v>
      </c>
      <c r="F596" s="1020" t="e">
        <f>SUMIF('[1]ПО КОРИСНИЦИМА'!$G$3:$G$11609,"Свега за пројекат 0602-П61:",'[1]ПО КОРИСНИЦИМА'!$I$3:$I$11609)</f>
        <v>#VALUE!</v>
      </c>
      <c r="G596" s="1047" t="e">
        <f t="shared" si="18"/>
        <v>#VALUE!</v>
      </c>
      <c r="H596" s="1017"/>
    </row>
    <row r="597" spans="1:8" ht="12.75" hidden="1">
      <c r="A597" s="1038"/>
      <c r="B597" s="1035" t="s">
        <v>810</v>
      </c>
      <c r="C597" s="1015">
        <f>_xlfn.IFERROR(VLOOKUP(B597,'[1]ПО КОРИСНИЦИМА'!$C$3:$J$11609,5,FALSE),"")</f>
      </c>
      <c r="D597" s="1019" t="e">
        <f>SUMIF('[1]ПО КОРИСНИЦИМА'!$G$3:$G$11609,"Свега за пројекат 0602-П62:",'[1]ПО КОРИСНИЦИМА'!$H$3:$H$11609)</f>
        <v>#VALUE!</v>
      </c>
      <c r="E597" s="1013" t="e">
        <f t="shared" si="19"/>
        <v>#VALUE!</v>
      </c>
      <c r="F597" s="1020" t="e">
        <f>SUMIF('[1]ПО КОРИСНИЦИМА'!$G$3:$G$11609,"Свега за пројекат 0602-П62:",'[1]ПО КОРИСНИЦИМА'!$I$3:$I$11609)</f>
        <v>#VALUE!</v>
      </c>
      <c r="G597" s="1047" t="e">
        <f t="shared" si="18"/>
        <v>#VALUE!</v>
      </c>
      <c r="H597" s="1017"/>
    </row>
    <row r="598" spans="1:8" ht="12.75" hidden="1">
      <c r="A598" s="1038"/>
      <c r="B598" s="1035" t="s">
        <v>811</v>
      </c>
      <c r="C598" s="1015">
        <f>_xlfn.IFERROR(VLOOKUP(B598,'[1]ПО КОРИСНИЦИМА'!$C$3:$J$11609,5,FALSE),"")</f>
      </c>
      <c r="D598" s="1019" t="e">
        <f>SUMIF('[1]ПО КОРИСНИЦИМА'!$G$3:$G$11609,"Свега за пројекат 0602-П63:",'[1]ПО КОРИСНИЦИМА'!$H$3:$H$11609)</f>
        <v>#VALUE!</v>
      </c>
      <c r="E598" s="1013" t="e">
        <f t="shared" si="19"/>
        <v>#VALUE!</v>
      </c>
      <c r="F598" s="1020" t="e">
        <f>SUMIF('[1]ПО КОРИСНИЦИМА'!$G$3:$G$11609,"Свега за пројекат 0602-П63:",'[1]ПО КОРИСНИЦИМА'!$I$3:$I$11609)</f>
        <v>#VALUE!</v>
      </c>
      <c r="G598" s="1047" t="e">
        <f t="shared" si="18"/>
        <v>#VALUE!</v>
      </c>
      <c r="H598" s="1017"/>
    </row>
    <row r="599" spans="1:8" ht="12.75" hidden="1">
      <c r="A599" s="1038"/>
      <c r="B599" s="1035" t="s">
        <v>812</v>
      </c>
      <c r="C599" s="1015">
        <f>_xlfn.IFERROR(VLOOKUP(B599,'[1]ПО КОРИСНИЦИМА'!$C$3:$J$11609,5,FALSE),"")</f>
      </c>
      <c r="D599" s="1019" t="e">
        <f>SUMIF('[1]ПО КОРИСНИЦИМА'!$G$3:$G$11609,"Свега за пројекат 0602-П64:",'[1]ПО КОРИСНИЦИМА'!$H$3:$H$11609)</f>
        <v>#VALUE!</v>
      </c>
      <c r="E599" s="1013" t="e">
        <f t="shared" si="19"/>
        <v>#VALUE!</v>
      </c>
      <c r="F599" s="1020" t="e">
        <f>SUMIF('[1]ПО КОРИСНИЦИМА'!$G$3:$G$11609,"Свега за пројекат 0602-П64:",'[1]ПО КОРИСНИЦИМА'!$I$3:$I$11609)</f>
        <v>#VALUE!</v>
      </c>
      <c r="G599" s="1047" t="e">
        <f t="shared" si="18"/>
        <v>#VALUE!</v>
      </c>
      <c r="H599" s="1017"/>
    </row>
    <row r="600" spans="1:8" ht="12.75" hidden="1">
      <c r="A600" s="1038"/>
      <c r="B600" s="1035" t="s">
        <v>813</v>
      </c>
      <c r="C600" s="1015">
        <f>_xlfn.IFERROR(VLOOKUP(B600,'[1]ПО КОРИСНИЦИМА'!$C$3:$J$11609,5,FALSE),"")</f>
      </c>
      <c r="D600" s="1019" t="e">
        <f>SUMIF('[1]ПО КОРИСНИЦИМА'!$G$3:$G$11609,"Свега за пројекат 0602-П65:",'[1]ПО КОРИСНИЦИМА'!$H$3:$H$11609)</f>
        <v>#VALUE!</v>
      </c>
      <c r="E600" s="1013" t="e">
        <f t="shared" si="19"/>
        <v>#VALUE!</v>
      </c>
      <c r="F600" s="1020" t="e">
        <f>SUMIF('[1]ПО КОРИСНИЦИМА'!$G$3:$G$11609,"Свега за пројекат 0602-П65:",'[1]ПО КОРИСНИЦИМА'!$I$3:$I$11609)</f>
        <v>#VALUE!</v>
      </c>
      <c r="G600" s="1047" t="e">
        <f t="shared" si="18"/>
        <v>#VALUE!</v>
      </c>
      <c r="H600" s="1017"/>
    </row>
    <row r="601" spans="1:8" ht="12.75" hidden="1">
      <c r="A601" s="1038"/>
      <c r="B601" s="1035" t="s">
        <v>814</v>
      </c>
      <c r="C601" s="1015">
        <f>_xlfn.IFERROR(VLOOKUP(B601,'[1]ПО КОРИСНИЦИМА'!$C$3:$J$11609,5,FALSE),"")</f>
      </c>
      <c r="D601" s="1019" t="e">
        <f>SUMIF('[1]ПО КОРИСНИЦИМА'!$G$3:$G$11609,"Свега за пројекат 0602-П66:",'[1]ПО КОРИСНИЦИМА'!$H$3:$H$11609)</f>
        <v>#VALUE!</v>
      </c>
      <c r="E601" s="1013" t="e">
        <f t="shared" si="19"/>
        <v>#VALUE!</v>
      </c>
      <c r="F601" s="1020" t="e">
        <f>SUMIF('[1]ПО КОРИСНИЦИМА'!$G$3:$G$11609,"Свега за пројекат 0602-П66:",'[1]ПО КОРИСНИЦИМА'!$I$3:$I$11609)</f>
        <v>#VALUE!</v>
      </c>
      <c r="G601" s="1047" t="e">
        <f t="shared" si="18"/>
        <v>#VALUE!</v>
      </c>
      <c r="H601" s="1017"/>
    </row>
    <row r="602" spans="1:8" ht="12.75" hidden="1">
      <c r="A602" s="1038"/>
      <c r="B602" s="1035" t="s">
        <v>815</v>
      </c>
      <c r="C602" s="1015">
        <f>_xlfn.IFERROR(VLOOKUP(B602,'[1]ПО КОРИСНИЦИМА'!$C$3:$J$11609,5,FALSE),"")</f>
      </c>
      <c r="D602" s="1019" t="e">
        <f>SUMIF('[1]ПО КОРИСНИЦИМА'!$G$3:$G$11609,"Свега за пројекат 0602-П67:",'[1]ПО КОРИСНИЦИМА'!$H$3:$H$11609)</f>
        <v>#VALUE!</v>
      </c>
      <c r="E602" s="1013" t="e">
        <f t="shared" si="19"/>
        <v>#VALUE!</v>
      </c>
      <c r="F602" s="1020" t="e">
        <f>SUMIF('[1]ПО КОРИСНИЦИМА'!$G$3:$G$11609,"Свега за пројекат 0602-П67:",'[1]ПО КОРИСНИЦИМА'!$I$3:$I$11609)</f>
        <v>#VALUE!</v>
      </c>
      <c r="G602" s="1047" t="e">
        <f t="shared" si="18"/>
        <v>#VALUE!</v>
      </c>
      <c r="H602" s="1017"/>
    </row>
    <row r="603" spans="1:8" ht="12.75" hidden="1">
      <c r="A603" s="1038"/>
      <c r="B603" s="1035" t="s">
        <v>816</v>
      </c>
      <c r="C603" s="1015">
        <f>_xlfn.IFERROR(VLOOKUP(B603,'[1]ПО КОРИСНИЦИМА'!$C$3:$J$11609,5,FALSE),"")</f>
      </c>
      <c r="D603" s="1019" t="e">
        <f>SUMIF('[1]ПО КОРИСНИЦИМА'!$G$3:$G$11609,"Свега за пројекат 0602-П68:",'[1]ПО КОРИСНИЦИМА'!$H$3:$H$11609)</f>
        <v>#VALUE!</v>
      </c>
      <c r="E603" s="1013" t="e">
        <f t="shared" si="19"/>
        <v>#VALUE!</v>
      </c>
      <c r="F603" s="1020" t="e">
        <f>SUMIF('[1]ПО КОРИСНИЦИМА'!$G$3:$G$11609,"Свега за пројекат 0602-П68:",'[1]ПО КОРИСНИЦИМА'!$I$3:$I$11609)</f>
        <v>#VALUE!</v>
      </c>
      <c r="G603" s="1047" t="e">
        <f t="shared" si="18"/>
        <v>#VALUE!</v>
      </c>
      <c r="H603" s="1017"/>
    </row>
    <row r="604" spans="1:8" ht="12.75" hidden="1">
      <c r="A604" s="1038"/>
      <c r="B604" s="1035" t="s">
        <v>817</v>
      </c>
      <c r="C604" s="1015">
        <f>_xlfn.IFERROR(VLOOKUP(B604,'[1]ПО КОРИСНИЦИМА'!$C$3:$J$11609,5,FALSE),"")</f>
      </c>
      <c r="D604" s="1019" t="e">
        <f>SUMIF('[1]ПО КОРИСНИЦИМА'!$G$3:$G$11609,"Свега за пројекат 0602-П69:",'[1]ПО КОРИСНИЦИМА'!$H$3:$H$11609)</f>
        <v>#VALUE!</v>
      </c>
      <c r="E604" s="1013" t="e">
        <f t="shared" si="19"/>
        <v>#VALUE!</v>
      </c>
      <c r="F604" s="1020" t="e">
        <f>SUMIF('[1]ПО КОРИСНИЦИМА'!$G$3:$G$11609,"Свега за пројекат 0602-П69:",'[1]ПО КОРИСНИЦИМА'!$I$3:$I$11609)</f>
        <v>#VALUE!</v>
      </c>
      <c r="G604" s="1047" t="e">
        <f t="shared" si="18"/>
        <v>#VALUE!</v>
      </c>
      <c r="H604" s="1017"/>
    </row>
    <row r="605" spans="1:8" ht="12.75" hidden="1">
      <c r="A605" s="1038"/>
      <c r="B605" s="1035" t="s">
        <v>818</v>
      </c>
      <c r="C605" s="1015">
        <f>_xlfn.IFERROR(VLOOKUP(B605,'[1]ПО КОРИСНИЦИМА'!$C$3:$J$11609,5,FALSE),"")</f>
      </c>
      <c r="D605" s="1019" t="e">
        <f>SUMIF('[1]ПО КОРИСНИЦИМА'!$G$3:$G$11609,"Свега за пројекат 0602-П70:",'[1]ПО КОРИСНИЦИМА'!$H$3:$H$11609)</f>
        <v>#VALUE!</v>
      </c>
      <c r="E605" s="1013" t="e">
        <f t="shared" si="19"/>
        <v>#VALUE!</v>
      </c>
      <c r="F605" s="1020" t="e">
        <f>SUMIF('[1]ПО КОРИСНИЦИМА'!$G$3:$G$11609,"Свега за пројекат 0602-П70:",'[1]ПО КОРИСНИЦИМА'!$I$3:$I$11609)</f>
        <v>#VALUE!</v>
      </c>
      <c r="G605" s="1047" t="e">
        <f t="shared" si="18"/>
        <v>#VALUE!</v>
      </c>
      <c r="H605" s="1017"/>
    </row>
    <row r="606" spans="1:8" s="320" customFormat="1" ht="12.75">
      <c r="A606" s="1009" t="s">
        <v>1199</v>
      </c>
      <c r="B606" s="1010"/>
      <c r="C606" s="1011" t="s">
        <v>1202</v>
      </c>
      <c r="D606" s="1012">
        <f>SUM(D607:D608)</f>
        <v>33439000</v>
      </c>
      <c r="E606" s="1013">
        <f t="shared" si="19"/>
        <v>0.07377010824756848</v>
      </c>
      <c r="F606" s="1012">
        <f>SUM(F607:F608)</f>
        <v>200000</v>
      </c>
      <c r="G606" s="1012">
        <f t="shared" si="18"/>
        <v>33639000</v>
      </c>
      <c r="H606" s="1027"/>
    </row>
    <row r="607" spans="1:8" ht="12.75">
      <c r="A607" s="1038"/>
      <c r="B607" s="1030" t="s">
        <v>1200</v>
      </c>
      <c r="C607" s="1045" t="s">
        <v>1201</v>
      </c>
      <c r="D607" s="1016">
        <f>'Rashodi-2021'!M9</f>
        <v>13768000</v>
      </c>
      <c r="E607" s="1486">
        <f t="shared" si="19"/>
        <v>0.030373720815590262</v>
      </c>
      <c r="F607" s="1016"/>
      <c r="G607" s="1040">
        <f t="shared" si="18"/>
        <v>13768000</v>
      </c>
      <c r="H607" s="1017" t="s">
        <v>1293</v>
      </c>
    </row>
    <row r="608" spans="1:8" ht="12.75">
      <c r="A608" s="1038"/>
      <c r="B608" s="1030" t="s">
        <v>1203</v>
      </c>
      <c r="C608" s="1045" t="s">
        <v>1204</v>
      </c>
      <c r="D608" s="1016">
        <f>'Rashodi-2021'!M42+'Rashodi-2021'!M58</f>
        <v>19671000</v>
      </c>
      <c r="E608" s="1486">
        <f t="shared" si="19"/>
        <v>0.04339638743197821</v>
      </c>
      <c r="F608" s="1016">
        <f>'Rashodi-2021'!P42</f>
        <v>200000</v>
      </c>
      <c r="G608" s="1040">
        <f t="shared" si="18"/>
        <v>19871000</v>
      </c>
      <c r="H608" s="1017" t="s">
        <v>1294</v>
      </c>
    </row>
    <row r="609" spans="1:8" s="320" customFormat="1" ht="12.75">
      <c r="A609" s="1009" t="s">
        <v>1252</v>
      </c>
      <c r="B609" s="1010"/>
      <c r="C609" s="1011" t="s">
        <v>1278</v>
      </c>
      <c r="D609" s="1012">
        <f>SUM(D610:D611)</f>
        <v>1000000</v>
      </c>
      <c r="E609" s="1013">
        <f t="shared" si="19"/>
        <v>0.0022061098791102745</v>
      </c>
      <c r="F609" s="1012">
        <f>SUM(F610:F611)</f>
        <v>16000000</v>
      </c>
      <c r="G609" s="1012">
        <f t="shared" si="18"/>
        <v>17000000</v>
      </c>
      <c r="H609" s="1027"/>
    </row>
    <row r="610" spans="1:8" ht="12.75">
      <c r="A610" s="1038"/>
      <c r="B610" s="1030" t="s">
        <v>1253</v>
      </c>
      <c r="C610" s="1045" t="s">
        <v>1503</v>
      </c>
      <c r="D610" s="1016">
        <f>'Rashodi-2021'!M322</f>
        <v>1000000</v>
      </c>
      <c r="E610" s="1488">
        <f t="shared" si="19"/>
        <v>0.0022061098791102745</v>
      </c>
      <c r="F610" s="1016">
        <f>'Rashodi-2021'!T322</f>
        <v>16000000</v>
      </c>
      <c r="G610" s="1040">
        <f t="shared" si="18"/>
        <v>17000000</v>
      </c>
      <c r="H610" s="1017" t="s">
        <v>1166</v>
      </c>
    </row>
    <row r="611" spans="1:8" ht="12.75" hidden="1">
      <c r="A611" s="1038"/>
      <c r="B611" s="1030"/>
      <c r="C611" s="1045"/>
      <c r="D611" s="1016"/>
      <c r="E611" s="1013">
        <f t="shared" si="19"/>
        <v>0</v>
      </c>
      <c r="F611" s="1016"/>
      <c r="G611" s="1040">
        <f t="shared" si="18"/>
        <v>0</v>
      </c>
      <c r="H611" s="1017" t="s">
        <v>1166</v>
      </c>
    </row>
    <row r="612" spans="1:8" ht="27.75" customHeight="1">
      <c r="A612" s="1799"/>
      <c r="B612" s="1799"/>
      <c r="C612" s="1048" t="s">
        <v>869</v>
      </c>
      <c r="D612" s="1049">
        <f>D609+D606+D524+D470+D417+D380+D343+D311+D279+D247+D193+D173+D154+D98+D32+D5</f>
        <v>453286579</v>
      </c>
      <c r="E612" s="1013">
        <f t="shared" si="19"/>
        <v>1</v>
      </c>
      <c r="F612" s="1049">
        <f>F609+F606+F524+F470+F417+F380+F343+F311+F279+F247+F193+F173+F154+F98+F32+F5</f>
        <v>174840402.21</v>
      </c>
      <c r="G612" s="1049">
        <f t="shared" si="18"/>
        <v>628126981.21</v>
      </c>
      <c r="H612" s="1050"/>
    </row>
    <row r="613" spans="4:7" ht="12.75">
      <c r="D613" s="322"/>
      <c r="F613" s="323"/>
      <c r="G613" s="324">
        <f>Ukupno_izdaci-'[1]Програмска'!G598</f>
        <v>0</v>
      </c>
    </row>
    <row r="618" spans="1:2" ht="12.75">
      <c r="A618" s="326" t="s">
        <v>1160</v>
      </c>
      <c r="B618" s="327">
        <f>D5</f>
        <v>11400000</v>
      </c>
    </row>
    <row r="619" spans="1:2" ht="12.75">
      <c r="A619" s="326" t="s">
        <v>1161</v>
      </c>
      <c r="B619" s="327">
        <f>D32</f>
        <v>39950000</v>
      </c>
    </row>
    <row r="620" spans="1:2" ht="12.75">
      <c r="A620" s="326" t="s">
        <v>1162</v>
      </c>
      <c r="B620" s="327">
        <f>D98</f>
        <v>11772000</v>
      </c>
    </row>
    <row r="621" spans="1:2" ht="12.75">
      <c r="A621" s="326" t="s">
        <v>1163</v>
      </c>
      <c r="B621" s="327">
        <f>D127</f>
        <v>0</v>
      </c>
    </row>
    <row r="622" spans="1:2" ht="12.75">
      <c r="A622" s="326" t="s">
        <v>0</v>
      </c>
      <c r="B622" s="327">
        <f>D154</f>
        <v>6800000</v>
      </c>
    </row>
    <row r="623" spans="1:2" ht="12.75">
      <c r="A623" s="326" t="s">
        <v>1</v>
      </c>
      <c r="B623" s="327">
        <f>D173</f>
        <v>14050000</v>
      </c>
    </row>
    <row r="624" spans="1:2" ht="12.75">
      <c r="A624" s="326" t="s">
        <v>2</v>
      </c>
      <c r="B624" s="327">
        <f>D193</f>
        <v>18440000</v>
      </c>
    </row>
    <row r="625" spans="1:2" ht="12.75">
      <c r="A625" s="326" t="s">
        <v>3</v>
      </c>
      <c r="B625" s="327">
        <f>D247</f>
        <v>63094886</v>
      </c>
    </row>
    <row r="626" spans="1:2" ht="12.75">
      <c r="A626" s="326" t="s">
        <v>4</v>
      </c>
      <c r="B626" s="327">
        <f>D279</f>
        <v>41680762</v>
      </c>
    </row>
    <row r="627" spans="1:2" ht="12.75">
      <c r="A627" s="326" t="s">
        <v>5</v>
      </c>
      <c r="B627" s="327">
        <f>D311</f>
        <v>6875439</v>
      </c>
    </row>
    <row r="628" spans="1:2" ht="12.75">
      <c r="A628" s="326" t="s">
        <v>6</v>
      </c>
      <c r="B628" s="327">
        <f>D343</f>
        <v>49129000</v>
      </c>
    </row>
    <row r="629" spans="1:2" ht="12.75">
      <c r="A629" s="326" t="s">
        <v>7</v>
      </c>
      <c r="B629" s="327">
        <f>D380</f>
        <v>15120000</v>
      </c>
    </row>
    <row r="630" spans="1:2" ht="12.75">
      <c r="A630" s="326" t="s">
        <v>8</v>
      </c>
      <c r="B630" s="327">
        <f>D413</f>
        <v>0</v>
      </c>
    </row>
    <row r="631" spans="1:2" ht="12.75">
      <c r="A631" s="326" t="s">
        <v>9</v>
      </c>
      <c r="B631" s="327">
        <f>D470</f>
        <v>7001000</v>
      </c>
    </row>
    <row r="632" spans="1:2" ht="12.75">
      <c r="A632" s="326" t="s">
        <v>10</v>
      </c>
      <c r="B632" s="327">
        <f>D524</f>
        <v>111069781</v>
      </c>
    </row>
  </sheetData>
  <sheetProtection/>
  <mergeCells count="9">
    <mergeCell ref="A612:B612"/>
    <mergeCell ref="A1:H1"/>
    <mergeCell ref="A2:B2"/>
    <mergeCell ref="C2:C3"/>
    <mergeCell ref="D2:D3"/>
    <mergeCell ref="E2:E3"/>
    <mergeCell ref="F2:F3"/>
    <mergeCell ref="G2:G3"/>
    <mergeCell ref="H2:H3"/>
  </mergeCells>
  <conditionalFormatting sqref="D613:G613">
    <cfRule type="cellIs" priority="1" dxfId="2" operator="notEqual" stopIfTrue="1">
      <formula>0</formula>
    </cfRule>
  </conditionalFormatting>
  <dataValidations count="1">
    <dataValidation type="whole" operator="equal" showInputMessage="1" showErrorMessage="1" errorTitle="gjkgkjgjh" error="jklhlglkjhkjhlk" sqref="D61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6"/>
  <sheetViews>
    <sheetView zoomScale="89" zoomScaleNormal="89" workbookViewId="0" topLeftCell="A8">
      <selection activeCell="H117" sqref="H117"/>
    </sheetView>
  </sheetViews>
  <sheetFormatPr defaultColWidth="9.140625" defaultRowHeight="12.75"/>
  <cols>
    <col min="1" max="1" width="10.00390625" style="319" customWidth="1"/>
    <col min="2" max="2" width="46.57421875" style="292" customWidth="1"/>
    <col min="3" max="3" width="18.7109375" style="292" customWidth="1"/>
    <col min="4" max="4" width="10.28125" style="665" customWidth="1"/>
    <col min="5" max="5" width="18.00390625" style="292" customWidth="1"/>
    <col min="6" max="6" width="16.7109375" style="292" customWidth="1"/>
    <col min="7" max="7" width="9.140625" style="292" customWidth="1"/>
    <col min="8" max="16" width="9.140625" style="293" customWidth="1"/>
    <col min="17" max="16384" width="9.140625" style="292" customWidth="1"/>
  </cols>
  <sheetData>
    <row r="1" spans="1:6" ht="15" customHeight="1">
      <c r="A1" s="1805" t="s">
        <v>418</v>
      </c>
      <c r="B1" s="1805"/>
      <c r="C1" s="1805"/>
      <c r="D1" s="1805"/>
      <c r="E1" s="1805"/>
      <c r="F1" s="1805"/>
    </row>
    <row r="2" spans="1:6" ht="29.25" customHeight="1">
      <c r="A2" s="294" t="s">
        <v>419</v>
      </c>
      <c r="B2" s="294" t="s">
        <v>420</v>
      </c>
      <c r="C2" s="295" t="s">
        <v>15</v>
      </c>
      <c r="D2" s="677" t="s">
        <v>403</v>
      </c>
      <c r="E2" s="295" t="s">
        <v>402</v>
      </c>
      <c r="F2" s="295" t="s">
        <v>588</v>
      </c>
    </row>
    <row r="3" spans="1:6" ht="12.75">
      <c r="A3" s="296" t="s">
        <v>14</v>
      </c>
      <c r="B3" s="297">
        <v>2</v>
      </c>
      <c r="C3" s="298">
        <v>3</v>
      </c>
      <c r="D3" s="678"/>
      <c r="E3" s="298">
        <v>5</v>
      </c>
      <c r="F3" s="298">
        <v>6</v>
      </c>
    </row>
    <row r="4" spans="1:6" ht="12.75">
      <c r="A4" s="299" t="s">
        <v>21</v>
      </c>
      <c r="B4" s="300" t="s">
        <v>356</v>
      </c>
      <c r="C4" s="301">
        <f>SUM(C5:C13)</f>
        <v>49129000</v>
      </c>
      <c r="D4" s="679">
        <f>C4/453286579</f>
        <v>0.10838397225080869</v>
      </c>
      <c r="E4" s="301">
        <f>SUM(E5:E13)</f>
        <v>2758999</v>
      </c>
      <c r="F4" s="301">
        <f>C4+E4</f>
        <v>51887999</v>
      </c>
    </row>
    <row r="5" spans="1:6" ht="12.75" hidden="1">
      <c r="A5" s="302" t="s">
        <v>421</v>
      </c>
      <c r="B5" s="303" t="s">
        <v>422</v>
      </c>
      <c r="C5" s="304"/>
      <c r="D5" s="679">
        <f aca="true" t="shared" si="0" ref="D5:D68">C5/453286579</f>
        <v>0</v>
      </c>
      <c r="E5" s="304"/>
      <c r="F5" s="304">
        <f>SUM(E5,C5)</f>
        <v>0</v>
      </c>
    </row>
    <row r="6" spans="1:6" ht="12.75" hidden="1">
      <c r="A6" s="302" t="s">
        <v>423</v>
      </c>
      <c r="B6" s="303" t="s">
        <v>424</v>
      </c>
      <c r="C6" s="304"/>
      <c r="D6" s="679">
        <f t="shared" si="0"/>
        <v>0</v>
      </c>
      <c r="E6" s="304"/>
      <c r="F6" s="304">
        <f>SUM(E6,C6)</f>
        <v>0</v>
      </c>
    </row>
    <row r="7" spans="1:6" ht="12.75" hidden="1">
      <c r="A7" s="302" t="s">
        <v>425</v>
      </c>
      <c r="B7" s="303" t="s">
        <v>426</v>
      </c>
      <c r="C7" s="304"/>
      <c r="D7" s="679">
        <f t="shared" si="0"/>
        <v>0</v>
      </c>
      <c r="E7" s="304"/>
      <c r="F7" s="304">
        <f>SUM(E7,C7)</f>
        <v>0</v>
      </c>
    </row>
    <row r="8" spans="1:6" ht="12.75">
      <c r="A8" s="302" t="s">
        <v>22</v>
      </c>
      <c r="B8" s="303" t="s">
        <v>427</v>
      </c>
      <c r="C8" s="304">
        <f>'Rashodi-2021'!M232</f>
        <v>11850000</v>
      </c>
      <c r="D8" s="1485">
        <f t="shared" si="0"/>
        <v>0.026142402067456754</v>
      </c>
      <c r="E8" s="304">
        <f>'Rashodi-2021'!T232</f>
        <v>602541</v>
      </c>
      <c r="F8" s="304">
        <f aca="true" t="shared" si="1" ref="F8:F71">C8+E8</f>
        <v>12452541</v>
      </c>
    </row>
    <row r="9" spans="1:6" ht="12.75" hidden="1">
      <c r="A9" s="302" t="s">
        <v>281</v>
      </c>
      <c r="B9" s="303" t="s">
        <v>428</v>
      </c>
      <c r="C9" s="304"/>
      <c r="D9" s="1485">
        <f t="shared" si="0"/>
        <v>0</v>
      </c>
      <c r="E9" s="304"/>
      <c r="F9" s="304">
        <f t="shared" si="1"/>
        <v>0</v>
      </c>
    </row>
    <row r="10" spans="1:6" ht="12.75" hidden="1">
      <c r="A10" s="302" t="s">
        <v>429</v>
      </c>
      <c r="B10" s="303" t="s">
        <v>430</v>
      </c>
      <c r="C10" s="304"/>
      <c r="D10" s="1485">
        <f t="shared" si="0"/>
        <v>0</v>
      </c>
      <c r="E10" s="304"/>
      <c r="F10" s="304">
        <f t="shared" si="1"/>
        <v>0</v>
      </c>
    </row>
    <row r="11" spans="1:6" ht="25.5" hidden="1">
      <c r="A11" s="302" t="s">
        <v>431</v>
      </c>
      <c r="B11" s="303" t="s">
        <v>432</v>
      </c>
      <c r="C11" s="304"/>
      <c r="D11" s="1485">
        <f t="shared" si="0"/>
        <v>0</v>
      </c>
      <c r="E11" s="304"/>
      <c r="F11" s="304">
        <f t="shared" si="1"/>
        <v>0</v>
      </c>
    </row>
    <row r="12" spans="1:6" ht="12.75" hidden="1">
      <c r="A12" s="302" t="s">
        <v>433</v>
      </c>
      <c r="B12" s="303" t="s">
        <v>434</v>
      </c>
      <c r="C12" s="304"/>
      <c r="D12" s="1485">
        <f t="shared" si="0"/>
        <v>0</v>
      </c>
      <c r="E12" s="304"/>
      <c r="F12" s="304">
        <f t="shared" si="1"/>
        <v>0</v>
      </c>
    </row>
    <row r="13" spans="1:6" ht="25.5">
      <c r="A13" s="302" t="s">
        <v>21</v>
      </c>
      <c r="B13" s="303" t="s">
        <v>111</v>
      </c>
      <c r="C13" s="304">
        <f>'Rashodi-2021'!M206+'Rashodi-2021'!M224+'Rashodi-2021'!M240</f>
        <v>37279000</v>
      </c>
      <c r="D13" s="1485">
        <f t="shared" si="0"/>
        <v>0.08224157018335193</v>
      </c>
      <c r="E13" s="304">
        <f>'Rashodi-2021'!T206+'Rashodi-2021'!T224+'Rashodi-2021'!T240</f>
        <v>2156458</v>
      </c>
      <c r="F13" s="304">
        <f t="shared" si="1"/>
        <v>39435458</v>
      </c>
    </row>
    <row r="14" spans="1:6" ht="12.75">
      <c r="A14" s="305" t="s">
        <v>435</v>
      </c>
      <c r="B14" s="306" t="s">
        <v>357</v>
      </c>
      <c r="C14" s="301">
        <f>SUM(C15:C30)</f>
        <v>140937781</v>
      </c>
      <c r="D14" s="679">
        <f t="shared" si="0"/>
        <v>0.31092423100398037</v>
      </c>
      <c r="E14" s="301">
        <f>SUM(E15:E30)</f>
        <v>6837115</v>
      </c>
      <c r="F14" s="301">
        <f t="shared" si="1"/>
        <v>147774896</v>
      </c>
    </row>
    <row r="15" spans="1:6" ht="25.5">
      <c r="A15" s="307" t="s">
        <v>436</v>
      </c>
      <c r="B15" s="308" t="s">
        <v>437</v>
      </c>
      <c r="C15" s="304">
        <f>'Rashodi-2021'!M10+'Rashodi-2021'!M43+'Rashodi-2021'!M59</f>
        <v>33439000</v>
      </c>
      <c r="D15" s="1485">
        <f t="shared" si="0"/>
        <v>0.07377010824756848</v>
      </c>
      <c r="E15" s="304">
        <f>'Rashodi-2021'!T10+'Rashodi-2021'!T43+'Rashodi-2021'!T59</f>
        <v>200000</v>
      </c>
      <c r="F15" s="304">
        <f t="shared" si="1"/>
        <v>33639000</v>
      </c>
    </row>
    <row r="16" spans="1:6" ht="12.75" hidden="1">
      <c r="A16" s="307" t="s">
        <v>438</v>
      </c>
      <c r="B16" s="308" t="s">
        <v>358</v>
      </c>
      <c r="C16" s="304"/>
      <c r="D16" s="1485">
        <f t="shared" si="0"/>
        <v>0</v>
      </c>
      <c r="E16" s="304"/>
      <c r="F16" s="304">
        <f t="shared" si="1"/>
        <v>0</v>
      </c>
    </row>
    <row r="17" spans="1:6" ht="12.75" hidden="1">
      <c r="A17" s="307" t="s">
        <v>439</v>
      </c>
      <c r="B17" s="308" t="s">
        <v>359</v>
      </c>
      <c r="C17" s="304"/>
      <c r="D17" s="1485">
        <f t="shared" si="0"/>
        <v>0</v>
      </c>
      <c r="E17" s="304"/>
      <c r="F17" s="304">
        <f t="shared" si="1"/>
        <v>0</v>
      </c>
    </row>
    <row r="18" spans="1:6" ht="12.75" hidden="1">
      <c r="A18" s="307" t="s">
        <v>440</v>
      </c>
      <c r="B18" s="308" t="s">
        <v>360</v>
      </c>
      <c r="C18" s="304"/>
      <c r="D18" s="1485">
        <f t="shared" si="0"/>
        <v>0</v>
      </c>
      <c r="E18" s="304"/>
      <c r="F18" s="304">
        <f t="shared" si="1"/>
        <v>0</v>
      </c>
    </row>
    <row r="19" spans="1:6" ht="12.75" hidden="1">
      <c r="A19" s="307" t="s">
        <v>441</v>
      </c>
      <c r="B19" s="308" t="s">
        <v>442</v>
      </c>
      <c r="C19" s="304"/>
      <c r="D19" s="1485">
        <f t="shared" si="0"/>
        <v>0</v>
      </c>
      <c r="E19" s="304"/>
      <c r="F19" s="304">
        <f t="shared" si="1"/>
        <v>0</v>
      </c>
    </row>
    <row r="20" spans="1:6" ht="15" customHeight="1" hidden="1">
      <c r="A20" s="307" t="s">
        <v>443</v>
      </c>
      <c r="B20" s="308" t="s">
        <v>361</v>
      </c>
      <c r="C20" s="304"/>
      <c r="D20" s="1485">
        <f t="shared" si="0"/>
        <v>0</v>
      </c>
      <c r="E20" s="304"/>
      <c r="F20" s="304">
        <f t="shared" si="1"/>
        <v>0</v>
      </c>
    </row>
    <row r="21" spans="1:6" ht="25.5" hidden="1">
      <c r="A21" s="307" t="s">
        <v>444</v>
      </c>
      <c r="B21" s="308" t="s">
        <v>362</v>
      </c>
      <c r="C21" s="304"/>
      <c r="D21" s="1485">
        <f t="shared" si="0"/>
        <v>0</v>
      </c>
      <c r="E21" s="304"/>
      <c r="F21" s="304">
        <f t="shared" si="1"/>
        <v>0</v>
      </c>
    </row>
    <row r="22" spans="1:6" ht="12.75">
      <c r="A22" s="307" t="s">
        <v>76</v>
      </c>
      <c r="B22" s="308" t="s">
        <v>445</v>
      </c>
      <c r="C22" s="304">
        <f>'Rashodi-2021'!M75+'Rashodi-2021'!M107+'Rashodi-2021'!M29</f>
        <v>88820000</v>
      </c>
      <c r="D22" s="1485">
        <f t="shared" si="0"/>
        <v>0.1959466794625746</v>
      </c>
      <c r="E22" s="304">
        <f>'Rashodi-2021'!T75+'Rashodi-2021'!T107</f>
        <v>2952400</v>
      </c>
      <c r="F22" s="304">
        <f t="shared" si="1"/>
        <v>91772400</v>
      </c>
    </row>
    <row r="23" spans="1:6" ht="12.75" hidden="1">
      <c r="A23" s="307" t="s">
        <v>446</v>
      </c>
      <c r="B23" s="308" t="s">
        <v>363</v>
      </c>
      <c r="C23" s="304"/>
      <c r="D23" s="1485">
        <f t="shared" si="0"/>
        <v>0</v>
      </c>
      <c r="E23" s="304"/>
      <c r="F23" s="304">
        <f t="shared" si="1"/>
        <v>0</v>
      </c>
    </row>
    <row r="24" spans="1:6" ht="12.75" hidden="1">
      <c r="A24" s="307" t="s">
        <v>447</v>
      </c>
      <c r="B24" s="308" t="s">
        <v>364</v>
      </c>
      <c r="C24" s="304"/>
      <c r="D24" s="1485">
        <f t="shared" si="0"/>
        <v>0</v>
      </c>
      <c r="E24" s="304"/>
      <c r="F24" s="304">
        <f t="shared" si="1"/>
        <v>0</v>
      </c>
    </row>
    <row r="25" spans="1:6" ht="12.75" hidden="1">
      <c r="A25" s="307" t="s">
        <v>448</v>
      </c>
      <c r="B25" s="308" t="s">
        <v>365</v>
      </c>
      <c r="C25" s="304"/>
      <c r="D25" s="1485">
        <f t="shared" si="0"/>
        <v>0</v>
      </c>
      <c r="E25" s="304"/>
      <c r="F25" s="304">
        <f t="shared" si="1"/>
        <v>0</v>
      </c>
    </row>
    <row r="26" spans="1:6" ht="12.75" hidden="1">
      <c r="A26" s="307" t="s">
        <v>449</v>
      </c>
      <c r="B26" s="308" t="s">
        <v>450</v>
      </c>
      <c r="C26" s="304"/>
      <c r="D26" s="1485">
        <f t="shared" si="0"/>
        <v>0</v>
      </c>
      <c r="E26" s="304"/>
      <c r="F26" s="304">
        <f t="shared" si="1"/>
        <v>0</v>
      </c>
    </row>
    <row r="27" spans="1:6" ht="12.75" hidden="1">
      <c r="A27" s="307" t="s">
        <v>451</v>
      </c>
      <c r="B27" s="308" t="s">
        <v>452</v>
      </c>
      <c r="C27" s="304"/>
      <c r="D27" s="1485">
        <f t="shared" si="0"/>
        <v>0</v>
      </c>
      <c r="E27" s="304"/>
      <c r="F27" s="304">
        <f t="shared" si="1"/>
        <v>0</v>
      </c>
    </row>
    <row r="28" spans="1:6" ht="25.5">
      <c r="A28" s="307" t="s">
        <v>278</v>
      </c>
      <c r="B28" s="308" t="s">
        <v>453</v>
      </c>
      <c r="C28" s="304">
        <f>'Rashodi-2021'!M408+'Rashodi-2021'!M419+'Rashodi-2021'!M437+'Rashodi-2021'!M450+'Rashodi-2021'!M464+'Rashodi-2021'!M481+'Rashodi-2021'!M496+'Rashodi-2021'!M125+'Rashodi-2021'!M128</f>
        <v>18678781</v>
      </c>
      <c r="D28" s="1485">
        <f t="shared" si="0"/>
        <v>0.0412074432938373</v>
      </c>
      <c r="E28" s="304">
        <f>'Rashodi-2021'!T408+'Rashodi-2021'!T419+'Rashodi-2021'!T437+'Rashodi-2021'!T450+'Rashodi-2021'!T464+'Rashodi-2021'!T481+'Rashodi-2021'!T496</f>
        <v>3684715</v>
      </c>
      <c r="F28" s="304">
        <f t="shared" si="1"/>
        <v>22363496</v>
      </c>
    </row>
    <row r="29" spans="1:6" ht="12.75" hidden="1">
      <c r="A29" s="307" t="s">
        <v>454</v>
      </c>
      <c r="B29" s="308" t="s">
        <v>455</v>
      </c>
      <c r="C29" s="304"/>
      <c r="D29" s="679">
        <f t="shared" si="0"/>
        <v>0</v>
      </c>
      <c r="E29" s="304"/>
      <c r="F29" s="304">
        <f t="shared" si="1"/>
        <v>0</v>
      </c>
    </row>
    <row r="30" spans="1:6" ht="25.5" hidden="1">
      <c r="A30" s="307" t="s">
        <v>456</v>
      </c>
      <c r="B30" s="308" t="s">
        <v>366</v>
      </c>
      <c r="C30" s="304"/>
      <c r="D30" s="679">
        <f t="shared" si="0"/>
        <v>0</v>
      </c>
      <c r="E30" s="304"/>
      <c r="F30" s="304">
        <f t="shared" si="1"/>
        <v>0</v>
      </c>
    </row>
    <row r="31" spans="1:6" ht="12.75">
      <c r="A31" s="305" t="s">
        <v>1257</v>
      </c>
      <c r="B31" s="309" t="s">
        <v>1258</v>
      </c>
      <c r="C31" s="301">
        <f>C34</f>
        <v>2980000</v>
      </c>
      <c r="D31" s="679">
        <f t="shared" si="0"/>
        <v>0.006574207439748619</v>
      </c>
      <c r="E31" s="301">
        <f>SUM(E32:E37)</f>
        <v>0</v>
      </c>
      <c r="F31" s="301">
        <f t="shared" si="1"/>
        <v>2980000</v>
      </c>
    </row>
    <row r="32" spans="1:6" ht="12.75" hidden="1">
      <c r="A32" s="307" t="s">
        <v>458</v>
      </c>
      <c r="B32" s="308" t="s">
        <v>459</v>
      </c>
      <c r="C32" s="304"/>
      <c r="D32" s="679">
        <f t="shared" si="0"/>
        <v>0</v>
      </c>
      <c r="E32" s="304"/>
      <c r="F32" s="304">
        <f t="shared" si="1"/>
        <v>0</v>
      </c>
    </row>
    <row r="33" spans="1:6" ht="12.75" hidden="1">
      <c r="A33" s="307" t="s">
        <v>460</v>
      </c>
      <c r="B33" s="308" t="s">
        <v>461</v>
      </c>
      <c r="C33" s="304"/>
      <c r="D33" s="679">
        <f t="shared" si="0"/>
        <v>0</v>
      </c>
      <c r="E33" s="304"/>
      <c r="F33" s="304">
        <f t="shared" si="1"/>
        <v>0</v>
      </c>
    </row>
    <row r="34" spans="1:6" ht="12.75">
      <c r="A34" s="654" t="s">
        <v>1259</v>
      </c>
      <c r="B34" s="655" t="s">
        <v>1260</v>
      </c>
      <c r="C34" s="304">
        <f>'Rashodi-2021'!M118</f>
        <v>2980000</v>
      </c>
      <c r="D34" s="1485">
        <f t="shared" si="0"/>
        <v>0.006574207439748619</v>
      </c>
      <c r="E34" s="304">
        <f>'Rashodi-2021'!T118</f>
        <v>0</v>
      </c>
      <c r="F34" s="304">
        <f t="shared" si="1"/>
        <v>2980000</v>
      </c>
    </row>
    <row r="35" spans="1:6" ht="12.75" hidden="1">
      <c r="A35" s="307"/>
      <c r="B35" s="308"/>
      <c r="C35" s="304"/>
      <c r="D35" s="679">
        <f t="shared" si="0"/>
        <v>0</v>
      </c>
      <c r="E35" s="304"/>
      <c r="F35" s="304">
        <f t="shared" si="1"/>
        <v>0</v>
      </c>
    </row>
    <row r="36" spans="1:6" ht="12.75">
      <c r="A36" s="305" t="s">
        <v>457</v>
      </c>
      <c r="B36" s="309" t="s">
        <v>367</v>
      </c>
      <c r="C36" s="301">
        <f>SUM(C37:C42)</f>
        <v>591000</v>
      </c>
      <c r="D36" s="679">
        <f t="shared" si="0"/>
        <v>0.0013038109385541724</v>
      </c>
      <c r="E36" s="301">
        <f>SUM(E37:E42)</f>
        <v>0</v>
      </c>
      <c r="F36" s="301">
        <f t="shared" si="1"/>
        <v>591000</v>
      </c>
    </row>
    <row r="37" spans="1:6" ht="12.75" hidden="1">
      <c r="A37" s="307" t="s">
        <v>458</v>
      </c>
      <c r="B37" s="308" t="s">
        <v>459</v>
      </c>
      <c r="C37" s="304"/>
      <c r="D37" s="679">
        <f t="shared" si="0"/>
        <v>0</v>
      </c>
      <c r="E37" s="304"/>
      <c r="F37" s="304">
        <f t="shared" si="1"/>
        <v>0</v>
      </c>
    </row>
    <row r="38" spans="1:6" ht="12.75" hidden="1">
      <c r="A38" s="307" t="s">
        <v>460</v>
      </c>
      <c r="B38" s="308" t="s">
        <v>461</v>
      </c>
      <c r="C38" s="304"/>
      <c r="D38" s="679">
        <f t="shared" si="0"/>
        <v>0</v>
      </c>
      <c r="E38" s="304"/>
      <c r="F38" s="304">
        <f t="shared" si="1"/>
        <v>0</v>
      </c>
    </row>
    <row r="39" spans="1:6" ht="12.75">
      <c r="A39" s="307" t="s">
        <v>462</v>
      </c>
      <c r="B39" s="308" t="s">
        <v>463</v>
      </c>
      <c r="C39" s="304">
        <f>'Rashodi-2021'!M34</f>
        <v>591000</v>
      </c>
      <c r="D39" s="1485">
        <f t="shared" si="0"/>
        <v>0.0013038109385541724</v>
      </c>
      <c r="E39" s="304">
        <f>'Rashodi-2021'!N34+'Rashodi-2021'!O34+'Rashodi-2021'!P34+'Rashodi-2021'!Q34+'Rashodi-2021'!R34+'Rashodi-2021'!S34</f>
        <v>0</v>
      </c>
      <c r="F39" s="304">
        <f t="shared" si="1"/>
        <v>591000</v>
      </c>
    </row>
    <row r="40" spans="1:6" ht="12.75" hidden="1">
      <c r="A40" s="307" t="s">
        <v>464</v>
      </c>
      <c r="B40" s="308" t="s">
        <v>465</v>
      </c>
      <c r="C40" s="304"/>
      <c r="D40" s="679">
        <f t="shared" si="0"/>
        <v>0</v>
      </c>
      <c r="E40" s="304"/>
      <c r="F40" s="304">
        <f t="shared" si="1"/>
        <v>0</v>
      </c>
    </row>
    <row r="41" spans="1:6" ht="12.75" hidden="1">
      <c r="A41" s="307" t="s">
        <v>466</v>
      </c>
      <c r="B41" s="308" t="s">
        <v>467</v>
      </c>
      <c r="C41" s="304"/>
      <c r="D41" s="679">
        <f t="shared" si="0"/>
        <v>0</v>
      </c>
      <c r="E41" s="304"/>
      <c r="F41" s="304">
        <f t="shared" si="1"/>
        <v>0</v>
      </c>
    </row>
    <row r="42" spans="1:6" ht="25.5" hidden="1">
      <c r="A42" s="307" t="s">
        <v>468</v>
      </c>
      <c r="B42" s="308" t="s">
        <v>469</v>
      </c>
      <c r="C42" s="304"/>
      <c r="D42" s="679">
        <f t="shared" si="0"/>
        <v>0</v>
      </c>
      <c r="E42" s="304"/>
      <c r="F42" s="304">
        <f t="shared" si="1"/>
        <v>0</v>
      </c>
    </row>
    <row r="43" spans="1:6" ht="12.75">
      <c r="A43" s="305" t="s">
        <v>470</v>
      </c>
      <c r="B43" s="306" t="s">
        <v>368</v>
      </c>
      <c r="C43" s="301">
        <f>SUM(C44:C82)</f>
        <v>29240000</v>
      </c>
      <c r="D43" s="679">
        <f t="shared" si="0"/>
        <v>0.06450665286518444</v>
      </c>
      <c r="E43" s="301">
        <f>SUM(E44:E82)</f>
        <v>115993360.71000001</v>
      </c>
      <c r="F43" s="301">
        <f t="shared" si="1"/>
        <v>145233360.71</v>
      </c>
    </row>
    <row r="44" spans="1:6" ht="25.5" hidden="1">
      <c r="A44" s="307" t="s">
        <v>404</v>
      </c>
      <c r="B44" s="310" t="s">
        <v>471</v>
      </c>
      <c r="C44" s="304"/>
      <c r="D44" s="679">
        <f t="shared" si="0"/>
        <v>0</v>
      </c>
      <c r="E44" s="304"/>
      <c r="F44" s="304">
        <f t="shared" si="1"/>
        <v>0</v>
      </c>
    </row>
    <row r="45" spans="1:6" ht="12.75" hidden="1">
      <c r="A45" s="307" t="s">
        <v>472</v>
      </c>
      <c r="B45" s="310" t="s">
        <v>369</v>
      </c>
      <c r="C45" s="304"/>
      <c r="D45" s="679">
        <f t="shared" si="0"/>
        <v>0</v>
      </c>
      <c r="E45" s="304"/>
      <c r="F45" s="304">
        <f t="shared" si="1"/>
        <v>0</v>
      </c>
    </row>
    <row r="46" spans="1:6" ht="12.75">
      <c r="A46" s="307" t="s">
        <v>473</v>
      </c>
      <c r="B46" s="310" t="s">
        <v>370</v>
      </c>
      <c r="C46" s="304">
        <f>'Rashodi-2021'!M338</f>
        <v>1500000</v>
      </c>
      <c r="D46" s="1485">
        <f t="shared" si="0"/>
        <v>0.0033091648186654122</v>
      </c>
      <c r="E46" s="304">
        <f>'Rashodi-2021'!T338</f>
        <v>0</v>
      </c>
      <c r="F46" s="304">
        <f t="shared" si="1"/>
        <v>1500000</v>
      </c>
    </row>
    <row r="47" spans="1:6" ht="12.75">
      <c r="A47" s="307" t="s">
        <v>405</v>
      </c>
      <c r="B47" s="308" t="s">
        <v>474</v>
      </c>
      <c r="C47" s="304">
        <f>'Rashodi-2021'!M260</f>
        <v>5300000</v>
      </c>
      <c r="D47" s="1485">
        <f t="shared" si="0"/>
        <v>0.011692382359284456</v>
      </c>
      <c r="E47" s="304">
        <f>'Rashodi-2021'!T260</f>
        <v>82206489.5</v>
      </c>
      <c r="F47" s="304">
        <f t="shared" si="1"/>
        <v>87506489.5</v>
      </c>
    </row>
    <row r="48" spans="1:6" ht="12.75" hidden="1">
      <c r="A48" s="307" t="s">
        <v>406</v>
      </c>
      <c r="B48" s="308" t="s">
        <v>371</v>
      </c>
      <c r="C48" s="304"/>
      <c r="D48" s="1485">
        <f t="shared" si="0"/>
        <v>0</v>
      </c>
      <c r="E48" s="304"/>
      <c r="F48" s="304">
        <f t="shared" si="1"/>
        <v>0</v>
      </c>
    </row>
    <row r="49" spans="1:6" ht="12.75" hidden="1">
      <c r="A49" s="307" t="s">
        <v>475</v>
      </c>
      <c r="B49" s="308" t="s">
        <v>372</v>
      </c>
      <c r="C49" s="304"/>
      <c r="D49" s="1485">
        <f t="shared" si="0"/>
        <v>0</v>
      </c>
      <c r="E49" s="304"/>
      <c r="F49" s="304">
        <f t="shared" si="1"/>
        <v>0</v>
      </c>
    </row>
    <row r="50" spans="1:6" ht="12.75" hidden="1">
      <c r="A50" s="307" t="s">
        <v>304</v>
      </c>
      <c r="B50" s="308" t="s">
        <v>373</v>
      </c>
      <c r="C50" s="304"/>
      <c r="D50" s="1485">
        <f t="shared" si="0"/>
        <v>0</v>
      </c>
      <c r="E50" s="304"/>
      <c r="F50" s="304">
        <f t="shared" si="1"/>
        <v>0</v>
      </c>
    </row>
    <row r="51" spans="1:6" ht="12.75" hidden="1">
      <c r="A51" s="307" t="s">
        <v>407</v>
      </c>
      <c r="B51" s="308" t="s">
        <v>476</v>
      </c>
      <c r="C51" s="304"/>
      <c r="D51" s="1485">
        <f t="shared" si="0"/>
        <v>0</v>
      </c>
      <c r="E51" s="304"/>
      <c r="F51" s="304">
        <f t="shared" si="1"/>
        <v>0</v>
      </c>
    </row>
    <row r="52" spans="1:6" ht="12.75" hidden="1">
      <c r="A52" s="307" t="s">
        <v>477</v>
      </c>
      <c r="B52" s="308" t="s">
        <v>374</v>
      </c>
      <c r="C52" s="304"/>
      <c r="D52" s="1485">
        <f t="shared" si="0"/>
        <v>0</v>
      </c>
      <c r="E52" s="304"/>
      <c r="F52" s="304">
        <f t="shared" si="1"/>
        <v>0</v>
      </c>
    </row>
    <row r="53" spans="1:6" ht="12.75" hidden="1">
      <c r="A53" s="307" t="s">
        <v>478</v>
      </c>
      <c r="B53" s="308" t="s">
        <v>375</v>
      </c>
      <c r="C53" s="304"/>
      <c r="D53" s="1485">
        <f t="shared" si="0"/>
        <v>0</v>
      </c>
      <c r="E53" s="304"/>
      <c r="F53" s="304">
        <f t="shared" si="1"/>
        <v>0</v>
      </c>
    </row>
    <row r="54" spans="1:6" ht="12.75" hidden="1">
      <c r="A54" s="307" t="s">
        <v>479</v>
      </c>
      <c r="B54" s="308" t="s">
        <v>376</v>
      </c>
      <c r="C54" s="304"/>
      <c r="D54" s="1485">
        <f t="shared" si="0"/>
        <v>0</v>
      </c>
      <c r="E54" s="304"/>
      <c r="F54" s="304">
        <f t="shared" si="1"/>
        <v>0</v>
      </c>
    </row>
    <row r="55" spans="1:6" ht="12.75" hidden="1">
      <c r="A55" s="307" t="s">
        <v>480</v>
      </c>
      <c r="B55" s="308" t="s">
        <v>377</v>
      </c>
      <c r="C55" s="304"/>
      <c r="D55" s="1485">
        <f t="shared" si="0"/>
        <v>0</v>
      </c>
      <c r="E55" s="304"/>
      <c r="F55" s="304">
        <f t="shared" si="1"/>
        <v>0</v>
      </c>
    </row>
    <row r="56" spans="1:6" ht="12.75" hidden="1">
      <c r="A56" s="307" t="s">
        <v>481</v>
      </c>
      <c r="B56" s="308" t="s">
        <v>378</v>
      </c>
      <c r="C56" s="304"/>
      <c r="D56" s="1485">
        <f t="shared" si="0"/>
        <v>0</v>
      </c>
      <c r="E56" s="304"/>
      <c r="F56" s="304">
        <f t="shared" si="1"/>
        <v>0</v>
      </c>
    </row>
    <row r="57" spans="1:6" ht="12.75" hidden="1">
      <c r="A57" s="307" t="s">
        <v>482</v>
      </c>
      <c r="B57" s="308" t="s">
        <v>379</v>
      </c>
      <c r="C57" s="304"/>
      <c r="D57" s="1485">
        <f t="shared" si="0"/>
        <v>0</v>
      </c>
      <c r="E57" s="304"/>
      <c r="F57" s="304">
        <f t="shared" si="1"/>
        <v>0</v>
      </c>
    </row>
    <row r="58" spans="1:6" ht="12.75" hidden="1">
      <c r="A58" s="307" t="s">
        <v>408</v>
      </c>
      <c r="B58" s="308" t="s">
        <v>483</v>
      </c>
      <c r="C58" s="304"/>
      <c r="D58" s="1485">
        <f t="shared" si="0"/>
        <v>0</v>
      </c>
      <c r="E58" s="304"/>
      <c r="F58" s="304">
        <f t="shared" si="1"/>
        <v>0</v>
      </c>
    </row>
    <row r="59" spans="1:6" ht="25.5" hidden="1">
      <c r="A59" s="307" t="s">
        <v>484</v>
      </c>
      <c r="B59" s="308" t="s">
        <v>380</v>
      </c>
      <c r="C59" s="304"/>
      <c r="D59" s="1485">
        <f t="shared" si="0"/>
        <v>0</v>
      </c>
      <c r="E59" s="304"/>
      <c r="F59" s="304">
        <f t="shared" si="1"/>
        <v>0</v>
      </c>
    </row>
    <row r="60" spans="1:6" ht="12.75" hidden="1">
      <c r="A60" s="307" t="s">
        <v>485</v>
      </c>
      <c r="B60" s="308" t="s">
        <v>381</v>
      </c>
      <c r="C60" s="304"/>
      <c r="D60" s="1485">
        <f t="shared" si="0"/>
        <v>0</v>
      </c>
      <c r="E60" s="304"/>
      <c r="F60" s="304">
        <f t="shared" si="1"/>
        <v>0</v>
      </c>
    </row>
    <row r="61" spans="1:6" ht="12.75" hidden="1">
      <c r="A61" s="307" t="s">
        <v>486</v>
      </c>
      <c r="B61" s="308" t="s">
        <v>382</v>
      </c>
      <c r="C61" s="304"/>
      <c r="D61" s="1485">
        <f t="shared" si="0"/>
        <v>0</v>
      </c>
      <c r="E61" s="304"/>
      <c r="F61" s="304">
        <f t="shared" si="1"/>
        <v>0</v>
      </c>
    </row>
    <row r="62" spans="1:6" ht="12.75" hidden="1">
      <c r="A62" s="307" t="s">
        <v>409</v>
      </c>
      <c r="B62" s="308" t="s">
        <v>487</v>
      </c>
      <c r="C62" s="304"/>
      <c r="D62" s="1485">
        <f t="shared" si="0"/>
        <v>0</v>
      </c>
      <c r="E62" s="304"/>
      <c r="F62" s="304">
        <f t="shared" si="1"/>
        <v>0</v>
      </c>
    </row>
    <row r="63" spans="1:6" ht="12.75">
      <c r="A63" s="302" t="s">
        <v>488</v>
      </c>
      <c r="B63" s="308" t="s">
        <v>383</v>
      </c>
      <c r="C63" s="304">
        <f>'Rashodi-2021'!M342+'Rashodi-2021'!M113+'Rashodi-2021'!M353</f>
        <v>18440000</v>
      </c>
      <c r="D63" s="1485">
        <f t="shared" si="0"/>
        <v>0.04068066617079347</v>
      </c>
      <c r="E63" s="304">
        <f>'Rashodi-2021'!T113+'Rashodi-2021'!T342+'Rashodi-2021'!T353</f>
        <v>33786871.21</v>
      </c>
      <c r="F63" s="304">
        <f t="shared" si="1"/>
        <v>52226871.21</v>
      </c>
    </row>
    <row r="64" spans="1:6" ht="12.75" hidden="1">
      <c r="A64" s="302" t="s">
        <v>417</v>
      </c>
      <c r="B64" s="308" t="s">
        <v>384</v>
      </c>
      <c r="C64" s="304"/>
      <c r="D64" s="1485">
        <f t="shared" si="0"/>
        <v>0</v>
      </c>
      <c r="E64" s="304"/>
      <c r="F64" s="304">
        <f t="shared" si="1"/>
        <v>0</v>
      </c>
    </row>
    <row r="65" spans="1:6" ht="12.75" hidden="1">
      <c r="A65" s="302" t="s">
        <v>489</v>
      </c>
      <c r="B65" s="308" t="s">
        <v>385</v>
      </c>
      <c r="C65" s="304"/>
      <c r="D65" s="1485">
        <f t="shared" si="0"/>
        <v>0</v>
      </c>
      <c r="E65" s="304"/>
      <c r="F65" s="304">
        <f t="shared" si="1"/>
        <v>0</v>
      </c>
    </row>
    <row r="66" spans="1:6" ht="12.75" hidden="1">
      <c r="A66" s="302" t="s">
        <v>490</v>
      </c>
      <c r="B66" s="308" t="s">
        <v>386</v>
      </c>
      <c r="C66" s="304"/>
      <c r="D66" s="1485">
        <f t="shared" si="0"/>
        <v>0</v>
      </c>
      <c r="E66" s="304"/>
      <c r="F66" s="304">
        <f t="shared" si="1"/>
        <v>0</v>
      </c>
    </row>
    <row r="67" spans="1:6" ht="12.75" hidden="1">
      <c r="A67" s="302" t="s">
        <v>491</v>
      </c>
      <c r="B67" s="308" t="s">
        <v>387</v>
      </c>
      <c r="C67" s="304"/>
      <c r="D67" s="1485">
        <f t="shared" si="0"/>
        <v>0</v>
      </c>
      <c r="E67" s="304"/>
      <c r="F67" s="304">
        <f t="shared" si="1"/>
        <v>0</v>
      </c>
    </row>
    <row r="68" spans="1:6" ht="12.75" hidden="1">
      <c r="A68" s="307" t="s">
        <v>410</v>
      </c>
      <c r="B68" s="308" t="s">
        <v>492</v>
      </c>
      <c r="C68" s="304"/>
      <c r="D68" s="1485">
        <f t="shared" si="0"/>
        <v>0</v>
      </c>
      <c r="E68" s="304"/>
      <c r="F68" s="304">
        <f t="shared" si="1"/>
        <v>0</v>
      </c>
    </row>
    <row r="69" spans="1:6" ht="12.75" hidden="1">
      <c r="A69" s="307" t="s">
        <v>411</v>
      </c>
      <c r="B69" s="308" t="s">
        <v>493</v>
      </c>
      <c r="C69" s="304"/>
      <c r="D69" s="1485">
        <f aca="true" t="shared" si="2" ref="D69:D132">C69/453286579</f>
        <v>0</v>
      </c>
      <c r="E69" s="304"/>
      <c r="F69" s="304">
        <f t="shared" si="1"/>
        <v>0</v>
      </c>
    </row>
    <row r="70" spans="1:6" ht="12.75" hidden="1">
      <c r="A70" s="307" t="s">
        <v>494</v>
      </c>
      <c r="B70" s="308" t="s">
        <v>388</v>
      </c>
      <c r="C70" s="304"/>
      <c r="D70" s="1485">
        <f t="shared" si="2"/>
        <v>0</v>
      </c>
      <c r="E70" s="304"/>
      <c r="F70" s="304">
        <f t="shared" si="1"/>
        <v>0</v>
      </c>
    </row>
    <row r="71" spans="1:6" ht="12.75" hidden="1">
      <c r="A71" s="307" t="s">
        <v>495</v>
      </c>
      <c r="B71" s="308" t="s">
        <v>389</v>
      </c>
      <c r="C71" s="304"/>
      <c r="D71" s="1485">
        <f t="shared" si="2"/>
        <v>0</v>
      </c>
      <c r="E71" s="304"/>
      <c r="F71" s="304">
        <f t="shared" si="1"/>
        <v>0</v>
      </c>
    </row>
    <row r="72" spans="1:6" ht="12.75" hidden="1">
      <c r="A72" s="307" t="s">
        <v>496</v>
      </c>
      <c r="B72" s="308" t="s">
        <v>390</v>
      </c>
      <c r="C72" s="304"/>
      <c r="D72" s="1485">
        <f t="shared" si="2"/>
        <v>0</v>
      </c>
      <c r="E72" s="304"/>
      <c r="F72" s="304">
        <f aca="true" t="shared" si="3" ref="F72:F134">C72+E72</f>
        <v>0</v>
      </c>
    </row>
    <row r="73" spans="1:6" ht="12.75" hidden="1">
      <c r="A73" s="307" t="s">
        <v>497</v>
      </c>
      <c r="B73" s="308" t="s">
        <v>391</v>
      </c>
      <c r="C73" s="304"/>
      <c r="D73" s="1485">
        <f t="shared" si="2"/>
        <v>0</v>
      </c>
      <c r="E73" s="304"/>
      <c r="F73" s="304">
        <f t="shared" si="3"/>
        <v>0</v>
      </c>
    </row>
    <row r="74" spans="1:6" ht="12.75" hidden="1">
      <c r="A74" s="307" t="s">
        <v>412</v>
      </c>
      <c r="B74" s="308" t="s">
        <v>498</v>
      </c>
      <c r="C74" s="304"/>
      <c r="D74" s="1485">
        <f t="shared" si="2"/>
        <v>0</v>
      </c>
      <c r="E74" s="304"/>
      <c r="F74" s="304">
        <f t="shared" si="3"/>
        <v>0</v>
      </c>
    </row>
    <row r="75" spans="1:6" ht="25.5" hidden="1">
      <c r="A75" s="307" t="s">
        <v>499</v>
      </c>
      <c r="B75" s="308" t="s">
        <v>392</v>
      </c>
      <c r="C75" s="304"/>
      <c r="D75" s="1485">
        <f t="shared" si="2"/>
        <v>0</v>
      </c>
      <c r="E75" s="304"/>
      <c r="F75" s="304">
        <f t="shared" si="3"/>
        <v>0</v>
      </c>
    </row>
    <row r="76" spans="1:6" ht="25.5" hidden="1">
      <c r="A76" s="307" t="s">
        <v>500</v>
      </c>
      <c r="B76" s="308" t="s">
        <v>393</v>
      </c>
      <c r="C76" s="304"/>
      <c r="D76" s="1485">
        <f t="shared" si="2"/>
        <v>0</v>
      </c>
      <c r="E76" s="304"/>
      <c r="F76" s="304">
        <f t="shared" si="3"/>
        <v>0</v>
      </c>
    </row>
    <row r="77" spans="1:6" ht="12.75" hidden="1">
      <c r="A77" s="307" t="s">
        <v>501</v>
      </c>
      <c r="B77" s="308" t="s">
        <v>394</v>
      </c>
      <c r="C77" s="304"/>
      <c r="D77" s="1485">
        <f t="shared" si="2"/>
        <v>0</v>
      </c>
      <c r="E77" s="304"/>
      <c r="F77" s="304">
        <f t="shared" si="3"/>
        <v>0</v>
      </c>
    </row>
    <row r="78" spans="1:6" ht="25.5" hidden="1">
      <c r="A78" s="307" t="s">
        <v>502</v>
      </c>
      <c r="B78" s="308" t="s">
        <v>395</v>
      </c>
      <c r="C78" s="304"/>
      <c r="D78" s="1485">
        <f t="shared" si="2"/>
        <v>0</v>
      </c>
      <c r="E78" s="304"/>
      <c r="F78" s="304">
        <f t="shared" si="3"/>
        <v>0</v>
      </c>
    </row>
    <row r="79" spans="1:6" ht="12.75" hidden="1">
      <c r="A79" s="307" t="s">
        <v>503</v>
      </c>
      <c r="B79" s="308" t="s">
        <v>396</v>
      </c>
      <c r="C79" s="304"/>
      <c r="D79" s="1485">
        <f t="shared" si="2"/>
        <v>0</v>
      </c>
      <c r="E79" s="304"/>
      <c r="F79" s="304">
        <f t="shared" si="3"/>
        <v>0</v>
      </c>
    </row>
    <row r="80" spans="1:6" ht="12.75" hidden="1">
      <c r="A80" s="307" t="s">
        <v>504</v>
      </c>
      <c r="B80" s="308" t="s">
        <v>397</v>
      </c>
      <c r="C80" s="304"/>
      <c r="D80" s="1485">
        <f t="shared" si="2"/>
        <v>0</v>
      </c>
      <c r="E80" s="304"/>
      <c r="F80" s="304">
        <f t="shared" si="3"/>
        <v>0</v>
      </c>
    </row>
    <row r="81" spans="1:6" ht="12.75" hidden="1">
      <c r="A81" s="307" t="s">
        <v>505</v>
      </c>
      <c r="B81" s="308" t="s">
        <v>398</v>
      </c>
      <c r="C81" s="304"/>
      <c r="D81" s="1485">
        <f t="shared" si="2"/>
        <v>0</v>
      </c>
      <c r="E81" s="304"/>
      <c r="F81" s="304">
        <f t="shared" si="3"/>
        <v>0</v>
      </c>
    </row>
    <row r="82" spans="1:6" ht="25.5">
      <c r="A82" s="307" t="s">
        <v>506</v>
      </c>
      <c r="B82" s="308" t="s">
        <v>399</v>
      </c>
      <c r="C82" s="304">
        <f>'Rashodi-2021'!M334</f>
        <v>4000000</v>
      </c>
      <c r="D82" s="1485">
        <f t="shared" si="2"/>
        <v>0.008824439516441098</v>
      </c>
      <c r="E82" s="304">
        <f>+'Rashodi-2021'!T334</f>
        <v>0</v>
      </c>
      <c r="F82" s="304">
        <f t="shared" si="3"/>
        <v>4000000</v>
      </c>
    </row>
    <row r="83" spans="1:6" ht="12.75">
      <c r="A83" s="305" t="s">
        <v>507</v>
      </c>
      <c r="B83" s="309" t="s">
        <v>400</v>
      </c>
      <c r="C83" s="301">
        <f>SUM(C84:C89)</f>
        <v>34350000</v>
      </c>
      <c r="D83" s="679">
        <f t="shared" si="2"/>
        <v>0.07577987434743794</v>
      </c>
      <c r="E83" s="301">
        <f>SUM(E84:E89)</f>
        <v>1800000</v>
      </c>
      <c r="F83" s="301">
        <f t="shared" si="3"/>
        <v>36150000</v>
      </c>
    </row>
    <row r="84" spans="1:6" ht="12.75">
      <c r="A84" s="307" t="s">
        <v>413</v>
      </c>
      <c r="B84" s="308" t="s">
        <v>508</v>
      </c>
      <c r="C84" s="304">
        <f>'Rashodi-2021'!M277</f>
        <v>8650000</v>
      </c>
      <c r="D84" s="1485">
        <f t="shared" si="2"/>
        <v>0.019082850454303878</v>
      </c>
      <c r="E84" s="304">
        <f>'Rashodi-2021'!T277</f>
        <v>0</v>
      </c>
      <c r="F84" s="304">
        <f t="shared" si="3"/>
        <v>8650000</v>
      </c>
    </row>
    <row r="85" spans="1:6" ht="12.75">
      <c r="A85" s="654" t="s">
        <v>1348</v>
      </c>
      <c r="B85" s="655" t="s">
        <v>1349</v>
      </c>
      <c r="C85" s="304">
        <f>'Rashodi-2021'!M287</f>
        <v>500000</v>
      </c>
      <c r="D85" s="1485">
        <f t="shared" si="2"/>
        <v>0.0011030549395551373</v>
      </c>
      <c r="E85" s="304">
        <f>'Rashodi-2021'!N287+'Rashodi-2021'!O287+'Rashodi-2021'!P287+'Rashodi-2021'!Q287+'Rashodi-2021'!S287</f>
        <v>0</v>
      </c>
      <c r="F85" s="304">
        <f t="shared" si="3"/>
        <v>500000</v>
      </c>
    </row>
    <row r="86" spans="1:6" ht="12.75">
      <c r="A86" s="307" t="s">
        <v>509</v>
      </c>
      <c r="B86" s="308" t="s">
        <v>510</v>
      </c>
      <c r="C86" s="304"/>
      <c r="D86" s="1485">
        <f t="shared" si="2"/>
        <v>0</v>
      </c>
      <c r="E86" s="304"/>
      <c r="F86" s="304">
        <f t="shared" si="3"/>
        <v>0</v>
      </c>
    </row>
    <row r="87" spans="1:6" ht="12.75">
      <c r="A87" s="307" t="s">
        <v>414</v>
      </c>
      <c r="B87" s="308" t="s">
        <v>511</v>
      </c>
      <c r="C87" s="304">
        <f>'Rashodi-2021'!M295+'Rashodi-2021'!M305</f>
        <v>20300000</v>
      </c>
      <c r="D87" s="1485">
        <f t="shared" si="2"/>
        <v>0.044784030545938575</v>
      </c>
      <c r="E87" s="304">
        <f>'Rashodi-2021'!T305+'Rashodi-2021'!T295</f>
        <v>0</v>
      </c>
      <c r="F87" s="304">
        <f t="shared" si="3"/>
        <v>20300000</v>
      </c>
    </row>
    <row r="88" spans="1:6" ht="12.75" hidden="1">
      <c r="A88" s="307" t="s">
        <v>512</v>
      </c>
      <c r="B88" s="308" t="s">
        <v>513</v>
      </c>
      <c r="C88" s="304"/>
      <c r="D88" s="1485">
        <f t="shared" si="2"/>
        <v>0</v>
      </c>
      <c r="E88" s="304"/>
      <c r="F88" s="304">
        <f t="shared" si="3"/>
        <v>0</v>
      </c>
    </row>
    <row r="89" spans="1:6" ht="25.5">
      <c r="A89" s="307" t="s">
        <v>514</v>
      </c>
      <c r="B89" s="308" t="s">
        <v>331</v>
      </c>
      <c r="C89" s="304">
        <f>'Rashodi-2021'!M281</f>
        <v>4900000</v>
      </c>
      <c r="D89" s="1485">
        <f t="shared" si="2"/>
        <v>0.010809938407640347</v>
      </c>
      <c r="E89" s="304">
        <f>'Rashodi-2021'!T281</f>
        <v>1800000</v>
      </c>
      <c r="F89" s="304">
        <f t="shared" si="3"/>
        <v>6700000</v>
      </c>
    </row>
    <row r="90" spans="1:6" ht="12.75">
      <c r="A90" s="753" t="s">
        <v>515</v>
      </c>
      <c r="B90" s="754" t="s">
        <v>516</v>
      </c>
      <c r="C90" s="752">
        <f>C91+C92+C93+C94</f>
        <v>39822000</v>
      </c>
      <c r="D90" s="679">
        <f t="shared" si="2"/>
        <v>0.08785170760592936</v>
      </c>
      <c r="E90" s="752">
        <f>SUM(E91:E95)</f>
        <v>40796453.5</v>
      </c>
      <c r="F90" s="752">
        <f t="shared" si="3"/>
        <v>80618453.5</v>
      </c>
    </row>
    <row r="91" spans="1:6" ht="12.75">
      <c r="A91" s="307" t="s">
        <v>415</v>
      </c>
      <c r="B91" s="308" t="s">
        <v>517</v>
      </c>
      <c r="C91" s="304">
        <f>'Rashodi-2021'!M327</f>
        <v>972000</v>
      </c>
      <c r="D91" s="1485">
        <f t="shared" si="2"/>
        <v>0.002144338802495187</v>
      </c>
      <c r="E91" s="304">
        <f>'Rashodi-2021'!T327</f>
        <v>11496453.5</v>
      </c>
      <c r="F91" s="304">
        <f t="shared" si="3"/>
        <v>12468453.5</v>
      </c>
    </row>
    <row r="92" spans="1:6" ht="12.75">
      <c r="A92" s="307" t="s">
        <v>416</v>
      </c>
      <c r="B92" s="308" t="s">
        <v>518</v>
      </c>
      <c r="C92" s="304">
        <f>'Rashodi-2021'!M323+'Rashodi-2021'!M317+'Rashodi-2021'!M314+'Rashodi-2021'!M310+'Rashodi-2021'!M273+'Rashodi-2021'!M331</f>
        <v>24200000</v>
      </c>
      <c r="D92" s="1485">
        <f t="shared" si="2"/>
        <v>0.05338785907446865</v>
      </c>
      <c r="E92" s="304">
        <f>'Rashodi-2021'!T273+'Rashodi-2021'!T310+'Rashodi-2021'!T314+'Rashodi-2021'!T317+'Rashodi-2021'!T323+'Rashodi-2021'!T331</f>
        <v>28600000</v>
      </c>
      <c r="F92" s="304">
        <f t="shared" si="3"/>
        <v>52800000</v>
      </c>
    </row>
    <row r="93" spans="1:6" ht="12.75">
      <c r="A93" s="307" t="s">
        <v>519</v>
      </c>
      <c r="B93" s="308" t="s">
        <v>520</v>
      </c>
      <c r="C93" s="304">
        <f>'Rashodi-2021'!M300</f>
        <v>5500000</v>
      </c>
      <c r="D93" s="1485">
        <f t="shared" si="2"/>
        <v>0.012133604335106511</v>
      </c>
      <c r="E93" s="304">
        <f>'Rashodi-2021'!T300</f>
        <v>0</v>
      </c>
      <c r="F93" s="304">
        <f t="shared" si="3"/>
        <v>5500000</v>
      </c>
    </row>
    <row r="94" spans="1:6" ht="12.75">
      <c r="A94" s="307" t="s">
        <v>521</v>
      </c>
      <c r="B94" s="308" t="s">
        <v>522</v>
      </c>
      <c r="C94" s="304">
        <f>'Rashodi-2021'!M291</f>
        <v>9150000</v>
      </c>
      <c r="D94" s="1485">
        <f t="shared" si="2"/>
        <v>0.020185905393859015</v>
      </c>
      <c r="E94" s="304">
        <f>'Rashodi-2021'!T291</f>
        <v>700000</v>
      </c>
      <c r="F94" s="304">
        <f t="shared" si="3"/>
        <v>9850000</v>
      </c>
    </row>
    <row r="95" spans="1:6" ht="25.5" hidden="1">
      <c r="A95" s="307" t="s">
        <v>523</v>
      </c>
      <c r="B95" s="308" t="s">
        <v>524</v>
      </c>
      <c r="C95" s="304"/>
      <c r="D95" s="679">
        <f t="shared" si="2"/>
        <v>0</v>
      </c>
      <c r="E95" s="304"/>
      <c r="F95" s="304">
        <f t="shared" si="3"/>
        <v>0</v>
      </c>
    </row>
    <row r="96" spans="1:6" ht="12.75">
      <c r="A96" s="311">
        <v>700</v>
      </c>
      <c r="B96" s="312" t="s">
        <v>332</v>
      </c>
      <c r="C96" s="313">
        <f>SUM(C97:C113)</f>
        <v>15120000</v>
      </c>
      <c r="D96" s="679">
        <f t="shared" si="2"/>
        <v>0.03335638137214735</v>
      </c>
      <c r="E96" s="313">
        <f>SUM(E97:E113)</f>
        <v>0</v>
      </c>
      <c r="F96" s="313">
        <f t="shared" si="3"/>
        <v>15120000</v>
      </c>
    </row>
    <row r="97" spans="1:6" ht="12.75" hidden="1">
      <c r="A97" s="307" t="s">
        <v>525</v>
      </c>
      <c r="B97" s="308" t="s">
        <v>526</v>
      </c>
      <c r="C97" s="304"/>
      <c r="D97" s="679">
        <f t="shared" si="2"/>
        <v>0</v>
      </c>
      <c r="E97" s="304"/>
      <c r="F97" s="304">
        <f t="shared" si="3"/>
        <v>0</v>
      </c>
    </row>
    <row r="98" spans="1:6" ht="12.75" hidden="1">
      <c r="A98" s="307" t="s">
        <v>527</v>
      </c>
      <c r="B98" s="308" t="s">
        <v>333</v>
      </c>
      <c r="C98" s="304"/>
      <c r="D98" s="679">
        <f t="shared" si="2"/>
        <v>0</v>
      </c>
      <c r="E98" s="304"/>
      <c r="F98" s="304">
        <f t="shared" si="3"/>
        <v>0</v>
      </c>
    </row>
    <row r="99" spans="1:6" ht="12.75" hidden="1">
      <c r="A99" s="307" t="s">
        <v>528</v>
      </c>
      <c r="B99" s="308" t="s">
        <v>334</v>
      </c>
      <c r="C99" s="304"/>
      <c r="D99" s="679">
        <f t="shared" si="2"/>
        <v>0</v>
      </c>
      <c r="E99" s="304"/>
      <c r="F99" s="304">
        <f t="shared" si="3"/>
        <v>0</v>
      </c>
    </row>
    <row r="100" spans="1:6" ht="12.75" hidden="1">
      <c r="A100" s="307" t="s">
        <v>529</v>
      </c>
      <c r="B100" s="308" t="s">
        <v>335</v>
      </c>
      <c r="C100" s="304"/>
      <c r="D100" s="679">
        <f t="shared" si="2"/>
        <v>0</v>
      </c>
      <c r="E100" s="304"/>
      <c r="F100" s="304">
        <f t="shared" si="3"/>
        <v>0</v>
      </c>
    </row>
    <row r="101" spans="1:6" ht="12.75" hidden="1">
      <c r="A101" s="307" t="s">
        <v>530</v>
      </c>
      <c r="B101" s="308" t="s">
        <v>531</v>
      </c>
      <c r="C101" s="304"/>
      <c r="D101" s="679">
        <f t="shared" si="2"/>
        <v>0</v>
      </c>
      <c r="E101" s="304"/>
      <c r="F101" s="304">
        <f t="shared" si="3"/>
        <v>0</v>
      </c>
    </row>
    <row r="102" spans="1:6" ht="12.75">
      <c r="A102" s="307" t="s">
        <v>532</v>
      </c>
      <c r="B102" s="308" t="s">
        <v>336</v>
      </c>
      <c r="C102" s="304">
        <f>'Rashodi-2021'!M256</f>
        <v>200000</v>
      </c>
      <c r="D102" s="1485">
        <f t="shared" si="2"/>
        <v>0.00044122197582205494</v>
      </c>
      <c r="E102" s="304">
        <f>'Rashodi-2021'!T256</f>
        <v>0</v>
      </c>
      <c r="F102" s="304">
        <f t="shared" si="3"/>
        <v>200000</v>
      </c>
    </row>
    <row r="103" spans="1:6" ht="12.75" hidden="1">
      <c r="A103" s="307" t="s">
        <v>533</v>
      </c>
      <c r="B103" s="308" t="s">
        <v>337</v>
      </c>
      <c r="C103" s="304"/>
      <c r="D103" s="1485">
        <f t="shared" si="2"/>
        <v>0</v>
      </c>
      <c r="E103" s="304"/>
      <c r="F103" s="304">
        <f t="shared" si="3"/>
        <v>0</v>
      </c>
    </row>
    <row r="104" spans="1:6" ht="12.75" hidden="1">
      <c r="A104" s="307" t="s">
        <v>534</v>
      </c>
      <c r="B104" s="308" t="s">
        <v>338</v>
      </c>
      <c r="C104" s="304"/>
      <c r="D104" s="1485">
        <f t="shared" si="2"/>
        <v>0</v>
      </c>
      <c r="E104" s="304"/>
      <c r="F104" s="304">
        <f t="shared" si="3"/>
        <v>0</v>
      </c>
    </row>
    <row r="105" spans="1:6" ht="12.75" hidden="1">
      <c r="A105" s="307" t="s">
        <v>535</v>
      </c>
      <c r="B105" s="308" t="s">
        <v>339</v>
      </c>
      <c r="C105" s="304"/>
      <c r="D105" s="1485">
        <f t="shared" si="2"/>
        <v>0</v>
      </c>
      <c r="E105" s="304"/>
      <c r="F105" s="304">
        <f t="shared" si="3"/>
        <v>0</v>
      </c>
    </row>
    <row r="106" spans="1:6" ht="12.75" hidden="1">
      <c r="A106" s="307" t="s">
        <v>536</v>
      </c>
      <c r="B106" s="308" t="s">
        <v>537</v>
      </c>
      <c r="C106" s="304"/>
      <c r="D106" s="1485">
        <f t="shared" si="2"/>
        <v>0</v>
      </c>
      <c r="E106" s="304"/>
      <c r="F106" s="304">
        <f t="shared" si="3"/>
        <v>0</v>
      </c>
    </row>
    <row r="107" spans="1:6" ht="12.75" hidden="1">
      <c r="A107" s="307" t="s">
        <v>538</v>
      </c>
      <c r="B107" s="308" t="s">
        <v>340</v>
      </c>
      <c r="C107" s="304"/>
      <c r="D107" s="1485">
        <f t="shared" si="2"/>
        <v>0</v>
      </c>
      <c r="E107" s="304"/>
      <c r="F107" s="304">
        <f t="shared" si="3"/>
        <v>0</v>
      </c>
    </row>
    <row r="108" spans="1:6" ht="12.75" hidden="1">
      <c r="A108" s="307" t="s">
        <v>539</v>
      </c>
      <c r="B108" s="308" t="s">
        <v>341</v>
      </c>
      <c r="C108" s="304"/>
      <c r="D108" s="1485">
        <f t="shared" si="2"/>
        <v>0</v>
      </c>
      <c r="E108" s="304"/>
      <c r="F108" s="304">
        <f t="shared" si="3"/>
        <v>0</v>
      </c>
    </row>
    <row r="109" spans="1:6" ht="12.75" hidden="1">
      <c r="A109" s="307" t="s">
        <v>540</v>
      </c>
      <c r="B109" s="308" t="s">
        <v>342</v>
      </c>
      <c r="C109" s="304"/>
      <c r="D109" s="1485">
        <f t="shared" si="2"/>
        <v>0</v>
      </c>
      <c r="E109" s="304"/>
      <c r="F109" s="304">
        <f t="shared" si="3"/>
        <v>0</v>
      </c>
    </row>
    <row r="110" spans="1:6" ht="12.75" hidden="1">
      <c r="A110" s="307" t="s">
        <v>541</v>
      </c>
      <c r="B110" s="308" t="s">
        <v>542</v>
      </c>
      <c r="C110" s="304"/>
      <c r="D110" s="1485">
        <f t="shared" si="2"/>
        <v>0</v>
      </c>
      <c r="E110" s="304"/>
      <c r="F110" s="304">
        <f t="shared" si="3"/>
        <v>0</v>
      </c>
    </row>
    <row r="111" spans="1:6" ht="12.75">
      <c r="A111" s="307" t="s">
        <v>543</v>
      </c>
      <c r="B111" s="308" t="s">
        <v>544</v>
      </c>
      <c r="C111" s="304">
        <f>'Rashodi-2021'!M245</f>
        <v>14920000</v>
      </c>
      <c r="D111" s="1485">
        <f t="shared" si="2"/>
        <v>0.0329151593963253</v>
      </c>
      <c r="E111" s="304">
        <f>'Rashodi-2021'!T245</f>
        <v>0</v>
      </c>
      <c r="F111" s="304">
        <f t="shared" si="3"/>
        <v>14920000</v>
      </c>
    </row>
    <row r="112" spans="1:6" ht="12.75" hidden="1">
      <c r="A112" s="307" t="s">
        <v>545</v>
      </c>
      <c r="B112" s="308" t="s">
        <v>546</v>
      </c>
      <c r="C112" s="304"/>
      <c r="D112" s="679">
        <f t="shared" si="2"/>
        <v>0</v>
      </c>
      <c r="E112" s="304"/>
      <c r="F112" s="304">
        <f t="shared" si="3"/>
        <v>0</v>
      </c>
    </row>
    <row r="113" spans="1:6" ht="12.75" hidden="1">
      <c r="A113" s="307" t="s">
        <v>68</v>
      </c>
      <c r="B113" s="308" t="s">
        <v>547</v>
      </c>
      <c r="C113" s="304"/>
      <c r="D113" s="679">
        <f t="shared" si="2"/>
        <v>0</v>
      </c>
      <c r="E113" s="304"/>
      <c r="F113" s="304">
        <f t="shared" si="3"/>
        <v>0</v>
      </c>
    </row>
    <row r="114" spans="1:6" ht="12.75">
      <c r="A114" s="305" t="s">
        <v>548</v>
      </c>
      <c r="B114" s="309" t="s">
        <v>343</v>
      </c>
      <c r="C114" s="301">
        <f>SUM(C115:C120)</f>
        <v>29465711</v>
      </c>
      <c r="D114" s="679">
        <f t="shared" si="2"/>
        <v>0.0650045961321083</v>
      </c>
      <c r="E114" s="301">
        <f>SUM(E115:E120)</f>
        <v>835549</v>
      </c>
      <c r="F114" s="301">
        <f t="shared" si="3"/>
        <v>30301260</v>
      </c>
    </row>
    <row r="115" spans="1:6" ht="12.75">
      <c r="A115" s="307" t="s">
        <v>549</v>
      </c>
      <c r="B115" s="308" t="s">
        <v>550</v>
      </c>
      <c r="C115" s="304">
        <f>'Rashodi-2021'!M140</f>
        <v>7001000</v>
      </c>
      <c r="D115" s="1485">
        <f t="shared" si="2"/>
        <v>0.015444975263651033</v>
      </c>
      <c r="E115" s="304">
        <f>'Rashodi-2021'!T140</f>
        <v>0</v>
      </c>
      <c r="F115" s="304">
        <f t="shared" si="3"/>
        <v>7001000</v>
      </c>
    </row>
    <row r="116" spans="1:6" ht="12.75">
      <c r="A116" s="307" t="s">
        <v>551</v>
      </c>
      <c r="B116" s="308" t="s">
        <v>552</v>
      </c>
      <c r="C116" s="304">
        <f>'Rashodi-2021'!M132+'Rashodi-2021'!M400+'Rashodi-2021'!M383</f>
        <v>18064711</v>
      </c>
      <c r="D116" s="1485">
        <f t="shared" si="2"/>
        <v>0.03985273740037205</v>
      </c>
      <c r="E116" s="304">
        <f>'Rashodi-2021'!T383+'Rashodi-2021'!T400+'Rashodi-2021'!T132</f>
        <v>835549</v>
      </c>
      <c r="F116" s="304">
        <f t="shared" si="3"/>
        <v>18900260</v>
      </c>
    </row>
    <row r="117" spans="1:6" ht="12.75">
      <c r="A117" s="307" t="s">
        <v>553</v>
      </c>
      <c r="B117" s="308" t="s">
        <v>554</v>
      </c>
      <c r="C117" s="304">
        <f>'Rashodi-2021'!M136</f>
        <v>4400000</v>
      </c>
      <c r="D117" s="1485">
        <f t="shared" si="2"/>
        <v>0.009706883468085209</v>
      </c>
      <c r="E117" s="304">
        <f>'Rashodi-2021'!T136</f>
        <v>0</v>
      </c>
      <c r="F117" s="304">
        <f t="shared" si="3"/>
        <v>4400000</v>
      </c>
    </row>
    <row r="118" spans="1:6" ht="12.75" hidden="1">
      <c r="A118" s="307" t="s">
        <v>555</v>
      </c>
      <c r="B118" s="308" t="s">
        <v>556</v>
      </c>
      <c r="C118" s="304"/>
      <c r="D118" s="679">
        <f t="shared" si="2"/>
        <v>0</v>
      </c>
      <c r="E118" s="304"/>
      <c r="F118" s="304">
        <f t="shared" si="3"/>
        <v>0</v>
      </c>
    </row>
    <row r="119" spans="1:6" ht="25.5" hidden="1">
      <c r="A119" s="307" t="s">
        <v>557</v>
      </c>
      <c r="B119" s="308" t="s">
        <v>558</v>
      </c>
      <c r="C119" s="304"/>
      <c r="D119" s="679">
        <f t="shared" si="2"/>
        <v>0</v>
      </c>
      <c r="E119" s="304"/>
      <c r="F119" s="304">
        <f t="shared" si="3"/>
        <v>0</v>
      </c>
    </row>
    <row r="120" spans="1:6" ht="25.5" hidden="1">
      <c r="A120" s="307" t="s">
        <v>559</v>
      </c>
      <c r="B120" s="308" t="s">
        <v>344</v>
      </c>
      <c r="C120" s="304"/>
      <c r="D120" s="679">
        <f t="shared" si="2"/>
        <v>0</v>
      </c>
      <c r="E120" s="304"/>
      <c r="F120" s="304">
        <f t="shared" si="3"/>
        <v>0</v>
      </c>
    </row>
    <row r="121" spans="1:6" ht="12.75">
      <c r="A121" s="314" t="s">
        <v>560</v>
      </c>
      <c r="B121" s="309" t="s">
        <v>345</v>
      </c>
      <c r="C121" s="301">
        <f>SUM(C122:C142)</f>
        <v>111651087</v>
      </c>
      <c r="D121" s="679">
        <f t="shared" si="2"/>
        <v>0.24631456604410076</v>
      </c>
      <c r="E121" s="301">
        <f>SUM(E122:E142)</f>
        <v>5818925</v>
      </c>
      <c r="F121" s="301">
        <f t="shared" si="3"/>
        <v>117470012</v>
      </c>
    </row>
    <row r="122" spans="1:6" ht="12.75" hidden="1">
      <c r="A122" s="307" t="s">
        <v>561</v>
      </c>
      <c r="B122" s="308" t="s">
        <v>562</v>
      </c>
      <c r="C122" s="304"/>
      <c r="D122" s="679">
        <f t="shared" si="2"/>
        <v>0</v>
      </c>
      <c r="E122" s="304"/>
      <c r="F122" s="304">
        <f t="shared" si="3"/>
        <v>0</v>
      </c>
    </row>
    <row r="123" spans="1:6" ht="12.75">
      <c r="A123" s="307" t="s">
        <v>563</v>
      </c>
      <c r="B123" s="308" t="s">
        <v>96</v>
      </c>
      <c r="C123" s="304">
        <f>'Rashodi-2021'!M361</f>
        <v>63094886</v>
      </c>
      <c r="D123" s="1485">
        <f t="shared" si="2"/>
        <v>0.13919425132593657</v>
      </c>
      <c r="E123" s="304">
        <f>'Rashodi-2021'!T361</f>
        <v>5818925</v>
      </c>
      <c r="F123" s="304">
        <f t="shared" si="3"/>
        <v>68913811</v>
      </c>
    </row>
    <row r="124" spans="1:6" ht="12.75">
      <c r="A124" s="307" t="s">
        <v>401</v>
      </c>
      <c r="B124" s="308" t="s">
        <v>97</v>
      </c>
      <c r="C124" s="304">
        <f>'Rashodi-2021'!M145+'Rashodi-2021'!M161+'Rashodi-2021'!M176</f>
        <v>41680762</v>
      </c>
      <c r="D124" s="1485">
        <f t="shared" si="2"/>
        <v>0.09195234081704413</v>
      </c>
      <c r="E124" s="304">
        <f>'Rashodi-2021'!T145+'Rashodi-2021'!T161+'Rashodi-2021'!T176</f>
        <v>0</v>
      </c>
      <c r="F124" s="304">
        <f t="shared" si="3"/>
        <v>41680762</v>
      </c>
    </row>
    <row r="125" spans="1:6" ht="12.75" hidden="1">
      <c r="A125" s="307" t="s">
        <v>564</v>
      </c>
      <c r="B125" s="308" t="s">
        <v>346</v>
      </c>
      <c r="C125" s="304"/>
      <c r="D125" s="1485">
        <f t="shared" si="2"/>
        <v>0</v>
      </c>
      <c r="E125" s="304"/>
      <c r="F125" s="304">
        <f t="shared" si="3"/>
        <v>0</v>
      </c>
    </row>
    <row r="126" spans="1:6" ht="12.75" hidden="1">
      <c r="A126" s="307" t="s">
        <v>565</v>
      </c>
      <c r="B126" s="308" t="s">
        <v>347</v>
      </c>
      <c r="C126" s="304"/>
      <c r="D126" s="1485">
        <f t="shared" si="2"/>
        <v>0</v>
      </c>
      <c r="E126" s="304"/>
      <c r="F126" s="304">
        <f t="shared" si="3"/>
        <v>0</v>
      </c>
    </row>
    <row r="127" spans="1:6" ht="12.75" hidden="1">
      <c r="A127" s="307" t="s">
        <v>566</v>
      </c>
      <c r="B127" s="308" t="s">
        <v>348</v>
      </c>
      <c r="C127" s="304"/>
      <c r="D127" s="1485">
        <f t="shared" si="2"/>
        <v>0</v>
      </c>
      <c r="E127" s="304"/>
      <c r="F127" s="304">
        <f t="shared" si="3"/>
        <v>0</v>
      </c>
    </row>
    <row r="128" spans="1:6" ht="25.5" hidden="1">
      <c r="A128" s="307" t="s">
        <v>567</v>
      </c>
      <c r="B128" s="308" t="s">
        <v>349</v>
      </c>
      <c r="C128" s="304"/>
      <c r="D128" s="1485">
        <f t="shared" si="2"/>
        <v>0</v>
      </c>
      <c r="E128" s="304"/>
      <c r="F128" s="304">
        <f t="shared" si="3"/>
        <v>0</v>
      </c>
    </row>
    <row r="129" spans="1:6" ht="12.75">
      <c r="A129" s="307" t="s">
        <v>568</v>
      </c>
      <c r="B129" s="308" t="s">
        <v>569</v>
      </c>
      <c r="C129" s="304">
        <f>'Rashodi-2021'!M192</f>
        <v>6875439</v>
      </c>
      <c r="D129" s="1485">
        <f t="shared" si="2"/>
        <v>0.015167973901120069</v>
      </c>
      <c r="E129" s="304">
        <f>'Rashodi-2021'!T192</f>
        <v>0</v>
      </c>
      <c r="F129" s="304">
        <f t="shared" si="3"/>
        <v>6875439</v>
      </c>
    </row>
    <row r="130" spans="1:6" ht="12.75" hidden="1">
      <c r="A130" s="307" t="s">
        <v>570</v>
      </c>
      <c r="B130" s="308" t="s">
        <v>350</v>
      </c>
      <c r="C130" s="304"/>
      <c r="D130" s="679">
        <f t="shared" si="2"/>
        <v>0</v>
      </c>
      <c r="E130" s="304"/>
      <c r="F130" s="304">
        <f t="shared" si="3"/>
        <v>0</v>
      </c>
    </row>
    <row r="131" spans="1:6" ht="12.75" hidden="1">
      <c r="A131" s="307" t="s">
        <v>571</v>
      </c>
      <c r="B131" s="308" t="s">
        <v>351</v>
      </c>
      <c r="C131" s="304"/>
      <c r="D131" s="679">
        <f t="shared" si="2"/>
        <v>0</v>
      </c>
      <c r="E131" s="304"/>
      <c r="F131" s="304">
        <f t="shared" si="3"/>
        <v>0</v>
      </c>
    </row>
    <row r="132" spans="1:6" ht="12.75" hidden="1">
      <c r="A132" s="307" t="s">
        <v>572</v>
      </c>
      <c r="B132" s="308" t="s">
        <v>352</v>
      </c>
      <c r="C132" s="304"/>
      <c r="D132" s="679">
        <f t="shared" si="2"/>
        <v>0</v>
      </c>
      <c r="E132" s="304"/>
      <c r="F132" s="304">
        <f t="shared" si="3"/>
        <v>0</v>
      </c>
    </row>
    <row r="133" spans="1:6" ht="12.75" hidden="1">
      <c r="A133" s="307" t="s">
        <v>573</v>
      </c>
      <c r="B133" s="308" t="s">
        <v>574</v>
      </c>
      <c r="C133" s="304"/>
      <c r="D133" s="679">
        <f aca="true" t="shared" si="4" ref="D133:D143">C133/453286579</f>
        <v>0</v>
      </c>
      <c r="E133" s="304"/>
      <c r="F133" s="304">
        <f t="shared" si="3"/>
        <v>0</v>
      </c>
    </row>
    <row r="134" spans="1:6" ht="12.75" hidden="1">
      <c r="A134" s="307" t="s">
        <v>575</v>
      </c>
      <c r="B134" s="308" t="s">
        <v>353</v>
      </c>
      <c r="C134" s="304"/>
      <c r="D134" s="679">
        <f t="shared" si="4"/>
        <v>0</v>
      </c>
      <c r="E134" s="304"/>
      <c r="F134" s="304">
        <f t="shared" si="3"/>
        <v>0</v>
      </c>
    </row>
    <row r="135" spans="1:6" ht="12.75" hidden="1">
      <c r="A135" s="307" t="s">
        <v>576</v>
      </c>
      <c r="B135" s="308" t="s">
        <v>354</v>
      </c>
      <c r="C135" s="304"/>
      <c r="D135" s="679">
        <f t="shared" si="4"/>
        <v>0</v>
      </c>
      <c r="E135" s="304"/>
      <c r="F135" s="304">
        <f aca="true" t="shared" si="5" ref="F135:F143">C135+E135</f>
        <v>0</v>
      </c>
    </row>
    <row r="136" spans="1:6" ht="12.75" hidden="1">
      <c r="A136" s="307" t="s">
        <v>577</v>
      </c>
      <c r="B136" s="308" t="s">
        <v>578</v>
      </c>
      <c r="C136" s="304"/>
      <c r="D136" s="679">
        <f t="shared" si="4"/>
        <v>0</v>
      </c>
      <c r="E136" s="304"/>
      <c r="F136" s="304">
        <f t="shared" si="5"/>
        <v>0</v>
      </c>
    </row>
    <row r="137" spans="1:6" ht="12.75" hidden="1">
      <c r="A137" s="307" t="s">
        <v>579</v>
      </c>
      <c r="B137" s="308" t="s">
        <v>355</v>
      </c>
      <c r="C137" s="304"/>
      <c r="D137" s="679">
        <f t="shared" si="4"/>
        <v>0</v>
      </c>
      <c r="E137" s="304"/>
      <c r="F137" s="304">
        <f t="shared" si="5"/>
        <v>0</v>
      </c>
    </row>
    <row r="138" spans="1:6" ht="12.75" hidden="1">
      <c r="A138" s="307" t="s">
        <v>580</v>
      </c>
      <c r="B138" s="308" t="s">
        <v>581</v>
      </c>
      <c r="C138" s="304"/>
      <c r="D138" s="679">
        <f t="shared" si="4"/>
        <v>0</v>
      </c>
      <c r="E138" s="304"/>
      <c r="F138" s="304">
        <f t="shared" si="5"/>
        <v>0</v>
      </c>
    </row>
    <row r="139" spans="1:6" ht="12.75" hidden="1">
      <c r="A139" s="307" t="s">
        <v>582</v>
      </c>
      <c r="B139" s="308" t="s">
        <v>583</v>
      </c>
      <c r="C139" s="304"/>
      <c r="D139" s="679">
        <f t="shared" si="4"/>
        <v>0</v>
      </c>
      <c r="E139" s="304"/>
      <c r="F139" s="304">
        <f t="shared" si="5"/>
        <v>0</v>
      </c>
    </row>
    <row r="140" spans="1:6" ht="12.75" hidden="1">
      <c r="A140" s="307" t="s">
        <v>584</v>
      </c>
      <c r="B140" s="308" t="s">
        <v>585</v>
      </c>
      <c r="C140" s="304"/>
      <c r="D140" s="679">
        <f t="shared" si="4"/>
        <v>0</v>
      </c>
      <c r="E140" s="304"/>
      <c r="F140" s="304">
        <f t="shared" si="5"/>
        <v>0</v>
      </c>
    </row>
    <row r="141" spans="1:6" ht="12.75" hidden="1">
      <c r="A141" s="315" t="s">
        <v>586</v>
      </c>
      <c r="B141" s="303" t="s">
        <v>587</v>
      </c>
      <c r="C141" s="304"/>
      <c r="D141" s="679">
        <f t="shared" si="4"/>
        <v>0</v>
      </c>
      <c r="E141" s="304"/>
      <c r="F141" s="304">
        <f t="shared" si="5"/>
        <v>0</v>
      </c>
    </row>
    <row r="142" spans="1:6" ht="12.75" hidden="1">
      <c r="A142" s="1433" t="s">
        <v>69</v>
      </c>
      <c r="B142" s="1434" t="s">
        <v>110</v>
      </c>
      <c r="C142" s="1103"/>
      <c r="D142" s="679">
        <f t="shared" si="4"/>
        <v>0</v>
      </c>
      <c r="E142" s="1103"/>
      <c r="F142" s="1103">
        <f t="shared" si="5"/>
        <v>0</v>
      </c>
    </row>
    <row r="143" spans="1:6" ht="26.25" customHeight="1">
      <c r="A143" s="1435"/>
      <c r="B143" s="1436" t="s">
        <v>25</v>
      </c>
      <c r="C143" s="1104">
        <f>C121+C114+C96+C90+C83+C43+C36+C31+C14+C4</f>
        <v>453286579</v>
      </c>
      <c r="D143" s="679">
        <f t="shared" si="4"/>
        <v>1</v>
      </c>
      <c r="E143" s="1104">
        <f>E121+E114+E96+E90+E83+E43+E36+E31+E14+E4</f>
        <v>174840402.21</v>
      </c>
      <c r="F143" s="1104">
        <f t="shared" si="5"/>
        <v>628126981.21</v>
      </c>
    </row>
    <row r="144" spans="1:6" ht="12.75">
      <c r="A144" s="316"/>
      <c r="B144" s="317"/>
      <c r="C144" s="318"/>
      <c r="D144" s="680"/>
      <c r="E144" s="318"/>
      <c r="F144" s="318"/>
    </row>
    <row r="145" ht="12.75">
      <c r="F145" s="345"/>
    </row>
    <row r="146" ht="12.75">
      <c r="C146" s="323"/>
    </row>
  </sheetData>
  <sheetProtection/>
  <mergeCells count="1">
    <mergeCell ref="A1:F1"/>
  </mergeCells>
  <conditionalFormatting sqref="C144 E144:F144">
    <cfRule type="cellIs" priority="1" dxfId="1" operator="notEqual" stopIfTrue="1">
      <formula>0</formula>
    </cfRule>
  </conditionalFormatting>
  <conditionalFormatting sqref="C144:F144">
    <cfRule type="cellIs" priority="2" dxfId="0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Finansija1</cp:lastModifiedBy>
  <cp:lastPrinted>2021-07-28T11:49:11Z</cp:lastPrinted>
  <dcterms:created xsi:type="dcterms:W3CDTF">2006-09-18T16:16:27Z</dcterms:created>
  <dcterms:modified xsi:type="dcterms:W3CDTF">2021-08-20T06:13:50Z</dcterms:modified>
  <cp:category/>
  <cp:version/>
  <cp:contentType/>
  <cp:contentStatus/>
</cp:coreProperties>
</file>