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6570" activeTab="0"/>
  </bookViews>
  <sheets>
    <sheet name="Rashodi-2020" sheetId="1" r:id="rId1"/>
    <sheet name="rash.po nam." sheetId="2" state="hidden" r:id="rId2"/>
    <sheet name="Prihodi-2020." sheetId="3" r:id="rId3"/>
    <sheet name="prihodi 2" sheetId="4" state="hidden" r:id="rId4"/>
    <sheet name="SUf.i def.- NOVO" sheetId="5" state="hidden" r:id="rId5"/>
    <sheet name="Struktura programa" sheetId="6" state="hidden" r:id="rId6"/>
    <sheet name="Rash.po funkcijama" sheetId="7" state="hidden" r:id="rId7"/>
    <sheet name="Dodatno fin." sheetId="8" state="hidden" r:id="rId8"/>
    <sheet name="Sheet1" sheetId="9" state="hidden" r:id="rId9"/>
  </sheets>
  <externalReferences>
    <externalReference r:id="rId12"/>
    <externalReference r:id="rId13"/>
  </externalReferences>
  <definedNames>
    <definedName name="_xlfn.IFERROR" hidden="1">#NAME?</definedName>
    <definedName name="ljkl">'[1]Расх по функц. '!$F$139</definedName>
    <definedName name="_xlnm.Print_Area" localSheetId="2">'Prihodi-2020.'!$A$1:$O$158</definedName>
    <definedName name="_xlnm.Print_Area" localSheetId="1">'rash.po nam.'!$A$1:$J$92</definedName>
    <definedName name="_xlnm.Print_Area" localSheetId="0">'Rashodi-2020'!$A$1:$W$516</definedName>
    <definedName name="_xlnm.Print_Titles" localSheetId="0">'Rashodi-2020'!$6:$6</definedName>
    <definedName name="Ukupno_funkcionalna">'[1]Расх по функц. '!$F$139</definedName>
    <definedName name="Ukupno_izdaci">'[1]По основ. нам.'!$F$86</definedName>
  </definedNames>
  <calcPr fullCalcOnLoad="1"/>
</workbook>
</file>

<file path=xl/sharedStrings.xml><?xml version="1.0" encoding="utf-8"?>
<sst xmlns="http://schemas.openxmlformats.org/spreadsheetml/2006/main" count="2050" uniqueCount="1591">
  <si>
    <t>Програм 5.  Развој пољопривреде</t>
  </si>
  <si>
    <t>Програм 6.  Заштита животне средине</t>
  </si>
  <si>
    <t>Програм 7.  Путна инфраструктура</t>
  </si>
  <si>
    <t>Програм 8.  Предшколско васпитање</t>
  </si>
  <si>
    <t>Програм 9.  Основно образовање</t>
  </si>
  <si>
    <t>Програм 10. Средње образовање</t>
  </si>
  <si>
    <t>Програм 11.  Социјална  и дечја заштита</t>
  </si>
  <si>
    <t>Програм 12.  Примарна здравствена заштита</t>
  </si>
  <si>
    <t>Програм 13.  Развој културе</t>
  </si>
  <si>
    <t>Програм 14.  Развој спорта и омладине</t>
  </si>
  <si>
    <t>Програм 15.  Локална самоуправа</t>
  </si>
  <si>
    <t>Структ-ура %</t>
  </si>
  <si>
    <t>Сопствени и други приходи</t>
  </si>
  <si>
    <t>Укупна средства</t>
  </si>
  <si>
    <t>1</t>
  </si>
  <si>
    <t>Средства из буџета</t>
  </si>
  <si>
    <t>01</t>
  </si>
  <si>
    <t>Mатеријал за потребе одбране</t>
  </si>
  <si>
    <t>04</t>
  </si>
  <si>
    <t>07</t>
  </si>
  <si>
    <t>06</t>
  </si>
  <si>
    <t>090</t>
  </si>
  <si>
    <t>040</t>
  </si>
  <si>
    <t>Број конта</t>
  </si>
  <si>
    <t>В Р С Т А   Р А С Х О Д А</t>
  </si>
  <si>
    <t>УКУПНО</t>
  </si>
  <si>
    <t>РАСХОДИ ЗА ЗАПОСЛЕНЕ</t>
  </si>
  <si>
    <t>Плате и додаци запослених</t>
  </si>
  <si>
    <t>Социјални доприноси</t>
  </si>
  <si>
    <t>Накнаде у натури</t>
  </si>
  <si>
    <t>Социјална давања запосленима</t>
  </si>
  <si>
    <t>Накнаде за запослене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</si>
  <si>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</si>
  <si>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</si>
  <si>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</si>
  <si>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</si>
  <si>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</si>
  <si>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попр.и одрж.(усл.и матер).</t>
  </si>
  <si>
    <t>Материјал</t>
  </si>
  <si>
    <t>Употреба основних средстава</t>
  </si>
  <si>
    <t>ОТПЛАТА КАМАТА</t>
  </si>
  <si>
    <t>Отплата домаћих камата</t>
  </si>
  <si>
    <t>ДОНАЦИЈЕ  И  ТРАНСФЕРИ</t>
  </si>
  <si>
    <t>Трансф. осталим нивоима власти</t>
  </si>
  <si>
    <t>Накнаде за социјалну заштиту</t>
  </si>
  <si>
    <t>ОСТАЛИ РАСХОДИ</t>
  </si>
  <si>
    <t>Дотације невладином организац.</t>
  </si>
  <si>
    <t>Порези,обав.таксе и казне</t>
  </si>
  <si>
    <t>Средства резерве</t>
  </si>
  <si>
    <t>ОСНОВНА СРЕДСТВА</t>
  </si>
  <si>
    <t>Зграде и грађевински објекти</t>
  </si>
  <si>
    <t>Машина и опрема</t>
  </si>
  <si>
    <t>731+732</t>
  </si>
  <si>
    <t>48+49</t>
  </si>
  <si>
    <t>група конта</t>
  </si>
  <si>
    <t>ВРСТА ПРИХОДА</t>
  </si>
  <si>
    <t>Приходи Буџета                                               извор финансирања: 01</t>
  </si>
  <si>
    <t>Порези</t>
  </si>
  <si>
    <t>Донације и трансфери</t>
  </si>
  <si>
    <t>Други приходи</t>
  </si>
  <si>
    <t>Сопствени приходи корисника                        извор финансирања: 04</t>
  </si>
  <si>
    <t>Донације и трансфери од међунар.организације                                       извор финансирања: 06</t>
  </si>
  <si>
    <t>Донације и трасфери                                       извор финансирања: 07</t>
  </si>
  <si>
    <t xml:space="preserve">Донације и трасфери </t>
  </si>
  <si>
    <t>УКУПНО ЗА ИЗВОР 01:</t>
  </si>
  <si>
    <t>УКУПНО ЗА ИЗВОР 04:</t>
  </si>
  <si>
    <t>УКУПНО ЗА ИЗВОР 06:</t>
  </si>
  <si>
    <t>УКУПНО ЗА ИЗВОР 07:</t>
  </si>
  <si>
    <t>760</t>
  </si>
  <si>
    <t>980</t>
  </si>
  <si>
    <t>АДМИНИСТ. ТРАНСФ. ИЗ БУЏЕТА</t>
  </si>
  <si>
    <t>ПРАВА ИЗ СОЦ. ОСИГУРАЊА</t>
  </si>
  <si>
    <t>Новч.казне по реш. судова</t>
  </si>
  <si>
    <t>1.1</t>
  </si>
  <si>
    <t>Земљиште</t>
  </si>
  <si>
    <t>Накн.штете нанете од стране држ.орг.</t>
  </si>
  <si>
    <t>130</t>
  </si>
  <si>
    <t>О П И С</t>
  </si>
  <si>
    <t>СКУПШТИНА ОПШТИНЕ</t>
  </si>
  <si>
    <t>Социјални доприноси на терет послодавца</t>
  </si>
  <si>
    <t>Дотације невладиним организ.-политичке странке</t>
  </si>
  <si>
    <t xml:space="preserve">ПРЕДСЕДНИК ОПШТИНЕ </t>
  </si>
  <si>
    <t>Порези, обавезне таксе и казне</t>
  </si>
  <si>
    <t>Машине и опрема</t>
  </si>
  <si>
    <t>Стална резерва</t>
  </si>
  <si>
    <t>Текућа резерва</t>
  </si>
  <si>
    <t>ОПШТИНСКО ВЕЋЕ</t>
  </si>
  <si>
    <t>Услуге по уговору-за унапређивање родне равноправности</t>
  </si>
  <si>
    <t>Услуге јавног здравства</t>
  </si>
  <si>
    <t>ОПШТИНСКА УПРАВА</t>
  </si>
  <si>
    <t>Опште услуге</t>
  </si>
  <si>
    <t>Текуће поправке и одржавање</t>
  </si>
  <si>
    <t>Новчане казне и пенали</t>
  </si>
  <si>
    <t>Накнада штете нанете од стране државних органа</t>
  </si>
  <si>
    <t>Породица и деца</t>
  </si>
  <si>
    <t>ПУ "РАДОСТ"</t>
  </si>
  <si>
    <t>Предшколско образовање</t>
  </si>
  <si>
    <t>Основно образовање</t>
  </si>
  <si>
    <t>413 Накнаде у натури</t>
  </si>
  <si>
    <t>415 Накнаде за запослене</t>
  </si>
  <si>
    <t>421 Стални трошкови</t>
  </si>
  <si>
    <t>422 Трошкови путовања ученика</t>
  </si>
  <si>
    <t>423 Услуге по уговору</t>
  </si>
  <si>
    <t>424 Специјализоване услуге</t>
  </si>
  <si>
    <t>425 Текуће поправке и одржавање</t>
  </si>
  <si>
    <t>426 Материјал</t>
  </si>
  <si>
    <t>482 Порези, обавезне таксе и казне</t>
  </si>
  <si>
    <t>512 Машине и опрема</t>
  </si>
  <si>
    <t xml:space="preserve">Средње образовање </t>
  </si>
  <si>
    <t>415 Накнада за запослене</t>
  </si>
  <si>
    <t>Образовање некласификовано на другом месту</t>
  </si>
  <si>
    <t>Социјална заштита некласификована на другом месту</t>
  </si>
  <si>
    <t>411 Плате и додаци запослених</t>
  </si>
  <si>
    <t>412 Социјални доприноси на терет послодавца</t>
  </si>
  <si>
    <t>Зграде и грађ.објекти</t>
  </si>
  <si>
    <t>Стамбени развој</t>
  </si>
  <si>
    <t>Развој заједнице</t>
  </si>
  <si>
    <t>МЕСНЕ ЗАЈЕДНИЦЕ</t>
  </si>
  <si>
    <t>МЗ ЧОКА</t>
  </si>
  <si>
    <t>Остале делатности</t>
  </si>
  <si>
    <t>МЗ ПАДЕЈ</t>
  </si>
  <si>
    <t>Текуће поправке објеката</t>
  </si>
  <si>
    <t>Дотације осталим непроф.институцијама</t>
  </si>
  <si>
    <t>Порези,обавезне таксе и казне</t>
  </si>
  <si>
    <t>МЗ ОСТОЈИЋЕВО</t>
  </si>
  <si>
    <t>МЗ САНАД</t>
  </si>
  <si>
    <t>МЗ ЦРНА БАРА</t>
  </si>
  <si>
    <t>МЗ ВРБИЦА</t>
  </si>
  <si>
    <t>МЗ ЈАЗОВО</t>
  </si>
  <si>
    <t xml:space="preserve">Стални трошкови </t>
  </si>
  <si>
    <t>УКУПНО:</t>
  </si>
  <si>
    <t>РАЗДЕО</t>
  </si>
  <si>
    <t>ГЛАВА</t>
  </si>
  <si>
    <t>ФУНКЦИЈА</t>
  </si>
  <si>
    <t>Екон. класиф.</t>
  </si>
  <si>
    <t>Општина Чока</t>
  </si>
  <si>
    <t>Општинска управа</t>
  </si>
  <si>
    <t>ИЗВОР Ф.</t>
  </si>
  <si>
    <t>КЛАСА</t>
  </si>
  <si>
    <t>ГРУПА</t>
  </si>
  <si>
    <t>СИНТЕТИКА</t>
  </si>
  <si>
    <t>АНАЛИТ.</t>
  </si>
  <si>
    <t>СУБАНА</t>
  </si>
  <si>
    <t>ОПИС</t>
  </si>
  <si>
    <t>Приходи из буџета</t>
  </si>
  <si>
    <t>ТЕКУЋИ ПРИХОДИ</t>
  </si>
  <si>
    <t>ПОРЕЗ НА ДОХОДАК, ДОБИТ И КАПИТАЛНЕ ДОБИТКЕ</t>
  </si>
  <si>
    <t>Порези на доходак и капиталне добитке које плаћају физичка лица</t>
  </si>
  <si>
    <t>Порез на зараде</t>
  </si>
  <si>
    <t>ПОРЕЗ НА ФОНД ЗАРАДА</t>
  </si>
  <si>
    <t>Порез на фонд зарада</t>
  </si>
  <si>
    <t>ПОРЕЗ НА ИМОВИНУ</t>
  </si>
  <si>
    <t>Периодични порези на непокретности</t>
  </si>
  <si>
    <t>Порези на наслеђе и поклон</t>
  </si>
  <si>
    <t>Порез на наслеђе и поклон</t>
  </si>
  <si>
    <t>Порези на финансијске и капиталне трансакције</t>
  </si>
  <si>
    <t>Други периодични порези на имовину</t>
  </si>
  <si>
    <t>ПОРЕЗ НА ДОБРА И УСЛУГЕ</t>
  </si>
  <si>
    <t>Порези на појединачне услуге</t>
  </si>
  <si>
    <t>Комунална такса за коришћење рекламних паноа</t>
  </si>
  <si>
    <t>Средства за противпожарну заштиту</t>
  </si>
  <si>
    <t>Порези на употребу добара и на дозволу да се добра употребљавају или делатности обав.</t>
  </si>
  <si>
    <t>Накнада за коришћење добара од општег интереса</t>
  </si>
  <si>
    <t>ДРУГИ ПОРЕЗИ</t>
  </si>
  <si>
    <t>Други порези које искључиво плаћају предузећа, односно предузетници</t>
  </si>
  <si>
    <t>ТРАНСФЕРИ ОД ДРУГИХ НИВОА ВЛАСТИ</t>
  </si>
  <si>
    <t>Текући трансфери од других нивоа власти</t>
  </si>
  <si>
    <t>Дотације орг. из области заштите животне средине</t>
  </si>
  <si>
    <t xml:space="preserve">ПРОГРАМ 3: ЛОКАЛНИ ЕКОНОМСКИ РАЗВОЈ
</t>
  </si>
  <si>
    <t>Дотације орг.за локални економски развој</t>
  </si>
  <si>
    <t>Економски посл.некласиф.на другом месту</t>
  </si>
  <si>
    <t>Економски послови некласиф.на другом месту</t>
  </si>
  <si>
    <t>Учешће капитала у дом.нефим.јавним пред,</t>
  </si>
  <si>
    <t>Услуге културе</t>
  </si>
  <si>
    <t>Услуге рекреације и спорта</t>
  </si>
  <si>
    <t>Улична расвета</t>
  </si>
  <si>
    <t>Ненаменски трансфер од АП Војводина у корист нивоа општина</t>
  </si>
  <si>
    <t>ПРИХОДИ ОД ИМОВИНЕ</t>
  </si>
  <si>
    <t>Камате</t>
  </si>
  <si>
    <t>Закуп непроизведене имовине</t>
  </si>
  <si>
    <t>Накнада за коришћење минералних сировина</t>
  </si>
  <si>
    <t>Накнада за коришћење простора и грађевинског земљишта</t>
  </si>
  <si>
    <t>ПРИХОДИ ОД ПРОДАЈЕ ДОБАРА И УСЛУГА</t>
  </si>
  <si>
    <t>Таксе</t>
  </si>
  <si>
    <t>НОВЧАНЕ КАЗНЕ И ОДУЗЕТА ИМОВИНСКА КОРИСТ</t>
  </si>
  <si>
    <t>Приходи од новчаних казни за прекршаје</t>
  </si>
  <si>
    <t>Приходи од новчаних казни за прекршаје у корист нивоа општина</t>
  </si>
  <si>
    <t>ДОБРОВОЉНИ ТРАНСФЕРИ ОД ФИЗИЧКИХ И ПРАВНИХ ЛИЦА</t>
  </si>
  <si>
    <t>Текући добровољни трансфери од физичких и правних лица</t>
  </si>
  <si>
    <t>Текући добровољни трансфери од физичких и правних лица у корист нивоа општина</t>
  </si>
  <si>
    <t>Капит.добровољни трансф.од физич.и прав.лица</t>
  </si>
  <si>
    <t>МЕШОВИТИ И НЕОДРЕЂЕНИ ПРИХОДИ</t>
  </si>
  <si>
    <t>Мешовити и неодређени приходи</t>
  </si>
  <si>
    <t>Примања од продаје домаћих акција и осталог капитала</t>
  </si>
  <si>
    <t>Примања од продаје домаћих акција и осталог капитала у корист нивоа општина</t>
  </si>
  <si>
    <t xml:space="preserve">Сопствени приходи </t>
  </si>
  <si>
    <t>Донације од међународних организација</t>
  </si>
  <si>
    <t>ДОНАЦИЈЕ ОД МЕЂУНАРОДНИХ ОРГАНИЗАЦИЈА</t>
  </si>
  <si>
    <t>Донације од осталих нивоа власти</t>
  </si>
  <si>
    <t>УКУПНО ЗА ИЗВОР 01-ПРИХОДИ ИЗ БУЏЕТА</t>
  </si>
  <si>
    <t>УКУПНО ЗА ИЗВОР 04</t>
  </si>
  <si>
    <t>УКУПНО ЗА ИЗВОР 06</t>
  </si>
  <si>
    <t>УКУПНО ЗА ИЗВОР 07</t>
  </si>
  <si>
    <t>Награде запосленима</t>
  </si>
  <si>
    <t>416 Награде запосленима</t>
  </si>
  <si>
    <t xml:space="preserve">Социјална давања запосленима- отпремнине                  </t>
  </si>
  <si>
    <t>Социјална давања</t>
  </si>
  <si>
    <t>Набавка пољопривредног земљишта</t>
  </si>
  <si>
    <t>Порез на приходе од осигурања лица</t>
  </si>
  <si>
    <t>Приходи општинских органа управе</t>
  </si>
  <si>
    <t>Споредне продаје добара и услуга које врше државне нетржишне јединице</t>
  </si>
  <si>
    <t>Приходи од новчаних казни за саобраћајне прекршаје</t>
  </si>
  <si>
    <t>Нематеријална имовина (књиге)</t>
  </si>
  <si>
    <t xml:space="preserve">422 Трошкови путовања </t>
  </si>
  <si>
    <t xml:space="preserve">Пољопривреда </t>
  </si>
  <si>
    <t>Пратећи трошкови задуживања</t>
  </si>
  <si>
    <t>Остале дотације и трансфери</t>
  </si>
  <si>
    <t>Култивисана имовина</t>
  </si>
  <si>
    <t>Нематеријална имовина</t>
  </si>
  <si>
    <r>
      <t>К</t>
    </r>
    <r>
      <rPr>
        <i/>
        <sz val="10"/>
        <color indexed="8"/>
        <rFont val="Arial"/>
        <family val="2"/>
      </rPr>
      <t>апит.добровољни трансф.од физич.и прав.лица</t>
    </r>
  </si>
  <si>
    <t>ДОБРОВ.ТАНСФЕРИ ОД ФИЗИЧКИХ И ПРАВНИХ ЛИЦА</t>
  </si>
  <si>
    <t>Порези, обавезне таксе и казне (по програму)</t>
  </si>
  <si>
    <t>Стални трошкови (по програму)</t>
  </si>
  <si>
    <t>414 Социјална давања запосленима</t>
  </si>
  <si>
    <t>511 Зграде и грађ.објекти</t>
  </si>
  <si>
    <t>Пројекат:  Сред.за решавање стамб.потреба и др.програме за интеграцију избеглица</t>
  </si>
  <si>
    <t>13</t>
  </si>
  <si>
    <t>15</t>
  </si>
  <si>
    <t>УКУПНО ЗА ИЗВОР 13</t>
  </si>
  <si>
    <t>УКУПНО ЗА ИЗВОР 15</t>
  </si>
  <si>
    <t>Неутрошена средства донација из претх.година</t>
  </si>
  <si>
    <t>Нераспоређени вишак прихода 
из ранијих година</t>
  </si>
  <si>
    <t>Неутрошена средства донација
 из претх.година</t>
  </si>
  <si>
    <t>Нераспоређени вишак прихода и примања из ранијих година</t>
  </si>
  <si>
    <t>ОБРАЧУН СУФИЦИТА / ДЕФИЦИТА СА РАЧУНОМ ФИНАНСИРАЊА</t>
  </si>
  <si>
    <t>Образац 3.</t>
  </si>
  <si>
    <t>Опис</t>
  </si>
  <si>
    <t>Износ</t>
  </si>
  <si>
    <t>А. РАЧУН ПРИХОДА И ПРИМАЊА, РАСХОДА И ИЗДАТАКА</t>
  </si>
  <si>
    <t>1. Укупни приходи и примања од продаје нефинансијске имовине (кл. 7+8)</t>
  </si>
  <si>
    <t>1.1. ТЕКУЋИ ПРИХОДИ (класа 7)  у чему:</t>
  </si>
  <si>
    <t>1.2. ПРИМАЊА ОД ПРОДАЈЕ НЕФИНАНСИЈСКЕ ИМОВИНЕ (класа 8)</t>
  </si>
  <si>
    <t>2. Укупни расходи и издаци за набавку нефинансијске имовине (кл. 4+5)</t>
  </si>
  <si>
    <t>2.1. ТЕКУЋИ РАСХОДИ (класа 4) у чему:</t>
  </si>
  <si>
    <t>2.2. ИЗДАЦИ ЗА НАБАВКУ НЕФИНАНСИЈСКЕ ИМОВИНЕ (класа 5) у чему:</t>
  </si>
  <si>
    <t>БУЏЕТСКИ СУФИЦИТ / ДЕФИЦИТ (кл. 7+8) - (кл. 4+5)</t>
  </si>
  <si>
    <t>Издаци за набавку финансијске имовине (у циљу спровођења јавних политика) категорија 62</t>
  </si>
  <si>
    <t>Примања од продаје финансијске имовине (категорија 92 осим 9211, 9221, 9219, 9227, 9228)</t>
  </si>
  <si>
    <t>УКУПАН ФИСКАЛНИ СУФИЦИТ / ДЕФИЦИТ (7+8) - (4+5) +(92-62)</t>
  </si>
  <si>
    <t>Б. РАЧУН ФИНАНСИРАЊА</t>
  </si>
  <si>
    <t>Неутрошена средства из претходних година</t>
  </si>
  <si>
    <t>НЕТО ФИНАНСИРАЊЕ</t>
  </si>
  <si>
    <t>Шифра  економ.
класифик.</t>
  </si>
  <si>
    <t>Порески приходи</t>
  </si>
  <si>
    <t>1.</t>
  </si>
  <si>
    <t>Порези на доходак, добит и капит.добитке</t>
  </si>
  <si>
    <t>Порези на имовину</t>
  </si>
  <si>
    <t>1.3</t>
  </si>
  <si>
    <t>Порези на добра и услуге</t>
  </si>
  <si>
    <t>1.4</t>
  </si>
  <si>
    <t>Други порези</t>
  </si>
  <si>
    <t>2.</t>
  </si>
  <si>
    <t>Непорески приходи</t>
  </si>
  <si>
    <t>Од тога наплаћене камате</t>
  </si>
  <si>
    <t>3.</t>
  </si>
  <si>
    <t>Донације</t>
  </si>
  <si>
    <t xml:space="preserve">4. </t>
  </si>
  <si>
    <t>Трансфери</t>
  </si>
  <si>
    <t>Расходи за запослене</t>
  </si>
  <si>
    <t>Коришћење роба и услуга</t>
  </si>
  <si>
    <t>Отплата камата</t>
  </si>
  <si>
    <t>4.</t>
  </si>
  <si>
    <t>Субвенције</t>
  </si>
  <si>
    <t>5.</t>
  </si>
  <si>
    <t>Права из социј.осигурања</t>
  </si>
  <si>
    <t>6.</t>
  </si>
  <si>
    <t>Остали расходи</t>
  </si>
  <si>
    <t>7.</t>
  </si>
  <si>
    <t>8.</t>
  </si>
  <si>
    <t>7+8</t>
  </si>
  <si>
    <t>4+5</t>
  </si>
  <si>
    <t xml:space="preserve">Примања од задуживања </t>
  </si>
  <si>
    <t xml:space="preserve">Издаци за отплату главнице дуга </t>
  </si>
  <si>
    <t>Машине и опрема - за потребе одбране</t>
  </si>
  <si>
    <t>160</t>
  </si>
  <si>
    <t xml:space="preserve">КУЛТУРНО-ОБРАЗОВНИ ЦЕНТАР ЧОКА                  </t>
  </si>
  <si>
    <t>Остале тек.дот. по закону-испл.за инвалиде</t>
  </si>
  <si>
    <t>050</t>
  </si>
  <si>
    <t>Позиција - МТ</t>
  </si>
  <si>
    <t>Програмска 
класификација</t>
  </si>
  <si>
    <t>0602</t>
  </si>
  <si>
    <t>ПРОГРАМ 15 ЛОКАЛНА САМОУПРАВА</t>
  </si>
  <si>
    <t>0602-0001</t>
  </si>
  <si>
    <t>0602-0010</t>
  </si>
  <si>
    <t>2001-0001</t>
  </si>
  <si>
    <t>2002-0001</t>
  </si>
  <si>
    <t>2003</t>
  </si>
  <si>
    <t>2002</t>
  </si>
  <si>
    <t>2001</t>
  </si>
  <si>
    <t>2003-0001</t>
  </si>
  <si>
    <t>1201</t>
  </si>
  <si>
    <t>1201-0001</t>
  </si>
  <si>
    <t>0901</t>
  </si>
  <si>
    <t>0901-0001</t>
  </si>
  <si>
    <t>ПРОГРАМ 11 СОЦИЈАЛНА И ДЕЧИЈА ЗАШТИТА</t>
  </si>
  <si>
    <t>1801</t>
  </si>
  <si>
    <t>1801-0001</t>
  </si>
  <si>
    <t>1101</t>
  </si>
  <si>
    <t>0602-0002</t>
  </si>
  <si>
    <t>Пројекат:  ЛАГ</t>
  </si>
  <si>
    <t>0901-0005</t>
  </si>
  <si>
    <t>423</t>
  </si>
  <si>
    <t>0901-0006</t>
  </si>
  <si>
    <t>1301</t>
  </si>
  <si>
    <t>ПРОГРАМ 14 РАЗВОЈ СПОРТА И ОМЛАДИНЕ</t>
  </si>
  <si>
    <t>1301-0001</t>
  </si>
  <si>
    <t>1201-0002</t>
  </si>
  <si>
    <t>0101</t>
  </si>
  <si>
    <t>0101-0001</t>
  </si>
  <si>
    <t>0101-0002</t>
  </si>
  <si>
    <t>ПРОГРАМ 6: ЗАШТИТА ЖИВОТНЕ СРЕДИНЕ</t>
  </si>
  <si>
    <t>0401</t>
  </si>
  <si>
    <t>0401-0001</t>
  </si>
  <si>
    <t>1101-0001</t>
  </si>
  <si>
    <t>0701</t>
  </si>
  <si>
    <t>0701-0002</t>
  </si>
  <si>
    <t>ПРОГРАМ 2: КОМУНАЛНА ДЕЛАТНОСТ</t>
  </si>
  <si>
    <t xml:space="preserve">Функционисање локалне самоуправе </t>
  </si>
  <si>
    <t>Функционисање основних школа</t>
  </si>
  <si>
    <t>Функционисање средњих школа</t>
  </si>
  <si>
    <t>Функционисање локалних установа културе</t>
  </si>
  <si>
    <t>Подршка локалним спортским организацијама, удружењима и савезима</t>
  </si>
  <si>
    <t>Функционисање установа примарне здравствене заштите</t>
  </si>
  <si>
    <t>Управљање комуналним отпадом</t>
  </si>
  <si>
    <t>Водоснабдевање</t>
  </si>
  <si>
    <t xml:space="preserve">Пројекат:  Подршка спровођењу пројеката локалне самоуптаве, НВО, привредних и друштвених организација </t>
  </si>
  <si>
    <t>3</t>
  </si>
  <si>
    <t>4</t>
  </si>
  <si>
    <t>Заштита животне средине некласификована на другом месту</t>
  </si>
  <si>
    <t>ЗДРАВСТВО</t>
  </si>
  <si>
    <t>Фармацеутски производи</t>
  </si>
  <si>
    <t>Остали медицински производи</t>
  </si>
  <si>
    <t>Терапеутска помагала и опрема</t>
  </si>
  <si>
    <t>Опште медицинске услуге</t>
  </si>
  <si>
    <t>Специјализоване медицинске услуге</t>
  </si>
  <si>
    <t>Стоматолошке услуге</t>
  </si>
  <si>
    <t>Парамедицинске услуге</t>
  </si>
  <si>
    <t>Опште болничке услуге</t>
  </si>
  <si>
    <t>Специјализоване болничке услуге</t>
  </si>
  <si>
    <t>Услуге медицинских центара и породилишта</t>
  </si>
  <si>
    <t>РЕКРЕАЦИЈА, СПОРТ, КУЛТУРА И ВЕРЕ</t>
  </si>
  <si>
    <t>Рекреација, спорт, култура и вере, некласификовано на другом месту</t>
  </si>
  <si>
    <t>ОБРАЗОВАЊЕ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</si>
  <si>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</si>
  <si>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</si>
  <si>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</si>
  <si>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Основно образовање са средњом школом и домом ученика</t>
  </si>
  <si>
    <t>Ниже средње образовање</t>
  </si>
  <si>
    <t>Више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</si>
  <si>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</si>
  <si>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</si>
  <si>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</si>
  <si>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 - први степен</t>
  </si>
  <si>
    <t>СОЦИЈАЛНА ЗАШТИТА</t>
  </si>
  <si>
    <t>ОПШТЕ ЈАВНЕ УСЛУГЕ</t>
  </si>
  <si>
    <t>Извршни и законодавни органи</t>
  </si>
  <si>
    <t>Финансијски и фискални послови</t>
  </si>
  <si>
    <t>Спољни послови</t>
  </si>
  <si>
    <t>Економска помоћ земљама у развоју и земљама у транзицији</t>
  </si>
  <si>
    <t>Економска помоћ преко међународних организација</t>
  </si>
  <si>
    <t>Опште кадровске услуге</t>
  </si>
  <si>
    <t>Опште услуге планирања и статистике</t>
  </si>
  <si>
    <t>Остале опште услуге</t>
  </si>
  <si>
    <t>Трансфери општег карактера између различитих нивоа власти</t>
  </si>
  <si>
    <t>ЈАВНИ РЕД И БЕЗБЕДНОСТ</t>
  </si>
  <si>
    <t>ЕКОНОМСКИ ПОСЛОВИ</t>
  </si>
  <si>
    <t>Општи економски и комерцијални послови</t>
  </si>
  <si>
    <t>Општи послови по питању рада</t>
  </si>
  <si>
    <t>Пољопривреда</t>
  </si>
  <si>
    <t>Шумарство</t>
  </si>
  <si>
    <t>Лов и риболов</t>
  </si>
  <si>
    <t>Угаљ и остала чврста минерална горива</t>
  </si>
  <si>
    <t>Нафта и природни гас</t>
  </si>
  <si>
    <t>Нуклеарно гориво</t>
  </si>
  <si>
    <t>Остала горива</t>
  </si>
  <si>
    <t>Електрична енергија</t>
  </si>
  <si>
    <t>Остала енергија</t>
  </si>
  <si>
    <t>Ископавање минералних ресурса, изузев минералних горива</t>
  </si>
  <si>
    <t>Производња</t>
  </si>
  <si>
    <t>Изградња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</si>
  <si>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</si>
  <si>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</si>
  <si>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</si>
  <si>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</si>
  <si>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</si>
  <si>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Трговина, смештај и складиштење</t>
  </si>
  <si>
    <t>Хотели и ресторани</t>
  </si>
  <si>
    <t>Туризам</t>
  </si>
  <si>
    <t>Вишенаменски развојни пројекти</t>
  </si>
  <si>
    <t>Истраживање и развој - Општи економски и комерцијални послови и послови по питању рада</t>
  </si>
  <si>
    <t>Истраживање и развој - Пољопривреда, шумарство, лов и риболов</t>
  </si>
  <si>
    <t>Истраживање и развој - Гориво и енергија</t>
  </si>
  <si>
    <t>Истраживање и развој - Рударство, производња и изградња</t>
  </si>
  <si>
    <t>Истраживање и развој - Саобраћај</t>
  </si>
  <si>
    <t>Истраживање и развој - Комуникације</t>
  </si>
  <si>
    <t>Истраживање и развој - Остале делатности</t>
  </si>
  <si>
    <t>Економски послови некласификовани на другом месту</t>
  </si>
  <si>
    <t>ЗАШТИТА ЖИВОТНЕ СРЕДИНЕ</t>
  </si>
  <si>
    <t>912</t>
  </si>
  <si>
    <t>Средства из осталих извора</t>
  </si>
  <si>
    <t>Структура         %</t>
  </si>
  <si>
    <t>410</t>
  </si>
  <si>
    <t>420</t>
  </si>
  <si>
    <t>421</t>
  </si>
  <si>
    <t>430</t>
  </si>
  <si>
    <t>440</t>
  </si>
  <si>
    <t>450</t>
  </si>
  <si>
    <t>460</t>
  </si>
  <si>
    <t>470</t>
  </si>
  <si>
    <t>480</t>
  </si>
  <si>
    <t>510</t>
  </si>
  <si>
    <t>540</t>
  </si>
  <si>
    <t>610</t>
  </si>
  <si>
    <t>620</t>
  </si>
  <si>
    <t>452</t>
  </si>
  <si>
    <t xml:space="preserve">       ОПШТИ ДЕО  -   ФУНКЦИОНАЛНА КЛАСИФИКАЦИЈА РАСХОДА</t>
  </si>
  <si>
    <t>Функциje</t>
  </si>
  <si>
    <t xml:space="preserve">Функционална класификација </t>
  </si>
  <si>
    <t>010</t>
  </si>
  <si>
    <t>Болест и инвалидност;</t>
  </si>
  <si>
    <t>020</t>
  </si>
  <si>
    <t>Старост;</t>
  </si>
  <si>
    <t>030</t>
  </si>
  <si>
    <t>Корисници породичне пензије;</t>
  </si>
  <si>
    <t>Породица и деца;</t>
  </si>
  <si>
    <t>Незапосленост;</t>
  </si>
  <si>
    <t>060</t>
  </si>
  <si>
    <t>Становање;</t>
  </si>
  <si>
    <t>070</t>
  </si>
  <si>
    <t>Социјална помоћ угроженом становништву некласификована на другом месту;</t>
  </si>
  <si>
    <t>080</t>
  </si>
  <si>
    <t>Социјална заштита - истраживање и развој;</t>
  </si>
  <si>
    <t>100</t>
  </si>
  <si>
    <t>110</t>
  </si>
  <si>
    <t>Извршни и законодавни органи, финансијски и фискални послови и спољни послови;</t>
  </si>
  <si>
    <t>111</t>
  </si>
  <si>
    <t>112</t>
  </si>
  <si>
    <t>113</t>
  </si>
  <si>
    <t>120</t>
  </si>
  <si>
    <t>Економска помоћ иностранству;</t>
  </si>
  <si>
    <t>121</t>
  </si>
  <si>
    <t>122</t>
  </si>
  <si>
    <t>Опште услуге;</t>
  </si>
  <si>
    <t>131</t>
  </si>
  <si>
    <t>132</t>
  </si>
  <si>
    <t>133</t>
  </si>
  <si>
    <t>140</t>
  </si>
  <si>
    <t>Основно истраживање;</t>
  </si>
  <si>
    <t>150</t>
  </si>
  <si>
    <t>Опште јавне услуге - истраживање и развој;</t>
  </si>
  <si>
    <t>Опште јавне услуге некласификоване на другом месту;</t>
  </si>
  <si>
    <t>170</t>
  </si>
  <si>
    <t>Трансакције јавног дуга;</t>
  </si>
  <si>
    <t>180</t>
  </si>
  <si>
    <t>300</t>
  </si>
  <si>
    <t>310</t>
  </si>
  <si>
    <t>Услуге полиције;</t>
  </si>
  <si>
    <t>320</t>
  </si>
  <si>
    <t>Услуге противпожарне заштите;</t>
  </si>
  <si>
    <t>330</t>
  </si>
  <si>
    <t>Судови;</t>
  </si>
  <si>
    <t>340</t>
  </si>
  <si>
    <t>Затвори;</t>
  </si>
  <si>
    <t>350</t>
  </si>
  <si>
    <t>Јавни ред и безбедност - истраживање и развој;</t>
  </si>
  <si>
    <t>360</t>
  </si>
  <si>
    <t>Јавни ред и безбедност некласификован на другом месту</t>
  </si>
  <si>
    <t>400</t>
  </si>
  <si>
    <t>Општи економски и комерцијални послови и послови по питању рада;</t>
  </si>
  <si>
    <t>411</t>
  </si>
  <si>
    <t>412</t>
  </si>
  <si>
    <t>Пољопривреда, шумарство, лов и риболов;</t>
  </si>
  <si>
    <t>422</t>
  </si>
  <si>
    <t>Гориво и енергија;</t>
  </si>
  <si>
    <t>431</t>
  </si>
  <si>
    <t>432</t>
  </si>
  <si>
    <t>433</t>
  </si>
  <si>
    <t>434</t>
  </si>
  <si>
    <t>435</t>
  </si>
  <si>
    <t>436</t>
  </si>
  <si>
    <t>Рударство, производња и изградња;</t>
  </si>
  <si>
    <t>441</t>
  </si>
  <si>
    <t>442</t>
  </si>
  <si>
    <t>443</t>
  </si>
  <si>
    <t>Саобраћај;</t>
  </si>
  <si>
    <t>451</t>
  </si>
  <si>
    <t>453</t>
  </si>
  <si>
    <t>454</t>
  </si>
  <si>
    <t>455</t>
  </si>
  <si>
    <t>Комуникације;</t>
  </si>
  <si>
    <t>Остале делатности;</t>
  </si>
  <si>
    <t>471</t>
  </si>
  <si>
    <t>472</t>
  </si>
  <si>
    <t>473</t>
  </si>
  <si>
    <t>474</t>
  </si>
  <si>
    <t>Економски послови - истраживање и развој;</t>
  </si>
  <si>
    <t>481</t>
  </si>
  <si>
    <t>482</t>
  </si>
  <si>
    <t>483</t>
  </si>
  <si>
    <t>484</t>
  </si>
  <si>
    <t>485</t>
  </si>
  <si>
    <t>486</t>
  </si>
  <si>
    <t>487</t>
  </si>
  <si>
    <t>490</t>
  </si>
  <si>
    <t>500</t>
  </si>
  <si>
    <t>Управљање отпадом;</t>
  </si>
  <si>
    <t>530</t>
  </si>
  <si>
    <t>Смањење загађености;</t>
  </si>
  <si>
    <t>Заштита биљног и животињског света и крајолика;</t>
  </si>
  <si>
    <t>550</t>
  </si>
  <si>
    <t>Заштита животне средине - истраживање и развој;</t>
  </si>
  <si>
    <t>560</t>
  </si>
  <si>
    <t>600</t>
  </si>
  <si>
    <t>ПОСЛОВИ СТАНОВАЊА И ЗАЈЕДНИЦЕ</t>
  </si>
  <si>
    <t>Стамбени развој;</t>
  </si>
  <si>
    <t>Развој заједнице;</t>
  </si>
  <si>
    <t>630</t>
  </si>
  <si>
    <t>Водоснабдевање;</t>
  </si>
  <si>
    <t>640</t>
  </si>
  <si>
    <t>Улична расвета;</t>
  </si>
  <si>
    <t>650</t>
  </si>
  <si>
    <t>Послови становања и заједнице - истраживање и развој;</t>
  </si>
  <si>
    <t>710</t>
  </si>
  <si>
    <t>Медицински производи, помагала и опрема;</t>
  </si>
  <si>
    <t>711</t>
  </si>
  <si>
    <t>712</t>
  </si>
  <si>
    <t>713</t>
  </si>
  <si>
    <t>720</t>
  </si>
  <si>
    <t>Ванболничке услуге;</t>
  </si>
  <si>
    <t>721</t>
  </si>
  <si>
    <t>722</t>
  </si>
  <si>
    <t>723</t>
  </si>
  <si>
    <t>724</t>
  </si>
  <si>
    <t>730</t>
  </si>
  <si>
    <t>Болничке услуге;</t>
  </si>
  <si>
    <t>731</t>
  </si>
  <si>
    <t>732</t>
  </si>
  <si>
    <t>733</t>
  </si>
  <si>
    <t>734</t>
  </si>
  <si>
    <t>Услуге домова за негу и опоравак</t>
  </si>
  <si>
    <t>740</t>
  </si>
  <si>
    <t>Услуге јавног здравства;</t>
  </si>
  <si>
    <t>750</t>
  </si>
  <si>
    <t>Здравство - истраживање и развој;</t>
  </si>
  <si>
    <t>Здравство некласификовано на другом месту.</t>
  </si>
  <si>
    <t>800</t>
  </si>
  <si>
    <t>810</t>
  </si>
  <si>
    <t>Услуге рекреације и спорта;</t>
  </si>
  <si>
    <t>820</t>
  </si>
  <si>
    <t>Услуге културе;</t>
  </si>
  <si>
    <t>830</t>
  </si>
  <si>
    <t>Услуге емитовања и штампања;</t>
  </si>
  <si>
    <t>840</t>
  </si>
  <si>
    <t>Верске и остале услуге заједнице;</t>
  </si>
  <si>
    <t>850</t>
  </si>
  <si>
    <t>Рекреација, спорт, култура и вере - истраживање и развој;</t>
  </si>
  <si>
    <t>860</t>
  </si>
  <si>
    <t>900</t>
  </si>
  <si>
    <t>910</t>
  </si>
  <si>
    <t>Предшколско и основно образовање;</t>
  </si>
  <si>
    <t>911</t>
  </si>
  <si>
    <t>913</t>
  </si>
  <si>
    <t>914</t>
  </si>
  <si>
    <t>915</t>
  </si>
  <si>
    <t>916</t>
  </si>
  <si>
    <t>920</t>
  </si>
  <si>
    <t>Средње образовање;</t>
  </si>
  <si>
    <t>921</t>
  </si>
  <si>
    <t>922</t>
  </si>
  <si>
    <t>923</t>
  </si>
  <si>
    <t>930</t>
  </si>
  <si>
    <t>Више образовање;</t>
  </si>
  <si>
    <t>931</t>
  </si>
  <si>
    <t>932</t>
  </si>
  <si>
    <t>940</t>
  </si>
  <si>
    <t>Високо образовање;</t>
  </si>
  <si>
    <t>941</t>
  </si>
  <si>
    <t>942</t>
  </si>
  <si>
    <t>Високо образовање - други степен</t>
  </si>
  <si>
    <t>950</t>
  </si>
  <si>
    <t>Образовање које није дефинисано нивоом;</t>
  </si>
  <si>
    <t>960</t>
  </si>
  <si>
    <t>Помоћне услуге образовању;</t>
  </si>
  <si>
    <t>970</t>
  </si>
  <si>
    <t>Образовање - истраживање и развој;</t>
  </si>
  <si>
    <t>Укупна јавна средства</t>
  </si>
  <si>
    <t>Уређивање, одржавање и коришћење пијацa</t>
  </si>
  <si>
    <t>2003-П28</t>
  </si>
  <si>
    <t>2003-П29</t>
  </si>
  <si>
    <t>2003-П30</t>
  </si>
  <si>
    <t>2001-П30</t>
  </si>
  <si>
    <t>0901-П1</t>
  </si>
  <si>
    <t>0901-П2</t>
  </si>
  <si>
    <t>0901-П3</t>
  </si>
  <si>
    <t>0901-П4</t>
  </si>
  <si>
    <t>0901-П5</t>
  </si>
  <si>
    <t>0901-П6</t>
  </si>
  <si>
    <t>0901-П7</t>
  </si>
  <si>
    <t>0901-П8</t>
  </si>
  <si>
    <t>0901-П9</t>
  </si>
  <si>
    <t>0901-П10</t>
  </si>
  <si>
    <t>0901-П11</t>
  </si>
  <si>
    <t>0901-П12</t>
  </si>
  <si>
    <t>0901-П13</t>
  </si>
  <si>
    <t>0901-П14</t>
  </si>
  <si>
    <t>0901-П15</t>
  </si>
  <si>
    <t>0901-П16</t>
  </si>
  <si>
    <t>0901-П17</t>
  </si>
  <si>
    <t>0901-П18</t>
  </si>
  <si>
    <t>0901-П19</t>
  </si>
  <si>
    <t>0901-П20</t>
  </si>
  <si>
    <t>0901-П21</t>
  </si>
  <si>
    <t>0901-П22</t>
  </si>
  <si>
    <t>0901-П23</t>
  </si>
  <si>
    <t>0901-П24</t>
  </si>
  <si>
    <t>0901-П25</t>
  </si>
  <si>
    <t>0901-П26</t>
  </si>
  <si>
    <t>0901-П27</t>
  </si>
  <si>
    <t>0901-П28</t>
  </si>
  <si>
    <t>0901-П29</t>
  </si>
  <si>
    <t>0901-П30</t>
  </si>
  <si>
    <t>1801-П2</t>
  </si>
  <si>
    <t>1801-П3</t>
  </si>
  <si>
    <t>1801-П4</t>
  </si>
  <si>
    <t>1801-П5</t>
  </si>
  <si>
    <t>1801-П6</t>
  </si>
  <si>
    <t>1801-П7</t>
  </si>
  <si>
    <t>1801-П8</t>
  </si>
  <si>
    <t>1801-П9</t>
  </si>
  <si>
    <t>1801-П10</t>
  </si>
  <si>
    <t>1801-П11</t>
  </si>
  <si>
    <t>1801-П12</t>
  </si>
  <si>
    <t>1801-П13</t>
  </si>
  <si>
    <t>1801-П14</t>
  </si>
  <si>
    <t>1801-П15</t>
  </si>
  <si>
    <t>1801-П16</t>
  </si>
  <si>
    <t>1801-П17</t>
  </si>
  <si>
    <t>1801-П18</t>
  </si>
  <si>
    <t>1801-П19</t>
  </si>
  <si>
    <t>1801-П20</t>
  </si>
  <si>
    <t>1801-П21</t>
  </si>
  <si>
    <t>1801-П22</t>
  </si>
  <si>
    <t>1801-П23</t>
  </si>
  <si>
    <t>1801-П24</t>
  </si>
  <si>
    <t>1801-П25</t>
  </si>
  <si>
    <t>1801-П26</t>
  </si>
  <si>
    <t>1801-П27</t>
  </si>
  <si>
    <t>1801-П28</t>
  </si>
  <si>
    <t>1801-П29</t>
  </si>
  <si>
    <t>1801-П30</t>
  </si>
  <si>
    <t>1201-П3</t>
  </si>
  <si>
    <t>1201-П4</t>
  </si>
  <si>
    <t>1201-П5</t>
  </si>
  <si>
    <t>1201-П6</t>
  </si>
  <si>
    <t>1201-П7</t>
  </si>
  <si>
    <t>1201-П8</t>
  </si>
  <si>
    <t>1201-П9</t>
  </si>
  <si>
    <t>1201-П10</t>
  </si>
  <si>
    <t>1201-П11</t>
  </si>
  <si>
    <t>1201-П12</t>
  </si>
  <si>
    <t>1201-П13</t>
  </si>
  <si>
    <t>1201-П14</t>
  </si>
  <si>
    <t>1201-П15</t>
  </si>
  <si>
    <t>1201-П16</t>
  </si>
  <si>
    <t>1201-П17</t>
  </si>
  <si>
    <t>1201-П18</t>
  </si>
  <si>
    <t>1201-П19</t>
  </si>
  <si>
    <t>1201-П20</t>
  </si>
  <si>
    <t>1201-П21</t>
  </si>
  <si>
    <t>1201-П22</t>
  </si>
  <si>
    <t>1201-П23</t>
  </si>
  <si>
    <t>1201-П24</t>
  </si>
  <si>
    <t>1201-П25</t>
  </si>
  <si>
    <t>1201-П26</t>
  </si>
  <si>
    <t>1201-П27</t>
  </si>
  <si>
    <t>1201-П28</t>
  </si>
  <si>
    <t>1201-П29</t>
  </si>
  <si>
    <t>1201-П30</t>
  </si>
  <si>
    <t>1201-П31</t>
  </si>
  <si>
    <t>1201-П32</t>
  </si>
  <si>
    <t>1201-П33</t>
  </si>
  <si>
    <t>1201-П34</t>
  </si>
  <si>
    <t>1201-П35</t>
  </si>
  <si>
    <t>1201-П36</t>
  </si>
  <si>
    <t>1201-П37</t>
  </si>
  <si>
    <t>1201-П38</t>
  </si>
  <si>
    <t>1201-П39</t>
  </si>
  <si>
    <t>1201-П40</t>
  </si>
  <si>
    <t>1201-П41</t>
  </si>
  <si>
    <t>1201-П42</t>
  </si>
  <si>
    <t>1201-П43</t>
  </si>
  <si>
    <t>1201-П44</t>
  </si>
  <si>
    <t>1201-П45</t>
  </si>
  <si>
    <t>1201-П46</t>
  </si>
  <si>
    <t>1201-П47</t>
  </si>
  <si>
    <t>1201-П48</t>
  </si>
  <si>
    <t>1201-П49</t>
  </si>
  <si>
    <t>1201-П50</t>
  </si>
  <si>
    <t>1301-П1</t>
  </si>
  <si>
    <t>1301-П2</t>
  </si>
  <si>
    <t>1301-П3</t>
  </si>
  <si>
    <t>1301-П4</t>
  </si>
  <si>
    <t>1301-П5</t>
  </si>
  <si>
    <t>1301-П6</t>
  </si>
  <si>
    <t>1301-П7</t>
  </si>
  <si>
    <t>1301-П8</t>
  </si>
  <si>
    <t>1301-П9</t>
  </si>
  <si>
    <t>1301-П10</t>
  </si>
  <si>
    <t>1301-П11</t>
  </si>
  <si>
    <t>1301-П12</t>
  </si>
  <si>
    <t>1301-П13</t>
  </si>
  <si>
    <t>1301-П14</t>
  </si>
  <si>
    <t>1301-П15</t>
  </si>
  <si>
    <t>1301-П16</t>
  </si>
  <si>
    <t>1301-П17</t>
  </si>
  <si>
    <t>1301-П18</t>
  </si>
  <si>
    <t>1301-П19</t>
  </si>
  <si>
    <t>1301-П20</t>
  </si>
  <si>
    <t>1301-П21</t>
  </si>
  <si>
    <t>1301-П22</t>
  </si>
  <si>
    <t>1301-П23</t>
  </si>
  <si>
    <t>1301-П24</t>
  </si>
  <si>
    <t>1301-П25</t>
  </si>
  <si>
    <t>1301-П26</t>
  </si>
  <si>
    <t>1301-П27</t>
  </si>
  <si>
    <t>1301-П28</t>
  </si>
  <si>
    <t>1301-П29</t>
  </si>
  <si>
    <t>1301-П30</t>
  </si>
  <si>
    <t>1301-П31</t>
  </si>
  <si>
    <t>1301-П32</t>
  </si>
  <si>
    <t>1301-П33</t>
  </si>
  <si>
    <t>1301-П34</t>
  </si>
  <si>
    <t>1301-П35</t>
  </si>
  <si>
    <t>1301-П36</t>
  </si>
  <si>
    <t>1301-П37</t>
  </si>
  <si>
    <t>1301-П38</t>
  </si>
  <si>
    <t>1301-П39</t>
  </si>
  <si>
    <t>1301-П40</t>
  </si>
  <si>
    <t>1301-П41</t>
  </si>
  <si>
    <t>1301-П42</t>
  </si>
  <si>
    <t>1301-П43</t>
  </si>
  <si>
    <t>1301-П44</t>
  </si>
  <si>
    <t>1301-П45</t>
  </si>
  <si>
    <t>1301-П46</t>
  </si>
  <si>
    <t>1301-П47</t>
  </si>
  <si>
    <t>1301-П48</t>
  </si>
  <si>
    <t>1301-П49</t>
  </si>
  <si>
    <t>1301-П50</t>
  </si>
  <si>
    <t>0602-П1</t>
  </si>
  <si>
    <t>0602-П3</t>
  </si>
  <si>
    <t>0602-П4</t>
  </si>
  <si>
    <t>0602-П6</t>
  </si>
  <si>
    <t>0602-П7</t>
  </si>
  <si>
    <t>0602-П8</t>
  </si>
  <si>
    <t>0602-П9</t>
  </si>
  <si>
    <t>0602-П10</t>
  </si>
  <si>
    <t>0602-П11</t>
  </si>
  <si>
    <t>0602-П12</t>
  </si>
  <si>
    <t>0602-П13</t>
  </si>
  <si>
    <t>0602-П14</t>
  </si>
  <si>
    <t>0602-П15</t>
  </si>
  <si>
    <t>0602-П16</t>
  </si>
  <si>
    <t>0602-П17</t>
  </si>
  <si>
    <t>0602-П18</t>
  </si>
  <si>
    <t>0602-П19</t>
  </si>
  <si>
    <t>0602-П20</t>
  </si>
  <si>
    <t>0602-П21</t>
  </si>
  <si>
    <t>0602-П22</t>
  </si>
  <si>
    <t>0602-П23</t>
  </si>
  <si>
    <t>0602-П24</t>
  </si>
  <si>
    <t>0602-П25</t>
  </si>
  <si>
    <t>0602-П26</t>
  </si>
  <si>
    <t>0602-П27</t>
  </si>
  <si>
    <t>0602-П28</t>
  </si>
  <si>
    <t>0602-П29</t>
  </si>
  <si>
    <t>0602-П30</t>
  </si>
  <si>
    <t>0602-П31</t>
  </si>
  <si>
    <t>0602-П32</t>
  </si>
  <si>
    <t>0602-П33</t>
  </si>
  <si>
    <t>0602-П34</t>
  </si>
  <si>
    <t>0602-П35</t>
  </si>
  <si>
    <t>0602-П36</t>
  </si>
  <si>
    <t>0602-П37</t>
  </si>
  <si>
    <t>0602-П38</t>
  </si>
  <si>
    <t>0602-П39</t>
  </si>
  <si>
    <t>0602-П40</t>
  </si>
  <si>
    <t>0602-П41</t>
  </si>
  <si>
    <t>0602-П42</t>
  </si>
  <si>
    <t>0602-П43</t>
  </si>
  <si>
    <t>0602-П44</t>
  </si>
  <si>
    <t>0602-П45</t>
  </si>
  <si>
    <t>0602-П46</t>
  </si>
  <si>
    <t>0602-П47</t>
  </si>
  <si>
    <t>0602-П48</t>
  </si>
  <si>
    <t>0602-П49</t>
  </si>
  <si>
    <t>0602-П50</t>
  </si>
  <si>
    <t>0602-П51</t>
  </si>
  <si>
    <t>0602-П52</t>
  </si>
  <si>
    <t>0602-П53</t>
  </si>
  <si>
    <t>0602-П54</t>
  </si>
  <si>
    <t>0602-П55</t>
  </si>
  <si>
    <t>0602-П56</t>
  </si>
  <si>
    <t>0602-П57</t>
  </si>
  <si>
    <t>0602-П58</t>
  </si>
  <si>
    <t>0602-П59</t>
  </si>
  <si>
    <t>0602-П60</t>
  </si>
  <si>
    <t>0602-П61</t>
  </si>
  <si>
    <t>0602-П62</t>
  </si>
  <si>
    <t>0602-П63</t>
  </si>
  <si>
    <t>0602-П64</t>
  </si>
  <si>
    <t>0602-П65</t>
  </si>
  <si>
    <t>0602-П66</t>
  </si>
  <si>
    <t>0602-П67</t>
  </si>
  <si>
    <t>0602-П68</t>
  </si>
  <si>
    <t>0602-П69</t>
  </si>
  <si>
    <t>0602-П70</t>
  </si>
  <si>
    <t>1501</t>
  </si>
  <si>
    <t>1502</t>
  </si>
  <si>
    <t>Шифра</t>
  </si>
  <si>
    <t xml:space="preserve">       ОПШТИ ДЕО - ПРОГРАМСКА КЛАСИФИКАЦИЈА РАСХОДА</t>
  </si>
  <si>
    <t>Програм</t>
  </si>
  <si>
    <t>2</t>
  </si>
  <si>
    <t>0601-0003</t>
  </si>
  <si>
    <t>Одржавање депонија</t>
  </si>
  <si>
    <t>0601-0004</t>
  </si>
  <si>
    <t>Даљинско грејање</t>
  </si>
  <si>
    <t>0601-0005</t>
  </si>
  <si>
    <t>Јавни превоз</t>
  </si>
  <si>
    <t>0601-0006</t>
  </si>
  <si>
    <t>Паркинг сервис</t>
  </si>
  <si>
    <t>0601-0007</t>
  </si>
  <si>
    <t>0601-0011</t>
  </si>
  <si>
    <t>0601-0013</t>
  </si>
  <si>
    <t>Ауто-такси превоз путника</t>
  </si>
  <si>
    <t>1501-0001</t>
  </si>
  <si>
    <t>1501-0002</t>
  </si>
  <si>
    <t>Унапређење привредног амбијента</t>
  </si>
  <si>
    <t>1501-0003</t>
  </si>
  <si>
    <t>Подстицаји за развој предузетништва</t>
  </si>
  <si>
    <t>1501-0004</t>
  </si>
  <si>
    <t>Одржавање економске инфраструктуре</t>
  </si>
  <si>
    <t>Управљање развојем туризма</t>
  </si>
  <si>
    <t>Туристичка промоција</t>
  </si>
  <si>
    <t>0401-0003</t>
  </si>
  <si>
    <t>Праћење квалитета елемената животне средине</t>
  </si>
  <si>
    <t>0401-0004</t>
  </si>
  <si>
    <t>Управљање саобраћајном инфраструктуром</t>
  </si>
  <si>
    <t>1502-0001</t>
  </si>
  <si>
    <t>0901-0002</t>
  </si>
  <si>
    <t>Прихватилишта, прихватне станице и друге врсте смештаја</t>
  </si>
  <si>
    <t>0901-0003</t>
  </si>
  <si>
    <t>Подршка социо-хуманитарним организацијама</t>
  </si>
  <si>
    <t>1301-0003</t>
  </si>
  <si>
    <t>Одржавање спортске инфраструктуре</t>
  </si>
  <si>
    <t>Функционисање локалне самоуправе и градских општина</t>
  </si>
  <si>
    <t>0602-0003</t>
  </si>
  <si>
    <t>Управљање јавним дугом</t>
  </si>
  <si>
    <t>0602-0004</t>
  </si>
  <si>
    <t>0602-0005</t>
  </si>
  <si>
    <t>0602-0007</t>
  </si>
  <si>
    <t>0602-0009</t>
  </si>
  <si>
    <t>Правна помоћ</t>
  </si>
  <si>
    <t>0701-0001</t>
  </si>
  <si>
    <t>Остале некретнина и опреме</t>
  </si>
  <si>
    <t xml:space="preserve"> Програмска активност/  Пројекат</t>
  </si>
  <si>
    <t>Назив</t>
  </si>
  <si>
    <t xml:space="preserve">УКУПНИ ПРОГРАМСКИ ЈАВНИ РАСХОДИ </t>
  </si>
  <si>
    <t>Надлежан орган/особа</t>
  </si>
  <si>
    <t>1502-0002</t>
  </si>
  <si>
    <t>1101-0002</t>
  </si>
  <si>
    <t>1101-П1</t>
  </si>
  <si>
    <t>1101-П2</t>
  </si>
  <si>
    <t>1101-П3</t>
  </si>
  <si>
    <t>1101-П4</t>
  </si>
  <si>
    <t>1101-П5</t>
  </si>
  <si>
    <t>1101-П6</t>
  </si>
  <si>
    <t>1101-П7</t>
  </si>
  <si>
    <t>1101-П8</t>
  </si>
  <si>
    <t>1101-П9</t>
  </si>
  <si>
    <t>1101-П10</t>
  </si>
  <si>
    <t>1101-П11</t>
  </si>
  <si>
    <t>1101-П12</t>
  </si>
  <si>
    <t>1101-П13</t>
  </si>
  <si>
    <t>1101-П14</t>
  </si>
  <si>
    <t>1101-П15</t>
  </si>
  <si>
    <t>1101-П16</t>
  </si>
  <si>
    <t>1101-П17</t>
  </si>
  <si>
    <t>1101-П18</t>
  </si>
  <si>
    <t>1101-П19</t>
  </si>
  <si>
    <t>1101-П20</t>
  </si>
  <si>
    <t>1101-П21</t>
  </si>
  <si>
    <t>1101-П22</t>
  </si>
  <si>
    <t>1101-П23</t>
  </si>
  <si>
    <t>1101-П24</t>
  </si>
  <si>
    <t>0601-П2</t>
  </si>
  <si>
    <t>0601-П3</t>
  </si>
  <si>
    <t>0601-П4</t>
  </si>
  <si>
    <t>0601-П5</t>
  </si>
  <si>
    <t>0601-П6</t>
  </si>
  <si>
    <t>0601-П7</t>
  </si>
  <si>
    <t>0601-П8</t>
  </si>
  <si>
    <t>0601-П9</t>
  </si>
  <si>
    <t>0601-П10</t>
  </si>
  <si>
    <t>0601-П11</t>
  </si>
  <si>
    <t>0601-П12</t>
  </si>
  <si>
    <t>0601-П13</t>
  </si>
  <si>
    <t>0601-П14</t>
  </si>
  <si>
    <t>0601-П15</t>
  </si>
  <si>
    <t>0601-П16</t>
  </si>
  <si>
    <t>0601-П17</t>
  </si>
  <si>
    <t>0601-П18</t>
  </si>
  <si>
    <t>0601-П19</t>
  </si>
  <si>
    <t>0601-П20</t>
  </si>
  <si>
    <t>0601-П21</t>
  </si>
  <si>
    <t>0601-П22</t>
  </si>
  <si>
    <t>0601-П23</t>
  </si>
  <si>
    <t>0601-П24</t>
  </si>
  <si>
    <t>0601-П25</t>
  </si>
  <si>
    <t>0601-П26</t>
  </si>
  <si>
    <t>0601-П27</t>
  </si>
  <si>
    <t>0601-П28</t>
  </si>
  <si>
    <t>0601-П29</t>
  </si>
  <si>
    <t>0601-П30</t>
  </si>
  <si>
    <t>0601-П31</t>
  </si>
  <si>
    <t>0601-П32</t>
  </si>
  <si>
    <t>0601-П33</t>
  </si>
  <si>
    <t>0601-П34</t>
  </si>
  <si>
    <t>0601-П35</t>
  </si>
  <si>
    <t>0601-П36</t>
  </si>
  <si>
    <t>0601-П37</t>
  </si>
  <si>
    <t>0601-П38</t>
  </si>
  <si>
    <t>0601-П39</t>
  </si>
  <si>
    <t>0601-П40</t>
  </si>
  <si>
    <t>0601-П41</t>
  </si>
  <si>
    <t>0601-П42</t>
  </si>
  <si>
    <t>0601-П43</t>
  </si>
  <si>
    <t>0601-П44</t>
  </si>
  <si>
    <t>0601-П45</t>
  </si>
  <si>
    <t>0601-П46</t>
  </si>
  <si>
    <t>0601-П47</t>
  </si>
  <si>
    <t>0601-П48</t>
  </si>
  <si>
    <t>0601-П49</t>
  </si>
  <si>
    <t>0601-П50</t>
  </si>
  <si>
    <t>1501-П4</t>
  </si>
  <si>
    <t>1501-П5</t>
  </si>
  <si>
    <t>1501-П6</t>
  </si>
  <si>
    <t>1501-П7</t>
  </si>
  <si>
    <t>1501-П8</t>
  </si>
  <si>
    <t>1501-П9</t>
  </si>
  <si>
    <t>1501-П10</t>
  </si>
  <si>
    <t>1501-П11</t>
  </si>
  <si>
    <t>1501-П12</t>
  </si>
  <si>
    <t>1501-П13</t>
  </si>
  <si>
    <t>1501-П14</t>
  </si>
  <si>
    <t>1501-П15</t>
  </si>
  <si>
    <t>1501-П16</t>
  </si>
  <si>
    <t>1501-П17</t>
  </si>
  <si>
    <t>1501-П18</t>
  </si>
  <si>
    <t>1501-П19</t>
  </si>
  <si>
    <t>1501-П20</t>
  </si>
  <si>
    <t>1501-П21</t>
  </si>
  <si>
    <t>1501-П22</t>
  </si>
  <si>
    <t>1501-П23</t>
  </si>
  <si>
    <t>1501-П24</t>
  </si>
  <si>
    <t>1502-П1</t>
  </si>
  <si>
    <t>1502-П2</t>
  </si>
  <si>
    <t>1502-П3</t>
  </si>
  <si>
    <t>1502-П4</t>
  </si>
  <si>
    <t>1502-П5</t>
  </si>
  <si>
    <t>1502-П6</t>
  </si>
  <si>
    <t>1502-П7</t>
  </si>
  <si>
    <t>1502-П8</t>
  </si>
  <si>
    <t>1502-П9</t>
  </si>
  <si>
    <t>1502-П10</t>
  </si>
  <si>
    <t>1502-П11</t>
  </si>
  <si>
    <t>1502-П12</t>
  </si>
  <si>
    <t>1502-П13</t>
  </si>
  <si>
    <t>1502-П14</t>
  </si>
  <si>
    <t>1502-П15</t>
  </si>
  <si>
    <t>1502-П16</t>
  </si>
  <si>
    <t>1502-П17</t>
  </si>
  <si>
    <t>1502-П18</t>
  </si>
  <si>
    <t>1502-П19</t>
  </si>
  <si>
    <t>1502-П20</t>
  </si>
  <si>
    <t>1502-П21</t>
  </si>
  <si>
    <t>1502-П22</t>
  </si>
  <si>
    <t>1502-П23</t>
  </si>
  <si>
    <t>1502-П24</t>
  </si>
  <si>
    <t>0101-П1</t>
  </si>
  <si>
    <t>0101-П2</t>
  </si>
  <si>
    <t>0101-П3</t>
  </si>
  <si>
    <t>0101-П4</t>
  </si>
  <si>
    <t>0101-П5</t>
  </si>
  <si>
    <t>0101-П6</t>
  </si>
  <si>
    <t>0101-П7</t>
  </si>
  <si>
    <t>0101-П8</t>
  </si>
  <si>
    <t>0101-П9</t>
  </si>
  <si>
    <t>0101-П10</t>
  </si>
  <si>
    <t>0101-П11</t>
  </si>
  <si>
    <t>0101-П12</t>
  </si>
  <si>
    <t>0101-П13</t>
  </si>
  <si>
    <t>0101-П14</t>
  </si>
  <si>
    <t>0101-П15</t>
  </si>
  <si>
    <t>0101-П16</t>
  </si>
  <si>
    <t>0401-П1</t>
  </si>
  <si>
    <t>0401-П2</t>
  </si>
  <si>
    <t>0401-П3</t>
  </si>
  <si>
    <t>0401-П4</t>
  </si>
  <si>
    <t>0401-П5</t>
  </si>
  <si>
    <t>0401-П6</t>
  </si>
  <si>
    <t>0401-П7</t>
  </si>
  <si>
    <t>0401-П8</t>
  </si>
  <si>
    <t>0401-П9</t>
  </si>
  <si>
    <t>0401-П10</t>
  </si>
  <si>
    <t>0401-П11</t>
  </si>
  <si>
    <t>0401-П12</t>
  </si>
  <si>
    <t>0401-П13</t>
  </si>
  <si>
    <t>0401-П14</t>
  </si>
  <si>
    <t>0401-П15</t>
  </si>
  <si>
    <t>0701-П1</t>
  </si>
  <si>
    <t>0701-П2</t>
  </si>
  <si>
    <t>0701-П3</t>
  </si>
  <si>
    <t>0701-П4</t>
  </si>
  <si>
    <t>0701-П5</t>
  </si>
  <si>
    <t>0701-П6</t>
  </si>
  <si>
    <t>0701-П7</t>
  </si>
  <si>
    <t>0701-П8</t>
  </si>
  <si>
    <t>0701-П9</t>
  </si>
  <si>
    <t>0701-П10</t>
  </si>
  <si>
    <t>0701-П11</t>
  </si>
  <si>
    <t>0701-П12</t>
  </si>
  <si>
    <t>0701-П13</t>
  </si>
  <si>
    <t>0701-П14</t>
  </si>
  <si>
    <t>0701-П15</t>
  </si>
  <si>
    <t>0701-П16</t>
  </si>
  <si>
    <t>0701-П17</t>
  </si>
  <si>
    <t>0701-П18</t>
  </si>
  <si>
    <t>0701-П19</t>
  </si>
  <si>
    <t>0701-П20</t>
  </si>
  <si>
    <t>0701-П21</t>
  </si>
  <si>
    <t>0701-П22</t>
  </si>
  <si>
    <t>0701-П23</t>
  </si>
  <si>
    <t>0701-П24</t>
  </si>
  <si>
    <t>0701-П25</t>
  </si>
  <si>
    <t>0701-П26</t>
  </si>
  <si>
    <t>0701-П27</t>
  </si>
  <si>
    <t>0701-П28</t>
  </si>
  <si>
    <t>0701-П29</t>
  </si>
  <si>
    <t>0701-П30</t>
  </si>
  <si>
    <t>0701-П31</t>
  </si>
  <si>
    <t>0701-П32</t>
  </si>
  <si>
    <t>0701-П33</t>
  </si>
  <si>
    <t>0701-П34</t>
  </si>
  <si>
    <t>0701-П35</t>
  </si>
  <si>
    <t>0701-П36</t>
  </si>
  <si>
    <t>0701-П37</t>
  </si>
  <si>
    <t>0701-П38</t>
  </si>
  <si>
    <t>0701-П39</t>
  </si>
  <si>
    <t>0701-П40</t>
  </si>
  <si>
    <t>0701-П41</t>
  </si>
  <si>
    <t>0701-П42</t>
  </si>
  <si>
    <t>0701-П43</t>
  </si>
  <si>
    <t>0701-П44</t>
  </si>
  <si>
    <t>0701-П45</t>
  </si>
  <si>
    <t>0701-П46</t>
  </si>
  <si>
    <t>0701-П47</t>
  </si>
  <si>
    <t>0701-П48</t>
  </si>
  <si>
    <t>0701-П49</t>
  </si>
  <si>
    <t>0701-П50</t>
  </si>
  <si>
    <t>2001-П1</t>
  </si>
  <si>
    <t>2001-П2</t>
  </si>
  <si>
    <t>2001-П3</t>
  </si>
  <si>
    <t>2001-П4</t>
  </si>
  <si>
    <t>2001-П5</t>
  </si>
  <si>
    <t>2001-П6</t>
  </si>
  <si>
    <t>2001-П7</t>
  </si>
  <si>
    <t>2001-П8</t>
  </si>
  <si>
    <t>2001-П9</t>
  </si>
  <si>
    <t>2001-П10</t>
  </si>
  <si>
    <t>2001-П11</t>
  </si>
  <si>
    <t>2001-П12</t>
  </si>
  <si>
    <t>2001-П13</t>
  </si>
  <si>
    <t>2001-П14</t>
  </si>
  <si>
    <t>2001-П15</t>
  </si>
  <si>
    <t>2001-П16</t>
  </si>
  <si>
    <t>2001-П17</t>
  </si>
  <si>
    <t>2001-П18</t>
  </si>
  <si>
    <t>2001-П19</t>
  </si>
  <si>
    <t>2001-П20</t>
  </si>
  <si>
    <t>2001-П21</t>
  </si>
  <si>
    <t>2001-П22</t>
  </si>
  <si>
    <t>2001-П23</t>
  </si>
  <si>
    <t>2001-П24</t>
  </si>
  <si>
    <t>2001-П25</t>
  </si>
  <si>
    <t>2001-П26</t>
  </si>
  <si>
    <t>2001-П27</t>
  </si>
  <si>
    <t>2001-П28</t>
  </si>
  <si>
    <t>2001-П29</t>
  </si>
  <si>
    <t>2002-П1</t>
  </si>
  <si>
    <t>2002-П2</t>
  </si>
  <si>
    <t>2002-П3</t>
  </si>
  <si>
    <t>2002-П4</t>
  </si>
  <si>
    <t>2002-П5</t>
  </si>
  <si>
    <t>2002-П6</t>
  </si>
  <si>
    <t>2002-П7</t>
  </si>
  <si>
    <t>2002-П8</t>
  </si>
  <si>
    <t>2002-П9</t>
  </si>
  <si>
    <t>2002-П10</t>
  </si>
  <si>
    <t>2002-П11</t>
  </si>
  <si>
    <t>2002-П12</t>
  </si>
  <si>
    <t>2002-П13</t>
  </si>
  <si>
    <t>2002-П14</t>
  </si>
  <si>
    <t>2002-П15</t>
  </si>
  <si>
    <t>2002-П16</t>
  </si>
  <si>
    <t>2002-П17</t>
  </si>
  <si>
    <t>2002-П18</t>
  </si>
  <si>
    <t>2002-П19</t>
  </si>
  <si>
    <t>2002-П20</t>
  </si>
  <si>
    <t>2002-П21</t>
  </si>
  <si>
    <t>2002-П22</t>
  </si>
  <si>
    <t>2002-П23</t>
  </si>
  <si>
    <t>2002-П24</t>
  </si>
  <si>
    <t>2002-П25</t>
  </si>
  <si>
    <t>2002-П26</t>
  </si>
  <si>
    <t>2002-П27</t>
  </si>
  <si>
    <t>2002-П28</t>
  </si>
  <si>
    <t>2002-П29</t>
  </si>
  <si>
    <t>2002-П30</t>
  </si>
  <si>
    <t>2003-П1</t>
  </si>
  <si>
    <t>2003-П2</t>
  </si>
  <si>
    <t>2003-П3</t>
  </si>
  <si>
    <t>2003-П4</t>
  </si>
  <si>
    <t>2003-П5</t>
  </si>
  <si>
    <t>2003-П6</t>
  </si>
  <si>
    <t>2003-П7</t>
  </si>
  <si>
    <t>2003-П8</t>
  </si>
  <si>
    <t>2003-П9</t>
  </si>
  <si>
    <t>2003-П10</t>
  </si>
  <si>
    <t>2003-П11</t>
  </si>
  <si>
    <t>2003-П12</t>
  </si>
  <si>
    <t>2003-П13</t>
  </si>
  <si>
    <t>2003-П14</t>
  </si>
  <si>
    <t>2003-П15</t>
  </si>
  <si>
    <t>2003-П16</t>
  </si>
  <si>
    <t>2003-П17</t>
  </si>
  <si>
    <t>2003-П18</t>
  </si>
  <si>
    <t>2003-П19</t>
  </si>
  <si>
    <t>2003-П20</t>
  </si>
  <si>
    <t>2003-П21</t>
  </si>
  <si>
    <t>2003-П22</t>
  </si>
  <si>
    <t>2003-П23</t>
  </si>
  <si>
    <t>2003-П24</t>
  </si>
  <si>
    <t>2003-П25</t>
  </si>
  <si>
    <t>2003-П26</t>
  </si>
  <si>
    <t>2003-П27</t>
  </si>
  <si>
    <t>Канцеларија за младе</t>
  </si>
  <si>
    <t>Заштитник грађана</t>
  </si>
  <si>
    <t>Програм 1.  Локални развој и просторно планирање</t>
  </si>
  <si>
    <t>Програм 2.  Комунална делатност</t>
  </si>
  <si>
    <t>Програм 3.  Локални економски развој</t>
  </si>
  <si>
    <t>Програм 4.  Развој туризма</t>
  </si>
  <si>
    <t>465 Остале дотације и трансфери</t>
  </si>
  <si>
    <t>422 Трошкови путовања</t>
  </si>
  <si>
    <t>ОУ</t>
  </si>
  <si>
    <t>ОУ и КОЦ</t>
  </si>
  <si>
    <t>КОЦ</t>
  </si>
  <si>
    <t xml:space="preserve">Пројекат: Подршка спровођењу пројеката локалне самоуптаве, НВО, привредних и друштвених организација </t>
  </si>
  <si>
    <t>НАБАВКА ФИНАНСИЈСКЕ ИМОВИНЕ</t>
  </si>
  <si>
    <t>1.5</t>
  </si>
  <si>
    <t>9.</t>
  </si>
  <si>
    <t xml:space="preserve">Нематеријална имовина </t>
  </si>
  <si>
    <t>Приходи  од имов.полиса осиг.општина</t>
  </si>
  <si>
    <t>Приходи од имовине који припада имаоцима полиса осигурања</t>
  </si>
  <si>
    <t>korisnik</t>
  </si>
  <si>
    <t>konto</t>
  </si>
  <si>
    <t>iznos</t>
  </si>
  <si>
    <t>KOC</t>
  </si>
  <si>
    <t>Судови</t>
  </si>
  <si>
    <t>Ukupni rashodi:</t>
  </si>
  <si>
    <t>Ukupni prihodi:</t>
  </si>
  <si>
    <t>16</t>
  </si>
  <si>
    <t>УКУПНО ЗА ИЗВОР 16</t>
  </si>
  <si>
    <t>Приходи:</t>
  </si>
  <si>
    <t>Машине и опрема - за ванредне ситуације</t>
  </si>
  <si>
    <t>Текуће поправке и одрж.-громобрани код МК</t>
  </si>
  <si>
    <t>ИЗВОРИ 04+06+07+13+15+16</t>
  </si>
  <si>
    <t>5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</si>
  <si>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</si>
  <si>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411+412</t>
  </si>
  <si>
    <t>poreski prihodi</t>
  </si>
  <si>
    <t>pol.stranke:</t>
  </si>
  <si>
    <t>fin.kampanje:</t>
  </si>
  <si>
    <t>UKUPNO ZA POL. PARTIJE</t>
  </si>
  <si>
    <t>фисклал. дефицит</t>
  </si>
  <si>
    <t>Родитељски динар за ваннаставне активности</t>
  </si>
  <si>
    <t>Родитељски динар за 
ваннаставне активности</t>
  </si>
  <si>
    <t>74</t>
  </si>
  <si>
    <t>091</t>
  </si>
  <si>
    <t>092</t>
  </si>
  <si>
    <t>ОПШТИНСКО  ПРАВОБРАНИЛАШТВО</t>
  </si>
  <si>
    <t>Извршни и законодавни органи, фин. и фиск.посл.
 и спољ.послови</t>
  </si>
  <si>
    <t>ПРОГРАМ 16 ПОЛИТИЧКИ СИСТЕМ ЛС</t>
  </si>
  <si>
    <t>2101</t>
  </si>
  <si>
    <t>2101-0001</t>
  </si>
  <si>
    <t>Функционисање Скупштине</t>
  </si>
  <si>
    <t>Програм 16.  Политички систем ЛС</t>
  </si>
  <si>
    <t>2101--0002</t>
  </si>
  <si>
    <t>Функционисање извршних органа</t>
  </si>
  <si>
    <t>2101-0002</t>
  </si>
  <si>
    <t>Текућа буџетска резерва</t>
  </si>
  <si>
    <t>Стална буџетска резерва</t>
  </si>
  <si>
    <t>0602-0014</t>
  </si>
  <si>
    <t>5.2</t>
  </si>
  <si>
    <t>Функционисање ОШ "Јован Поповић"</t>
  </si>
  <si>
    <t>Функционисање ОШ "Др.Тихомир Остојић"</t>
  </si>
  <si>
    <t>Функционисање ОШ "Серво Михаљ"</t>
  </si>
  <si>
    <t>Функционисање Хем.прехрамбене средње школе</t>
  </si>
  <si>
    <t>Функционисање установа примарне здравствене заштите -Дом здравља Чока</t>
  </si>
  <si>
    <t>ПУ "Радост"</t>
  </si>
  <si>
    <t>ПЛАН ЗА  ИЗВОР ФИН. 
06</t>
  </si>
  <si>
    <t>ПЛАН ЗА ИЗВОР ФИН.
 07</t>
  </si>
  <si>
    <t>ПЛАН ЗА  ИЗВОР ФИН. 
13</t>
  </si>
  <si>
    <t xml:space="preserve">ПЛАН ЗА. ИЗВОР ФИН.
 15 </t>
  </si>
  <si>
    <t>ПЛАН ЗА  ИЗВОР ФИН. 16</t>
  </si>
  <si>
    <t>Извршни и законодавни органи, фин. и фиск.посл. 
и спољ.послови</t>
  </si>
  <si>
    <t>1201-0004</t>
  </si>
  <si>
    <t>Оставривање и унапређивање јавног интереса у области јавног информисања</t>
  </si>
  <si>
    <t>ПРОГРАМ 13: РАЗВОЈ КУЛТУРЕ И ИНФОРМИСАЊА</t>
  </si>
  <si>
    <t>Услуге емитовања и штампања</t>
  </si>
  <si>
    <t>Подршка деци и породица са децом</t>
  </si>
  <si>
    <t>Подршка реализацији програма Црвеног крста</t>
  </si>
  <si>
    <t>ПРОГРАМ 12  ЗДРАВСТВЕНА ЗАШТИТА</t>
  </si>
  <si>
    <t>Програм 12.  Здравствена заштита</t>
  </si>
  <si>
    <t>1801-0002</t>
  </si>
  <si>
    <t>Мртвозорство</t>
  </si>
  <si>
    <t>ПРОГРАМ 5: ПОЉОПРИВРЕДА И РУРАЛНИ РАЗВОЈ</t>
  </si>
  <si>
    <t>Подршка за спровођење пољопривредне политике у локалној заједници</t>
  </si>
  <si>
    <t>Мере подршке руралном развоју</t>
  </si>
  <si>
    <t>0401-0005</t>
  </si>
  <si>
    <t>Управљање заштитом животне средине</t>
  </si>
  <si>
    <t>Управљање  отпадом</t>
  </si>
  <si>
    <t>Заштита жив.средине некласиф.на другом месту</t>
  </si>
  <si>
    <t>Одржавање јавних зелених површина</t>
  </si>
  <si>
    <t>Зоохигијена</t>
  </si>
  <si>
    <t>1102-0001</t>
  </si>
  <si>
    <t>1102-0002</t>
  </si>
  <si>
    <t>1102-0003</t>
  </si>
  <si>
    <t>1102-0008</t>
  </si>
  <si>
    <t>1102-0004</t>
  </si>
  <si>
    <t>1102</t>
  </si>
  <si>
    <t>Програм 1. Урбанизам и просторно планирање</t>
  </si>
  <si>
    <t>Просторно и урбанистичко планирање</t>
  </si>
  <si>
    <t>Мере активне политике запошљавања</t>
  </si>
  <si>
    <t>1101-0003</t>
  </si>
  <si>
    <t>Управљањем грађевинским земљиштем</t>
  </si>
  <si>
    <t>0501</t>
  </si>
  <si>
    <t>0501-0001</t>
  </si>
  <si>
    <t>0602-П-1</t>
  </si>
  <si>
    <t>Цивилна одбрана</t>
  </si>
  <si>
    <t>Заштита биљног и жив.света и крајолика</t>
  </si>
  <si>
    <t>200</t>
  </si>
  <si>
    <t>ОДБРАНА</t>
  </si>
  <si>
    <t>220</t>
  </si>
  <si>
    <t>Цивилна заштита</t>
  </si>
  <si>
    <t>ПРОГРАМ 15 ОПШТЕ УСЛУГЕ ЛОК.САМОУПРАВЕ</t>
  </si>
  <si>
    <t>Општинско правобранилаштво</t>
  </si>
  <si>
    <t>Функционисање нац.савета национал.мањина</t>
  </si>
  <si>
    <t>Управљање у ванредним ситуацијама</t>
  </si>
  <si>
    <t>ПРОГРАМ 9 ОСНОВНО ОБРАЗОВАЊЕ И ВАСПИТАЊЕ</t>
  </si>
  <si>
    <t>ПРОГРАМ 10 СРЕДЊЕ ОБРАЗОВАЊЕ И ВАСПИТАЊЕ</t>
  </si>
  <si>
    <t>Одржавање чист.на површ.јавне намене -  ЈКП Чока</t>
  </si>
  <si>
    <t>1501-П-4</t>
  </si>
  <si>
    <t>1501-П-5</t>
  </si>
  <si>
    <t>ПРОГРАМ 8 ПРЕДШКОЛСКО ВАСПИТАЊЕ И ОБРАЗ.</t>
  </si>
  <si>
    <t>ПРОГРАМ 13 РАЗВОЈ КУЛТУРЕ И ИНФОРМИСАЊА</t>
  </si>
  <si>
    <t>1201-П-6</t>
  </si>
  <si>
    <t xml:space="preserve">Пројекат: Реализација рачунарских и језичких курсева </t>
  </si>
  <si>
    <t>Пројекат:Унапређење безбедности саобраћаја у 2017.години</t>
  </si>
  <si>
    <t>Програм 13.  Развој културе и информисања</t>
  </si>
  <si>
    <t>Јачање културне продукције и уметничког стваралаштва</t>
  </si>
  <si>
    <t>Програм 9.  Основно образовање и васпитање</t>
  </si>
  <si>
    <t>Програм 10. Средње образовање и васпитање</t>
  </si>
  <si>
    <t>Подршка за спровођење пољопривредне политике у лок. зај.</t>
  </si>
  <si>
    <t xml:space="preserve">Управљање заштитом животне средине </t>
  </si>
  <si>
    <t>Програм 17.  Енерг. ефикас. и обновљиви извори енергије</t>
  </si>
  <si>
    <t>Пројекат:ЛАГ</t>
  </si>
  <si>
    <t>Функционисање лок.установа културе</t>
  </si>
  <si>
    <t>Управљање грађевинским земљиштем</t>
  </si>
  <si>
    <t>ЈКП</t>
  </si>
  <si>
    <t>Центар за соц.рад</t>
  </si>
  <si>
    <t>ОШ "Ј.Поповић"
ОШ "С.Михаљ" и
 ОШ "Т.Остојић"</t>
  </si>
  <si>
    <t>Јачање културне продукције и умет.стваралаш.</t>
  </si>
  <si>
    <t>089</t>
  </si>
  <si>
    <t>093</t>
  </si>
  <si>
    <t>Дот.орг.за обав.соц.осиг.</t>
  </si>
  <si>
    <t>Приходи од продаје добара и услуга</t>
  </si>
  <si>
    <t>Приходи од продаје добара и услуга у корист нивоа општина</t>
  </si>
  <si>
    <t>Капитални трансф.од других нивоа власти</t>
  </si>
  <si>
    <t xml:space="preserve">ОУ </t>
  </si>
  <si>
    <t>Дом здравља</t>
  </si>
  <si>
    <t>Оставривање и унапр. јавног интереса у области јавног инф.</t>
  </si>
  <si>
    <t>Пројекат: Сред.за реш.стамб.потреба и
 др.прог.за интег.избег.</t>
  </si>
  <si>
    <t>СО</t>
  </si>
  <si>
    <t>О.Веће и Председ.</t>
  </si>
  <si>
    <t>Хем.прех.средња шк.</t>
  </si>
  <si>
    <t>083</t>
  </si>
  <si>
    <t>084</t>
  </si>
  <si>
    <t>085</t>
  </si>
  <si>
    <t>086</t>
  </si>
  <si>
    <t>088</t>
  </si>
  <si>
    <t>5.1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</si>
  <si>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</si>
  <si>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</si>
  <si>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</si>
  <si>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</si>
  <si>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</si>
  <si>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</si>
  <si>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</si>
  <si>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</si>
  <si>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 xml:space="preserve">СУБВЕНЦИЈЕ </t>
  </si>
  <si>
    <t>Субвенције јав.нефинансијским пред.</t>
  </si>
  <si>
    <t>Спец.усл.(одрж.пруж.прелаза)</t>
  </si>
  <si>
    <t>Спец.усл.(зимско одржавање)</t>
  </si>
  <si>
    <t>Приходи од продаје доб. и усл. или закупа од стране трж. орг.</t>
  </si>
  <si>
    <t>ПРИМАЊА ОД ПРОДАЈЕ НЕФИНАСИЈСКЕ ИМОВИНЕ</t>
  </si>
  <si>
    <t>Примања од продаје непокретностиу корист нивоа општина</t>
  </si>
  <si>
    <t>81</t>
  </si>
  <si>
    <t>Примања од продаје непокретности</t>
  </si>
  <si>
    <t>УКУПНО ЗА ИЗВОР 13:</t>
  </si>
  <si>
    <t>УКУПНО ЗА ИЗВОР 16:</t>
  </si>
  <si>
    <t>ПЛАН ЗА  ИЗВОР ФИН. 
04</t>
  </si>
  <si>
    <t>ПЛАН ЗА 2019.Г.</t>
  </si>
  <si>
    <t>ПЛАН ЗА 2020.Г.</t>
  </si>
  <si>
    <t>УКУПАН ПЛАН ЗА 2020.</t>
  </si>
  <si>
    <t>Текуће донације од међ.организација</t>
  </si>
  <si>
    <t>Текуће донације од међ.организација у корист нивоа општина</t>
  </si>
  <si>
    <t>Једнократне помоћи и др.облици помоћи -Центар за социјални рад</t>
  </si>
  <si>
    <t>Једнократне помоћи и др.облици помоћи</t>
  </si>
  <si>
    <t>Дневне услуге у заједници</t>
  </si>
  <si>
    <t>Дневне услуге у заједници - Организ.јединица Центра за социјални рад</t>
  </si>
  <si>
    <t xml:space="preserve">Управљање/одржавање јавним осветљењем </t>
  </si>
  <si>
    <t>Управљање/одржавање јавним осветљењем</t>
  </si>
  <si>
    <t>Управљање и снабдевање водом за пиће</t>
  </si>
  <si>
    <t>Енергетски менаџмент</t>
  </si>
  <si>
    <t>Подшка економском развоју и промоцији предузетништва</t>
  </si>
  <si>
    <t>Програм 7.  Организ.саобаћ.и саобр.инфраструк.</t>
  </si>
  <si>
    <t>Управљање и одржавање саоб.инфраструк.</t>
  </si>
  <si>
    <t>Управљање и одржавање саобраћајне инфраструктуре</t>
  </si>
  <si>
    <t>Функц. и остваривање  предш.васп.и образ.</t>
  </si>
  <si>
    <t>Функц. и остваривање  предш.васп.и образ</t>
  </si>
  <si>
    <t>Јачање културне продукције и умет.стварал.</t>
  </si>
  <si>
    <t>Функционисање месних заједница</t>
  </si>
  <si>
    <t>ПРОГРАМ 15 ОПШТЕ УСЛУГЕ ЛОКАЛНЕ САМОУР.</t>
  </si>
  <si>
    <t>ПЛАН ЗА 2021.Г.</t>
  </si>
  <si>
    <t>483 Новчане казне и пенали</t>
  </si>
  <si>
    <t>Подршка деци и породици са децом</t>
  </si>
  <si>
    <t>Спец.усл.(кошење банкина)</t>
  </si>
  <si>
    <t>Спец.усл.(постављање сигнализација)</t>
  </si>
  <si>
    <t>Текуће попр.и одрж.-крпљење ударних рупа</t>
  </si>
  <si>
    <t>Тек. поп.и одрж. (тротоари, клупе,. и др)</t>
  </si>
  <si>
    <t xml:space="preserve">ПРОГРАМ 1: СТАНОВАЊЕ, УРБАНИЗАМ И ПРОСТОРНО ПЛАНИРАЊЕ
</t>
  </si>
  <si>
    <t>Управљање отпадним водама</t>
  </si>
  <si>
    <t>520</t>
  </si>
  <si>
    <t>Упраљање отпадним водама</t>
  </si>
  <si>
    <t>Приходи од имовине који припада имаоцима полисе осигурања општина</t>
  </si>
  <si>
    <t xml:space="preserve">Приходи од имовине који припада имаоцима полисе осигурања </t>
  </si>
  <si>
    <t>Накнада по основу конверзије права коришћ.у право својине у корист Републике</t>
  </si>
  <si>
    <t>087</t>
  </si>
  <si>
    <t>ПЛАН ЗА  ИЗВОР ФИН.: 01</t>
  </si>
  <si>
    <t>ПЛАН ЗА  ИЗВОР ФИН.: 04</t>
  </si>
  <si>
    <t>ПЛАН ЗА  ИЗВОР ФИН.: 06</t>
  </si>
  <si>
    <t>ПЛАН ЗА  ИЗВОР ФИН.: 07</t>
  </si>
  <si>
    <t>ПЛАН ЗА  ИЗВОР ФИН.: 13</t>
  </si>
  <si>
    <t>ПЛАН ЗА  ИЗВОР ФИН.: 16</t>
  </si>
  <si>
    <t>ПРОГРАМ 7: ОРГАНИЗ. САОБ.И САОБ.ИНФРАСТ.</t>
  </si>
  <si>
    <t>515 Нематеријална имовина</t>
  </si>
  <si>
    <t>Унапређење привредног и инвестиционог амбијента</t>
  </si>
  <si>
    <t>Дотације удружењима грађана</t>
  </si>
  <si>
    <t>ПРИМАЊА ОД ПРОДАЈЕ ЗЕМЉИШТА</t>
  </si>
  <si>
    <t>Примања од продаје земљишта</t>
  </si>
  <si>
    <t>Примања од продаје земљишта у корист нивоа општина</t>
  </si>
  <si>
    <t>Текући трансф.од других нивоа власти</t>
  </si>
  <si>
    <t>Меморандумске ставке за рефундацију расхода из претх.године</t>
  </si>
  <si>
    <t>Спец.усл.(набавка знакова)</t>
  </si>
  <si>
    <t>УКУПАН ПЛАН ЗА 2021.</t>
  </si>
  <si>
    <t>Услуге по уговору - накнада за одборнике</t>
  </si>
  <si>
    <t xml:space="preserve">Услуге по уговору - комисије </t>
  </si>
  <si>
    <t>Услуге по уговору - комисије</t>
  </si>
  <si>
    <t>Услуге по уговору - међународна сарадња</t>
  </si>
  <si>
    <t>Услуге по уговору - накнада за помоћникe председника</t>
  </si>
  <si>
    <t>Услуге по уговору - обука у вези послова одбране</t>
  </si>
  <si>
    <t>Услуге по уговору - средства за рад интерресорне комисије</t>
  </si>
  <si>
    <t>Услуге по уговору  - услуге ревизије</t>
  </si>
  <si>
    <t>Накнаде за соц.заштиту из буџета -дошколовавање запослених</t>
  </si>
  <si>
    <t>Дотац,невладиним орг -чланарине</t>
  </si>
  <si>
    <t>Услуге по уговору -учешће и предфин.прој.</t>
  </si>
  <si>
    <t>Материјал - учешће и предфин.прој</t>
  </si>
  <si>
    <t>Зграде и грађ.објети учешће и предфин.прој.</t>
  </si>
  <si>
    <t>Машине и опрема учешће и предфин. прој.</t>
  </si>
  <si>
    <t>Стални трошкови-учешће и предфин.прој.</t>
  </si>
  <si>
    <t>Транф.ост. нивоима власти - средства за едукацију</t>
  </si>
  <si>
    <t>Услуге по уговору - семинари, обука и израда плана за ван. сит.</t>
  </si>
  <si>
    <t>Специјализоване услуге -финан.припр.и реаг.у ванред.ситуацијама</t>
  </si>
  <si>
    <t>421 Стални трошкови - днев.усл. у лок.зај.</t>
  </si>
  <si>
    <t>423 Услуге по уговору - днев.усл. у лок.зај.</t>
  </si>
  <si>
    <t>425 Текуће поправке и одржавање - днев.усл. у лок.зај.</t>
  </si>
  <si>
    <t>426 Материјал - днев.усл. у лок.зај.</t>
  </si>
  <si>
    <t>482 Порези, обавезне таксе и казне - днев.усл. у лок.зај.</t>
  </si>
  <si>
    <t>512 Машине и опрема - днев.усл. у лок.зај.</t>
  </si>
  <si>
    <t>426 Материјал - мед. и лаб.</t>
  </si>
  <si>
    <t>Специјализоване услуге - мртвозорство</t>
  </si>
  <si>
    <t xml:space="preserve">Услуге по уговору - пољочуварска служба </t>
  </si>
  <si>
    <t>Материјал - пољочув. и противг.служ.(по програму)</t>
  </si>
  <si>
    <t>Материјал -поступак издав.у зак.и комас. (по програму)</t>
  </si>
  <si>
    <t>Субвенције јавним нефин,пред.- за уређ.канала.(по програму)</t>
  </si>
  <si>
    <t>Субвенције јавним нефин,пред - средства за рурални развој</t>
  </si>
  <si>
    <t>Специјализоване услуге -геодетске усл.(по програму)</t>
  </si>
  <si>
    <t>Специјализоване услуге -испитивање  земљишта (по програму)</t>
  </si>
  <si>
    <t>Специјализоване услуге - спр.прог.ком.Чока.(по програму)</t>
  </si>
  <si>
    <t>Специјализовне услуге - сузбијање комараца</t>
  </si>
  <si>
    <t>Текуће поправке и одржавање канализације</t>
  </si>
  <si>
    <t>Зграде и грађ.објекти -изградња атмосф.канала у Санаду</t>
  </si>
  <si>
    <t>Зграде и грађ.обј. изградња дела водовода у Остојићеву</t>
  </si>
  <si>
    <t>Усл.по уговору - уклањ. угин.животиња</t>
  </si>
  <si>
    <t>Спецализоване услуге (хватање паса и привремено збрињ.)</t>
  </si>
  <si>
    <t>Зграде и грађ.обј.- изградња дечијег игралишта</t>
  </si>
  <si>
    <t>Дотације невлад.организацијама- Локална акциона група</t>
  </si>
  <si>
    <t>Накн.за соц.заш.из буџета-екон.оснаживање</t>
  </si>
  <si>
    <t>Накн.за соц.заш.из буџета-грађ.материјал</t>
  </si>
  <si>
    <t>Накн.за соц.заш.из буџета-наб.сеоских кућа</t>
  </si>
  <si>
    <t xml:space="preserve">Тек.попр.и одржавање - насипање лом.црепа и греб.асфалта </t>
  </si>
  <si>
    <t>Пратећи трошкови задуживања - казне</t>
  </si>
  <si>
    <t xml:space="preserve">Услуге по уговору - информисање јавности </t>
  </si>
  <si>
    <t xml:space="preserve">Дотација невладиним организацијама - Црвеном крсту </t>
  </si>
  <si>
    <t>Накнаде за соц.заштиту из буџета - Народна кухиња</t>
  </si>
  <si>
    <t>Накнаде за соц.заштиту из буџета-исхрана и смештај ученика</t>
  </si>
  <si>
    <t>Накнаде за соц.заштиту из буџета-једокр.помоћ за породиље</t>
  </si>
  <si>
    <t>Накнаде за соц.заштиту из буџета-пакетићи</t>
  </si>
  <si>
    <t>Накнаде за соц.заштиту из буџета- за образовање, културу, науку</t>
  </si>
  <si>
    <t>472 Накнаде за соц.заштиту из буџета - у случају смрти</t>
  </si>
  <si>
    <t xml:space="preserve">511 Зграде и грађ.обј.-капитално одржавање </t>
  </si>
  <si>
    <t>414 Социјална давања запосленима-помоћ у медицинском лечењу</t>
  </si>
  <si>
    <t>Дотације невладиним орг.-спортским организацијама</t>
  </si>
  <si>
    <t>Дотације невлад.орг.- традиц. црквама и верским заједницама</t>
  </si>
  <si>
    <t>Дотације невлад.орг.- удружењима грађана из области културе</t>
  </si>
  <si>
    <t>Услуге по уговору - накнада за заменика пред.Скупштине</t>
  </si>
  <si>
    <t>Услуге по уговору - накнада за чланове Општинског већа</t>
  </si>
  <si>
    <t>Зграде и грађ.обј. (кап.одрж.улица)</t>
  </si>
  <si>
    <t>Услуге по уговору - информисање јавности</t>
  </si>
  <si>
    <t>472 Накнаде за соц.заштиту из буџета - за становање и живот</t>
  </si>
  <si>
    <t>472 Накнаде за соц.заштиту из буџета - једнократна помоћ</t>
  </si>
  <si>
    <t>Накнаде за соц.заштиту из буџета - превоз ученика сред.школа</t>
  </si>
  <si>
    <t>Спец.усл.-санац.технич.биолош.регулат.деград.прост.</t>
  </si>
  <si>
    <t>Специј. услуге -  одрж. зелених повр. (кошење, одрж.)</t>
  </si>
  <si>
    <t>Специј. услуге -  одрж. зелених повр. (орезивање дрвећа)</t>
  </si>
  <si>
    <t>Зграде и грађ.обј. (кап.одржав. улица)</t>
  </si>
  <si>
    <t>Остале дотације и трансфери - средства за одржавање железнице</t>
  </si>
  <si>
    <t>Оптплата домаћих камата</t>
  </si>
  <si>
    <t>ПРОГРАМ 17: ЕНЕРГЕТСКА ЕФИКАСНОСТ И ОБНОВЉИВИ ИЗВОРИ ЕНЕРГИЈЕ</t>
  </si>
  <si>
    <t>511 Зграде и грађ.обј.</t>
  </si>
  <si>
    <t>Специјализовне услуге - Фонд за заштиту живот. средине</t>
  </si>
  <si>
    <t>Спец. Усл. -рад. на обнови прем. грађ.реона у Чоки</t>
  </si>
  <si>
    <t xml:space="preserve">Зграде и грађ.обј.-пројектно планирање </t>
  </si>
  <si>
    <t xml:space="preserve">512 Машине и опрема </t>
  </si>
  <si>
    <t>Дотац.орг.са обавезно соц.осигурање - средства активне мере 
запошљавања-Буџетски фонд</t>
  </si>
  <si>
    <t>082</t>
  </si>
  <si>
    <t>168</t>
  </si>
  <si>
    <t>169</t>
  </si>
  <si>
    <t>171</t>
  </si>
  <si>
    <t>172</t>
  </si>
  <si>
    <t>173</t>
  </si>
  <si>
    <t>Финансирање Спортског савеза општине Чока</t>
  </si>
  <si>
    <t>523 Залихе робе за даљу продају</t>
  </si>
  <si>
    <t>Дотац.невл.орг.-сред.за заштиту од пожара(Општ.ватр.сав. и др.)</t>
  </si>
  <si>
    <t>Дотације невлад,орг.-санација објеката</t>
  </si>
  <si>
    <t>Зграде и грађ.обј.-набавка непокретности</t>
  </si>
  <si>
    <t>Порез на приходе од самосталних делатности који се плаћа према стварно оствареном нето приходу</t>
  </si>
  <si>
    <t xml:space="preserve">Порез на прих. од сам.дел. који се плаћа према паушалу одређ.нето приходу  </t>
  </si>
  <si>
    <t xml:space="preserve">Порез на прих. од сам.дел. који се плаћа према стварно оств.прих.самоопорез.  </t>
  </si>
  <si>
    <t>Порез на прих.од давања у закуп покр.ствари</t>
  </si>
  <si>
    <t>Порез на земљиште</t>
  </si>
  <si>
    <t xml:space="preserve">Самодопринос према зарадама зап.на тер.општ.  </t>
  </si>
  <si>
    <t xml:space="preserve">Самодопринос  из прих.земљорадника  </t>
  </si>
  <si>
    <t>Самодопринос из прих.лица која се баве сам.дел.</t>
  </si>
  <si>
    <t>Порез на остале приходе</t>
  </si>
  <si>
    <t>Порез на приходе проф.спортиста</t>
  </si>
  <si>
    <t>Порез на имовину од физичких лица</t>
  </si>
  <si>
    <t>Порез на имовину од правних лица</t>
  </si>
  <si>
    <t>Порез на пренос апсолутних права код продаје стеч.дужника</t>
  </si>
  <si>
    <t>Боравишна такса</t>
  </si>
  <si>
    <t>Посебна накнада за заштиту и унапређење животне средине</t>
  </si>
  <si>
    <t>Комунална такса за истицање фирме на пословном простору</t>
  </si>
  <si>
    <t>Текући наменски трансф.од Републике</t>
  </si>
  <si>
    <t xml:space="preserve">Текући наменски трансф.од АПВ </t>
  </si>
  <si>
    <t>Капитални трансф.од Републике у корист нивоа општина</t>
  </si>
  <si>
    <t>Капитални трансфери од АП Војводина у корист нивоа општина</t>
  </si>
  <si>
    <t xml:space="preserve">Приходи буџета општине од камата на средства буџета </t>
  </si>
  <si>
    <t xml:space="preserve">Накнада за коришћење пољопривр. земљишта </t>
  </si>
  <si>
    <t>Накнада за коришћење шума и шумског земљишта</t>
  </si>
  <si>
    <t>Накнада за коришћење градског грађевинског земљишта</t>
  </si>
  <si>
    <t>Допринос за уређивање грађевинског земљишта</t>
  </si>
  <si>
    <t>Приходи од давања у узакуп, односно од коришћења непокретности у др.свој.</t>
  </si>
  <si>
    <t>Накнада по основу конверзије права коришћ.у право својине у корист нив.општ.</t>
  </si>
  <si>
    <t>Приходи остварени по основу пруж. услуга боравка деце у пред.уст.у кор.опш.</t>
  </si>
  <si>
    <t>Општинске административне таксе</t>
  </si>
  <si>
    <t>Такса за озакоњење објеката у корист нивоа општина</t>
  </si>
  <si>
    <t xml:space="preserve">Приходи индиректних корисника буџетских средстава који се оствар.дод.акт. </t>
  </si>
  <si>
    <t>Остали приходи у корист нивоа општина</t>
  </si>
  <si>
    <t>Део добити ЈП, према одлуци управног одбора ЈП у корист нивоа општина</t>
  </si>
  <si>
    <t>Закупнина за стан у општинској својини у корист нивоа општине</t>
  </si>
  <si>
    <t>Примања од отплате станова у корист нивоа општина</t>
  </si>
  <si>
    <t>ПЛАН ЗА ИЗВОР ФИН.:
15</t>
  </si>
  <si>
    <t>Приходи од продаје доб. и усл. или закупа од стране трж. орг.у кор.нивоа опш.</t>
  </si>
  <si>
    <t>Тек.попр. и одржавање - уређ.атарских пут.и отресишта (по прог)</t>
  </si>
  <si>
    <t>Накнаде за соц.заштиту из буџета-једнократне помоћи-поп.полит.</t>
  </si>
  <si>
    <t>Зграде и грађ.обј. (прој.пл.-Мост на Злат., ПДР за Бан.магист.,ПДР за траседр.пута2ареда104 на делуБ.Аран.Ц.Бара и др.)</t>
  </si>
  <si>
    <t>Зграде и грађ.обј-реконстр. вод.мр. у насељу Чока -  VЦ етапа</t>
  </si>
  <si>
    <t>Зграде и грађ.обј.-реконстр. вод.мр. у насељу Чока VБ етапа</t>
  </si>
  <si>
    <t xml:space="preserve">Зграде и грађевински објекти </t>
  </si>
  <si>
    <t>Пратећи трошкови задуживања- нег. курс. разлике</t>
  </si>
  <si>
    <t xml:space="preserve">Приходи од давања у закуп ,односно на коришћење непокретности у општинској својини </t>
  </si>
  <si>
    <t>Накнада за коришћење дрвета</t>
  </si>
  <si>
    <t>1801-П-1</t>
  </si>
  <si>
    <t>Пројекат: Опремање установе примарне здравствене заштите</t>
  </si>
  <si>
    <t>Машине и опрема (ултразвук)</t>
  </si>
  <si>
    <t>054A</t>
  </si>
  <si>
    <t>Услуге по уговору- бесплатна правна помоћ</t>
  </si>
  <si>
    <t>Комунална такса за истицање и исписивање фирме ван пословног простора, на објектима и просторијама који припадају општини</t>
  </si>
  <si>
    <t xml:space="preserve">Комунална такса за држање моторних друмских и прикључних возила осим пољоп.машина возила  и машина </t>
  </si>
  <si>
    <t xml:space="preserve">Порез на пренос апсолутних права на непокретности </t>
  </si>
  <si>
    <t xml:space="preserve">Порез на пренос апсолутних права на полов.мот.возилима </t>
  </si>
  <si>
    <t>Пројекат:Реализац.рачун.и језич.курсева</t>
  </si>
  <si>
    <t>УКУПАН ПЛАН ЗА 2022.</t>
  </si>
  <si>
    <t>ПЛАН РАСХОДА БУЏЕТА ОПШТИНЕ ЧОКА ЗА 2020, СА ПРОЈЕКЦИЈАМА ЗА 2021. И 2022.ГОДИНУ</t>
  </si>
  <si>
    <t xml:space="preserve">ПЛАН ПРИХОДА  БУЏЕТА ОПШТИНЕ ЧОКА ЗА  2020 СА ПРОЈЕКЦИЈАМА ЗА  2021 и за 2022 ГОДИНУ </t>
  </si>
  <si>
    <t>ПЛАН ЗА 2022.Г.</t>
  </si>
  <si>
    <t>2. РАСХОДИ ПО ОСНОВНИМ НАМЕНАМА БУЏЕТА ОПШТИНЕ ЧОКА ЗА 2020Г.</t>
  </si>
  <si>
    <t>УКУПАН ПЛАН ЗА 2020.Г.</t>
  </si>
  <si>
    <t>УКУПАН ПЛАН БУЏЕТА ЗА 2020.Г.</t>
  </si>
  <si>
    <t>УКУПНИ ПРИХОДИ ЗА 2020. годину:</t>
  </si>
  <si>
    <t>ПЛАН ЗА 2020.ГОД.</t>
  </si>
  <si>
    <t>Услуге по уговору - средства за спровођење избора</t>
  </si>
  <si>
    <t>015</t>
  </si>
  <si>
    <t>Спец.усл.(обележавање саобраћ.сигнал.хориз.)</t>
  </si>
  <si>
    <t xml:space="preserve">Машине и опрема(рентген апарат) </t>
  </si>
  <si>
    <t>0602-П-2</t>
  </si>
  <si>
    <t>Текуће поправке и одрж. -водовод у Падеју и у Остојићево</t>
  </si>
  <si>
    <t>Зграде и грађ.обј.- уређење паркинга у Чоки</t>
  </si>
  <si>
    <t xml:space="preserve">Зграде и грађ.обј.-кров Омл.дома у Остојићево </t>
  </si>
  <si>
    <t>094</t>
  </si>
  <si>
    <t>Зграде и грађ.обј.-док.легал.бун. у Падеју, елаб. 
за санит.заш.зону за бун. у нас.Чока, елаб. подзем.вода</t>
  </si>
  <si>
    <t>Специј.усл.-хем.бак.анал.воде,хидрод.тест.,евид.вода</t>
  </si>
  <si>
    <t>Енергетски менанџмент</t>
  </si>
  <si>
    <t>Субвенције јавним нефин.пр.Регион.деп. ДОО Суб.-текућ.расх.</t>
  </si>
  <si>
    <t>047A</t>
  </si>
  <si>
    <t>Накнаде за социјалну заштиту-једнократне помоћи</t>
  </si>
  <si>
    <t>090А</t>
  </si>
  <si>
    <t>090Б</t>
  </si>
  <si>
    <t>011A</t>
  </si>
  <si>
    <t>Материјал - средства за спровођење избора</t>
  </si>
  <si>
    <t>Пројекат: Унапређ. безбед. саобраћ. у 2020.години</t>
  </si>
  <si>
    <t>162A</t>
  </si>
  <si>
    <t>Набавка остале некретнине о опрема</t>
  </si>
  <si>
    <t>329А</t>
  </si>
  <si>
    <t>Дотација невлад.орг.-Саветима националних мањина</t>
  </si>
  <si>
    <t>Машине и опрема .(по програму-рачунар,штампач)</t>
  </si>
  <si>
    <t>Спецализоване услуге (дерат.хемиј.зашт.)</t>
  </si>
  <si>
    <t xml:space="preserve">Специјализоване услуге - рекулт.нап.копова, изн.смећа  </t>
  </si>
  <si>
    <t>Спец.услуге -укл.неадек.одлож.отпад.изн.смећаЈазово</t>
  </si>
  <si>
    <t>Текуће поправке и одрж.уређ.јавне повр.(атм.кан.и ост.)</t>
  </si>
  <si>
    <t>Зграде и грађ.обј.-израда потреб. докум. за пречис. у Чоки</t>
  </si>
  <si>
    <t>183A</t>
  </si>
  <si>
    <t>ПЛАН</t>
  </si>
  <si>
    <t>ИЗВРШЕЊЕ ДО 02.09.2020</t>
  </si>
  <si>
    <t xml:space="preserve">Одржавање чист.на површ.јавне намене </t>
  </si>
  <si>
    <t>Машине и опрема-аутосмеђар за потребе ЈКП Чока</t>
  </si>
  <si>
    <t>109А</t>
  </si>
  <si>
    <t>Накнада за промену намене пољопривредног земљишта</t>
  </si>
  <si>
    <t>Накнада од емисије SO2, NO2, прешкастих материја и одложеног отпада</t>
  </si>
  <si>
    <t>Накнада за коришћење јавне површине у пословне и друге сврхе</t>
  </si>
  <si>
    <t>Специјализоване услуге - трош.руш.обј.,равн.терена Остојић.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</si>
</sst>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.00\ _D_i_n_._-;\-* #,##0.00\ _D_i_n_._-;_-* &quot;-&quot;??\ _D_i_n_._-;_-@_-"/>
    <numFmt numFmtId="165" formatCode="??,???,??0.00"/>
    <numFmt numFmtId="166" formatCode="?,???,??0.00"/>
    <numFmt numFmtId="167" formatCode="???"/>
    <numFmt numFmtId="168" formatCode="000"/>
    <numFmt numFmtId="169" formatCode="???,??0.00"/>
    <numFmt numFmtId="170" formatCode="??,??0.00"/>
    <numFmt numFmtId="171" formatCode="???,???,??0.00"/>
    <numFmt numFmtId="172" formatCode="#,##0.00;[Red]#,##0.00"/>
    <numFmt numFmtId="173" formatCode="?"/>
    <numFmt numFmtId="174" formatCode="????"/>
    <numFmt numFmtId="175" formatCode="?????"/>
    <numFmt numFmtId="176" formatCode="??????"/>
    <numFmt numFmtId="177" formatCode="_-* #,##0\ _d_i_n_._-;\-* #,##0\ _d_i_n_._-;_-* &quot;-&quot;\ _d_i_n_._-;_-@_-"/>
    <numFmt numFmtId="178" formatCode="_(* #,##0.00_);_(* \(#,##0.00\);_(* \-??_);_(@_)"/>
    <numFmt numFmtId="179" formatCode="_-* #,##0.00\ _D_i_n_._-;\-* #,##0.00\ _D_i_n_._-;_-* \-??\ _D_i_n_._-;_-@_-"/>
    <numFmt numFmtId="180" formatCode="0.000000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9"/>
      <color indexed="8"/>
      <name val="Calibri"/>
      <family val="2"/>
    </font>
    <font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b/>
      <i/>
      <sz val="11"/>
      <color indexed="8"/>
      <name val="Trebuchet MS"/>
      <family val="2"/>
    </font>
    <font>
      <sz val="10"/>
      <name val="Trebuchet MS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0"/>
    </font>
    <font>
      <sz val="3.5"/>
      <color indexed="8"/>
      <name val="Calibri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444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4" fillId="0" borderId="10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61" applyFont="1">
      <alignment/>
      <protection/>
    </xf>
    <xf numFmtId="0" fontId="0" fillId="0" borderId="0" xfId="0" applyFont="1" applyFill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45" applyFont="1" applyBorder="1">
      <alignment/>
      <protection/>
    </xf>
    <xf numFmtId="0" fontId="0" fillId="0" borderId="16" xfId="45" applyFont="1" applyFill="1" applyBorder="1" applyAlignment="1">
      <alignment/>
      <protection/>
    </xf>
    <xf numFmtId="0" fontId="6" fillId="0" borderId="17" xfId="45" applyFont="1" applyBorder="1">
      <alignment/>
      <protection/>
    </xf>
    <xf numFmtId="0" fontId="6" fillId="0" borderId="0" xfId="0" applyFont="1" applyAlignment="1">
      <alignment/>
    </xf>
    <xf numFmtId="0" fontId="4" fillId="0" borderId="17" xfId="45" applyFont="1" applyBorder="1">
      <alignment/>
      <protection/>
    </xf>
    <xf numFmtId="0" fontId="7" fillId="0" borderId="17" xfId="45" applyFont="1" applyBorder="1">
      <alignment/>
      <protection/>
    </xf>
    <xf numFmtId="0" fontId="0" fillId="0" borderId="17" xfId="45" applyFont="1" applyBorder="1">
      <alignment/>
      <protection/>
    </xf>
    <xf numFmtId="0" fontId="0" fillId="0" borderId="17" xfId="45" applyFont="1" applyFill="1" applyBorder="1">
      <alignment/>
      <protection/>
    </xf>
    <xf numFmtId="172" fontId="4" fillId="0" borderId="18" xfId="45" applyNumberFormat="1" applyFont="1" applyBorder="1" applyAlignment="1">
      <alignment horizontal="right" vertical="top"/>
      <protection/>
    </xf>
    <xf numFmtId="172" fontId="0" fillId="0" borderId="18" xfId="45" applyNumberFormat="1" applyFont="1" applyBorder="1">
      <alignment/>
      <protection/>
    </xf>
    <xf numFmtId="0" fontId="4" fillId="0" borderId="19" xfId="45" applyFont="1" applyBorder="1">
      <alignment/>
      <protection/>
    </xf>
    <xf numFmtId="171" fontId="4" fillId="0" borderId="20" xfId="45" applyNumberFormat="1" applyFont="1" applyBorder="1">
      <alignment/>
      <protection/>
    </xf>
    <xf numFmtId="172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9" fontId="4" fillId="0" borderId="0" xfId="42" applyNumberFormat="1" applyFont="1" applyBorder="1" applyAlignment="1">
      <alignment horizontal="left" vertical="top"/>
      <protection/>
    </xf>
    <xf numFmtId="49" fontId="4" fillId="0" borderId="0" xfId="42" applyNumberFormat="1" applyFont="1" applyBorder="1" applyAlignment="1">
      <alignment horizontal="center" vertical="top"/>
      <protection/>
    </xf>
    <xf numFmtId="49" fontId="7" fillId="0" borderId="0" xfId="42" applyNumberFormat="1" applyFont="1" applyAlignment="1">
      <alignment horizontal="left" vertical="top"/>
      <protection/>
    </xf>
    <xf numFmtId="0" fontId="4" fillId="0" borderId="0" xfId="42" applyFont="1" applyBorder="1" applyAlignment="1">
      <alignment vertical="top"/>
      <protection/>
    </xf>
    <xf numFmtId="0" fontId="8" fillId="0" borderId="0" xfId="42" applyFont="1" applyBorder="1" applyAlignment="1">
      <alignment vertical="top"/>
      <protection/>
    </xf>
    <xf numFmtId="49" fontId="4" fillId="0" borderId="0" xfId="42" applyNumberFormat="1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 vertical="center"/>
      <protection/>
    </xf>
    <xf numFmtId="49" fontId="4" fillId="33" borderId="21" xfId="42" applyNumberFormat="1" applyFont="1" applyFill="1" applyBorder="1" applyAlignment="1">
      <alignment horizontal="center"/>
      <protection/>
    </xf>
    <xf numFmtId="49" fontId="4" fillId="33" borderId="22" xfId="42" applyNumberFormat="1" applyFont="1" applyFill="1" applyBorder="1" applyAlignment="1">
      <alignment horizontal="center" vertical="top"/>
      <protection/>
    </xf>
    <xf numFmtId="0" fontId="4" fillId="33" borderId="22" xfId="42" applyFont="1" applyFill="1" applyBorder="1" applyAlignment="1">
      <alignment horizontal="center"/>
      <protection/>
    </xf>
    <xf numFmtId="167" fontId="4" fillId="34" borderId="22" xfId="42" applyNumberFormat="1" applyFont="1" applyFill="1" applyBorder="1" applyAlignment="1">
      <alignment horizontal="center" vertical="top"/>
      <protection/>
    </xf>
    <xf numFmtId="4" fontId="4" fillId="34" borderId="22" xfId="42" applyNumberFormat="1" applyFont="1" applyFill="1" applyBorder="1" applyAlignment="1">
      <alignment horizontal="right" vertical="top"/>
      <protection/>
    </xf>
    <xf numFmtId="167" fontId="4" fillId="0" borderId="22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right" vertical="top"/>
      <protection/>
    </xf>
    <xf numFmtId="49" fontId="4" fillId="34" borderId="22" xfId="42" applyNumberFormat="1" applyFont="1" applyFill="1" applyBorder="1" applyAlignment="1">
      <alignment horizontal="center" vertical="top"/>
      <protection/>
    </xf>
    <xf numFmtId="49" fontId="7" fillId="0" borderId="22" xfId="42" applyNumberFormat="1" applyFont="1" applyFill="1" applyBorder="1" applyAlignment="1">
      <alignment horizontal="center" vertical="top"/>
      <protection/>
    </xf>
    <xf numFmtId="4" fontId="4" fillId="34" borderId="23" xfId="42" applyNumberFormat="1" applyFont="1" applyFill="1" applyBorder="1" applyAlignment="1">
      <alignment horizontal="right" vertical="top"/>
      <protection/>
    </xf>
    <xf numFmtId="167" fontId="4" fillId="0" borderId="24" xfId="42" applyNumberFormat="1" applyFont="1" applyFill="1" applyBorder="1" applyAlignment="1">
      <alignment horizontal="center" vertical="top"/>
      <protection/>
    </xf>
    <xf numFmtId="167" fontId="4" fillId="0" borderId="16" xfId="42" applyNumberFormat="1" applyFont="1" applyFill="1" applyBorder="1" applyAlignment="1">
      <alignment horizontal="center" vertical="top"/>
      <protection/>
    </xf>
    <xf numFmtId="167" fontId="4" fillId="0" borderId="25" xfId="42" applyNumberFormat="1" applyFont="1" applyFill="1" applyBorder="1" applyAlignment="1">
      <alignment horizontal="center" vertical="top"/>
      <protection/>
    </xf>
    <xf numFmtId="4" fontId="4" fillId="0" borderId="0" xfId="0" applyNumberFormat="1" applyFont="1" applyFill="1" applyAlignment="1">
      <alignment horizontal="center"/>
    </xf>
    <xf numFmtId="0" fontId="0" fillId="0" borderId="26" xfId="0" applyFont="1" applyBorder="1" applyAlignment="1">
      <alignment/>
    </xf>
    <xf numFmtId="4" fontId="4" fillId="0" borderId="27" xfId="42" applyNumberFormat="1" applyFont="1" applyFill="1" applyBorder="1" applyAlignment="1">
      <alignment horizontal="right" vertical="top"/>
      <protection/>
    </xf>
    <xf numFmtId="0" fontId="4" fillId="33" borderId="28" xfId="42" applyFont="1" applyFill="1" applyBorder="1" applyAlignment="1">
      <alignment horizontal="center"/>
      <protection/>
    </xf>
    <xf numFmtId="4" fontId="4" fillId="33" borderId="27" xfId="42" applyNumberFormat="1" applyFont="1" applyFill="1" applyBorder="1" applyAlignment="1">
      <alignment horizontal="right" vertical="top"/>
      <protection/>
    </xf>
    <xf numFmtId="4" fontId="4" fillId="34" borderId="27" xfId="42" applyNumberFormat="1" applyFont="1" applyFill="1" applyBorder="1" applyAlignment="1">
      <alignment horizontal="right" vertical="top"/>
      <protection/>
    </xf>
    <xf numFmtId="0" fontId="4" fillId="0" borderId="29" xfId="0" applyFont="1" applyBorder="1" applyAlignment="1">
      <alignment horizontal="center" textRotation="90"/>
    </xf>
    <xf numFmtId="0" fontId="4" fillId="0" borderId="30" xfId="0" applyFont="1" applyBorder="1" applyAlignment="1">
      <alignment horizontal="center" textRotation="90"/>
    </xf>
    <xf numFmtId="0" fontId="4" fillId="0" borderId="30" xfId="0" applyFont="1" applyBorder="1" applyAlignment="1">
      <alignment horizontal="center" textRotation="90" wrapText="1"/>
    </xf>
    <xf numFmtId="4" fontId="4" fillId="0" borderId="31" xfId="42" applyNumberFormat="1" applyFont="1" applyBorder="1" applyAlignment="1">
      <alignment horizontal="right" vertical="center"/>
      <protection/>
    </xf>
    <xf numFmtId="0" fontId="4" fillId="0" borderId="28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171" fontId="5" fillId="0" borderId="33" xfId="45" applyNumberFormat="1" applyFont="1" applyBorder="1" applyAlignment="1">
      <alignment horizontal="right" vertical="center"/>
      <protection/>
    </xf>
    <xf numFmtId="171" fontId="0" fillId="0" borderId="0" xfId="0" applyNumberFormat="1" applyFont="1" applyFill="1" applyAlignment="1">
      <alignment/>
    </xf>
    <xf numFmtId="0" fontId="11" fillId="33" borderId="26" xfId="0" applyFont="1" applyFill="1" applyBorder="1" applyAlignment="1">
      <alignment vertical="top"/>
    </xf>
    <xf numFmtId="0" fontId="11" fillId="33" borderId="34" xfId="0" applyFont="1" applyFill="1" applyBorder="1" applyAlignment="1">
      <alignment vertical="top"/>
    </xf>
    <xf numFmtId="0" fontId="9" fillId="35" borderId="34" xfId="0" applyFont="1" applyFill="1" applyBorder="1" applyAlignment="1">
      <alignment vertical="top"/>
    </xf>
    <xf numFmtId="0" fontId="5" fillId="0" borderId="0" xfId="45" applyFont="1" applyAlignment="1">
      <alignment horizontal="left" vertical="top"/>
      <protection/>
    </xf>
    <xf numFmtId="0" fontId="10" fillId="0" borderId="0" xfId="45" applyFont="1" applyAlignment="1">
      <alignment horizontal="left" vertical="top"/>
      <protection/>
    </xf>
    <xf numFmtId="0" fontId="5" fillId="0" borderId="0" xfId="45" applyFont="1" applyBorder="1" applyAlignment="1">
      <alignment horizontal="left" vertical="center"/>
      <protection/>
    </xf>
    <xf numFmtId="0" fontId="5" fillId="0" borderId="10" xfId="0" applyFont="1" applyBorder="1" applyAlignment="1">
      <alignment textRotation="90"/>
    </xf>
    <xf numFmtId="0" fontId="5" fillId="0" borderId="11" xfId="0" applyFont="1" applyBorder="1" applyAlignment="1">
      <alignment textRotation="90"/>
    </xf>
    <xf numFmtId="0" fontId="4" fillId="0" borderId="10" xfId="45" applyFont="1" applyFill="1" applyBorder="1" applyAlignment="1">
      <alignment horizontal="center" vertical="center" wrapText="1"/>
      <protection/>
    </xf>
    <xf numFmtId="49" fontId="5" fillId="36" borderId="17" xfId="45" applyNumberFormat="1" applyFont="1" applyFill="1" applyBorder="1" applyAlignment="1">
      <alignment horizontal="center" vertical="top"/>
      <protection/>
    </xf>
    <xf numFmtId="173" fontId="9" fillId="35" borderId="16" xfId="45" applyNumberFormat="1" applyFont="1" applyFill="1" applyBorder="1" applyAlignment="1">
      <alignment horizontal="left" vertical="top"/>
      <protection/>
    </xf>
    <xf numFmtId="0" fontId="6" fillId="35" borderId="16" xfId="45" applyFont="1" applyFill="1" applyBorder="1">
      <alignment/>
      <protection/>
    </xf>
    <xf numFmtId="0" fontId="6" fillId="35" borderId="35" xfId="45" applyFont="1" applyFill="1" applyBorder="1">
      <alignment/>
      <protection/>
    </xf>
    <xf numFmtId="0" fontId="9" fillId="35" borderId="26" xfId="0" applyFont="1" applyFill="1" applyBorder="1" applyAlignment="1">
      <alignment vertical="top"/>
    </xf>
    <xf numFmtId="171" fontId="9" fillId="35" borderId="18" xfId="45" applyNumberFormat="1" applyFont="1" applyFill="1" applyBorder="1" applyAlignment="1">
      <alignment horizontal="right" vertical="top"/>
      <protection/>
    </xf>
    <xf numFmtId="0" fontId="4" fillId="33" borderId="16" xfId="45" applyFont="1" applyFill="1" applyBorder="1">
      <alignment/>
      <protection/>
    </xf>
    <xf numFmtId="167" fontId="11" fillId="33" borderId="16" xfId="45" applyNumberFormat="1" applyFont="1" applyFill="1" applyBorder="1" applyAlignment="1">
      <alignment horizontal="left" vertical="top"/>
      <protection/>
    </xf>
    <xf numFmtId="0" fontId="4" fillId="33" borderId="35" xfId="45" applyFont="1" applyFill="1" applyBorder="1">
      <alignment/>
      <protection/>
    </xf>
    <xf numFmtId="0" fontId="11" fillId="33" borderId="35" xfId="0" applyFont="1" applyFill="1" applyBorder="1" applyAlignment="1">
      <alignment vertical="top"/>
    </xf>
    <xf numFmtId="165" fontId="8" fillId="33" borderId="18" xfId="45" applyNumberFormat="1" applyFont="1" applyFill="1" applyBorder="1" applyAlignment="1">
      <alignment horizontal="right" vertical="top"/>
      <protection/>
    </xf>
    <xf numFmtId="0" fontId="7" fillId="0" borderId="16" xfId="45" applyFont="1" applyBorder="1">
      <alignment/>
      <protection/>
    </xf>
    <xf numFmtId="174" fontId="10" fillId="0" borderId="16" xfId="45" applyNumberFormat="1" applyFont="1" applyBorder="1" applyAlignment="1">
      <alignment horizontal="left" vertical="top"/>
      <protection/>
    </xf>
    <xf numFmtId="0" fontId="7" fillId="0" borderId="35" xfId="45" applyFont="1" applyBorder="1">
      <alignment/>
      <protection/>
    </xf>
    <xf numFmtId="0" fontId="10" fillId="0" borderId="3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34" xfId="0" applyFont="1" applyBorder="1" applyAlignment="1">
      <alignment vertical="top"/>
    </xf>
    <xf numFmtId="165" fontId="7" fillId="0" borderId="18" xfId="45" applyNumberFormat="1" applyFont="1" applyBorder="1" applyAlignment="1">
      <alignment horizontal="right" vertical="top"/>
      <protection/>
    </xf>
    <xf numFmtId="0" fontId="0" fillId="0" borderId="16" xfId="45" applyFont="1" applyBorder="1">
      <alignment/>
      <protection/>
    </xf>
    <xf numFmtId="0" fontId="0" fillId="0" borderId="35" xfId="45" applyFont="1" applyBorder="1">
      <alignment/>
      <protection/>
    </xf>
    <xf numFmtId="0" fontId="12" fillId="0" borderId="35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0" fillId="0" borderId="34" xfId="0" applyFont="1" applyBorder="1" applyAlignment="1">
      <alignment/>
    </xf>
    <xf numFmtId="165" fontId="12" fillId="0" borderId="18" xfId="45" applyNumberFormat="1" applyFont="1" applyBorder="1" applyAlignment="1" applyProtection="1">
      <alignment horizontal="right" vertical="top"/>
      <protection locked="0"/>
    </xf>
    <xf numFmtId="0" fontId="12" fillId="0" borderId="34" xfId="0" applyFont="1" applyBorder="1" applyAlignment="1">
      <alignment vertical="top"/>
    </xf>
    <xf numFmtId="165" fontId="12" fillId="0" borderId="18" xfId="45" applyNumberFormat="1" applyFont="1" applyFill="1" applyBorder="1" applyAlignment="1" applyProtection="1">
      <alignment horizontal="right" vertical="top"/>
      <protection locked="0"/>
    </xf>
    <xf numFmtId="0" fontId="4" fillId="33" borderId="34" xfId="0" applyFont="1" applyFill="1" applyBorder="1" applyAlignment="1">
      <alignment/>
    </xf>
    <xf numFmtId="169" fontId="8" fillId="33" borderId="18" xfId="45" applyNumberFormat="1" applyFont="1" applyFill="1" applyBorder="1" applyAlignment="1">
      <alignment horizontal="right" vertical="top"/>
      <protection/>
    </xf>
    <xf numFmtId="0" fontId="7" fillId="0" borderId="26" xfId="0" applyFont="1" applyBorder="1" applyAlignment="1">
      <alignment/>
    </xf>
    <xf numFmtId="0" fontId="7" fillId="0" borderId="34" xfId="0" applyFont="1" applyBorder="1" applyAlignment="1">
      <alignment/>
    </xf>
    <xf numFmtId="169" fontId="10" fillId="0" borderId="18" xfId="45" applyNumberFormat="1" applyFont="1" applyBorder="1" applyAlignment="1">
      <alignment horizontal="right" vertical="top"/>
      <protection/>
    </xf>
    <xf numFmtId="169" fontId="7" fillId="0" borderId="18" xfId="45" applyNumberFormat="1" applyFont="1" applyBorder="1" applyAlignment="1">
      <alignment horizontal="right" vertical="top"/>
      <protection/>
    </xf>
    <xf numFmtId="169" fontId="12" fillId="0" borderId="18" xfId="45" applyNumberFormat="1" applyFont="1" applyBorder="1" applyAlignment="1" applyProtection="1">
      <alignment horizontal="right" vertical="top"/>
      <protection locked="0"/>
    </xf>
    <xf numFmtId="0" fontId="4" fillId="33" borderId="26" xfId="0" applyFont="1" applyFill="1" applyBorder="1" applyAlignment="1">
      <alignment/>
    </xf>
    <xf numFmtId="166" fontId="7" fillId="0" borderId="18" xfId="45" applyNumberFormat="1" applyFont="1" applyBorder="1" applyAlignment="1">
      <alignment horizontal="right" vertical="top"/>
      <protection/>
    </xf>
    <xf numFmtId="166" fontId="12" fillId="0" borderId="18" xfId="45" applyNumberFormat="1" applyFont="1" applyFill="1" applyBorder="1" applyAlignment="1" applyProtection="1">
      <alignment horizontal="right" vertical="top"/>
      <protection locked="0"/>
    </xf>
    <xf numFmtId="170" fontId="10" fillId="0" borderId="18" xfId="45" applyNumberFormat="1" applyFont="1" applyBorder="1" applyAlignment="1">
      <alignment horizontal="right" vertical="top"/>
      <protection/>
    </xf>
    <xf numFmtId="170" fontId="12" fillId="0" borderId="18" xfId="45" applyNumberFormat="1" applyFont="1" applyBorder="1" applyAlignment="1" applyProtection="1">
      <alignment horizontal="right" vertical="top"/>
      <protection locked="0"/>
    </xf>
    <xf numFmtId="166" fontId="8" fillId="33" borderId="18" xfId="45" applyNumberFormat="1" applyFont="1" applyFill="1" applyBorder="1" applyAlignment="1">
      <alignment horizontal="right" vertical="top"/>
      <protection/>
    </xf>
    <xf numFmtId="170" fontId="7" fillId="0" borderId="18" xfId="45" applyNumberFormat="1" applyFont="1" applyBorder="1" applyAlignment="1">
      <alignment horizontal="right" vertical="top"/>
      <protection/>
    </xf>
    <xf numFmtId="170" fontId="12" fillId="0" borderId="18" xfId="45" applyNumberFormat="1" applyFont="1" applyFill="1" applyBorder="1" applyAlignment="1" applyProtection="1">
      <alignment horizontal="right" vertical="top"/>
      <protection locked="0"/>
    </xf>
    <xf numFmtId="166" fontId="12" fillId="0" borderId="18" xfId="45" applyNumberFormat="1" applyFont="1" applyBorder="1" applyAlignment="1" applyProtection="1">
      <alignment horizontal="right" vertical="top"/>
      <protection locked="0"/>
    </xf>
    <xf numFmtId="0" fontId="0" fillId="0" borderId="16" xfId="45" applyFont="1" applyFill="1" applyBorder="1">
      <alignment/>
      <protection/>
    </xf>
    <xf numFmtId="176" fontId="12" fillId="0" borderId="35" xfId="45" applyNumberFormat="1" applyFont="1" applyFill="1" applyBorder="1" applyAlignment="1">
      <alignment horizontal="left" vertical="top"/>
      <protection/>
    </xf>
    <xf numFmtId="0" fontId="9" fillId="35" borderId="35" xfId="0" applyFont="1" applyFill="1" applyBorder="1" applyAlignment="1">
      <alignment vertical="top"/>
    </xf>
    <xf numFmtId="169" fontId="12" fillId="0" borderId="18" xfId="45" applyNumberFormat="1" applyFont="1" applyFill="1" applyBorder="1" applyAlignment="1" applyProtection="1">
      <alignment horizontal="right" vertical="top"/>
      <protection locked="0"/>
    </xf>
    <xf numFmtId="174" fontId="12" fillId="0" borderId="16" xfId="45" applyNumberFormat="1" applyFont="1" applyBorder="1" applyAlignment="1">
      <alignment horizontal="left" vertical="top"/>
      <protection/>
    </xf>
    <xf numFmtId="169" fontId="12" fillId="0" borderId="18" xfId="45" applyNumberFormat="1" applyFont="1" applyBorder="1" applyAlignment="1">
      <alignment horizontal="right" vertical="top"/>
      <protection/>
    </xf>
    <xf numFmtId="0" fontId="7" fillId="0" borderId="16" xfId="45" applyFont="1" applyBorder="1" applyAlignment="1">
      <alignment horizontal="left"/>
      <protection/>
    </xf>
    <xf numFmtId="169" fontId="9" fillId="35" borderId="18" xfId="45" applyNumberFormat="1" applyFont="1" applyFill="1" applyBorder="1" applyAlignment="1">
      <alignment horizontal="right" vertical="top"/>
      <protection/>
    </xf>
    <xf numFmtId="0" fontId="4" fillId="0" borderId="16" xfId="45" applyFont="1" applyBorder="1">
      <alignment/>
      <protection/>
    </xf>
    <xf numFmtId="167" fontId="11" fillId="0" borderId="16" xfId="45" applyNumberFormat="1" applyFont="1" applyBorder="1" applyAlignment="1">
      <alignment horizontal="center" vertical="top"/>
      <protection/>
    </xf>
    <xf numFmtId="167" fontId="11" fillId="0" borderId="35" xfId="45" applyNumberFormat="1" applyFont="1" applyBorder="1" applyAlignment="1">
      <alignment horizontal="center" vertical="top"/>
      <protection/>
    </xf>
    <xf numFmtId="172" fontId="5" fillId="0" borderId="18" xfId="45" applyNumberFormat="1" applyFont="1" applyBorder="1" applyAlignment="1">
      <alignment horizontal="right" vertical="top"/>
      <protection/>
    </xf>
    <xf numFmtId="167" fontId="13" fillId="0" borderId="17" xfId="45" applyNumberFormat="1" applyFont="1" applyBorder="1" applyAlignment="1">
      <alignment horizontal="center" vertical="top"/>
      <protection/>
    </xf>
    <xf numFmtId="0" fontId="6" fillId="35" borderId="16" xfId="45" applyFont="1" applyFill="1" applyBorder="1" applyAlignment="1">
      <alignment horizontal="center"/>
      <protection/>
    </xf>
    <xf numFmtId="167" fontId="13" fillId="35" borderId="16" xfId="45" applyNumberFormat="1" applyFont="1" applyFill="1" applyBorder="1" applyAlignment="1">
      <alignment horizontal="center" vertical="top"/>
      <protection/>
    </xf>
    <xf numFmtId="0" fontId="6" fillId="35" borderId="35" xfId="45" applyFont="1" applyFill="1" applyBorder="1" applyAlignment="1">
      <alignment horizontal="center"/>
      <protection/>
    </xf>
    <xf numFmtId="172" fontId="9" fillId="35" borderId="18" xfId="45" applyNumberFormat="1" applyFont="1" applyFill="1" applyBorder="1" applyAlignment="1">
      <alignment horizontal="right" vertical="top"/>
      <protection/>
    </xf>
    <xf numFmtId="167" fontId="10" fillId="0" borderId="17" xfId="45" applyNumberFormat="1" applyFont="1" applyBorder="1" applyAlignment="1">
      <alignment horizontal="center" vertical="top"/>
      <protection/>
    </xf>
    <xf numFmtId="167" fontId="10" fillId="0" borderId="16" xfId="45" applyNumberFormat="1" applyFont="1" applyBorder="1" applyAlignment="1">
      <alignment horizontal="center" vertical="top"/>
      <protection/>
    </xf>
    <xf numFmtId="174" fontId="12" fillId="0" borderId="35" xfId="45" applyNumberFormat="1" applyFont="1" applyBorder="1" applyAlignment="1">
      <alignment horizontal="left" vertical="top"/>
      <protection/>
    </xf>
    <xf numFmtId="172" fontId="11" fillId="0" borderId="18" xfId="45" applyNumberFormat="1" applyFont="1" applyBorder="1" applyAlignment="1" applyProtection="1">
      <alignment horizontal="right" vertical="top"/>
      <protection locked="0"/>
    </xf>
    <xf numFmtId="0" fontId="4" fillId="0" borderId="35" xfId="45" applyFont="1" applyBorder="1">
      <alignment/>
      <protection/>
    </xf>
    <xf numFmtId="0" fontId="4" fillId="0" borderId="36" xfId="45" applyFont="1" applyBorder="1">
      <alignment/>
      <protection/>
    </xf>
    <xf numFmtId="0" fontId="4" fillId="0" borderId="37" xfId="45" applyFont="1" applyBorder="1">
      <alignment/>
      <protection/>
    </xf>
    <xf numFmtId="167" fontId="13" fillId="0" borderId="17" xfId="45" applyNumberFormat="1" applyFont="1" applyFill="1" applyBorder="1" applyAlignment="1">
      <alignment horizontal="center" vertical="top"/>
      <protection/>
    </xf>
    <xf numFmtId="173" fontId="9" fillId="0" borderId="16" xfId="45" applyNumberFormat="1" applyFont="1" applyFill="1" applyBorder="1" applyAlignment="1">
      <alignment horizontal="left" vertical="top"/>
      <protection/>
    </xf>
    <xf numFmtId="0" fontId="6" fillId="0" borderId="16" xfId="45" applyFont="1" applyFill="1" applyBorder="1" applyAlignment="1">
      <alignment horizontal="center"/>
      <protection/>
    </xf>
    <xf numFmtId="167" fontId="13" fillId="0" borderId="16" xfId="45" applyNumberFormat="1" applyFont="1" applyFill="1" applyBorder="1" applyAlignment="1">
      <alignment horizontal="center" vertical="top"/>
      <protection/>
    </xf>
    <xf numFmtId="0" fontId="6" fillId="0" borderId="35" xfId="45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4" fillId="0" borderId="16" xfId="45" applyFont="1" applyFill="1" applyBorder="1" applyAlignment="1">
      <alignment horizontal="center"/>
      <protection/>
    </xf>
    <xf numFmtId="172" fontId="4" fillId="0" borderId="18" xfId="45" applyNumberFormat="1" applyFont="1" applyFill="1" applyBorder="1" applyAlignment="1">
      <alignment horizontal="right" vertical="top"/>
      <protection/>
    </xf>
    <xf numFmtId="173" fontId="4" fillId="0" borderId="16" xfId="45" applyNumberFormat="1" applyFont="1" applyFill="1" applyBorder="1" applyAlignment="1">
      <alignment horizontal="left" vertical="top"/>
      <protection/>
    </xf>
    <xf numFmtId="0" fontId="4" fillId="0" borderId="35" xfId="45" applyFont="1" applyFill="1" applyBorder="1" applyAlignment="1">
      <alignment horizontal="center"/>
      <protection/>
    </xf>
    <xf numFmtId="167" fontId="4" fillId="0" borderId="17" xfId="45" applyNumberFormat="1" applyFont="1" applyFill="1" applyBorder="1" applyAlignment="1">
      <alignment horizontal="center" vertical="top"/>
      <protection/>
    </xf>
    <xf numFmtId="167" fontId="4" fillId="0" borderId="16" xfId="45" applyNumberFormat="1" applyFont="1" applyFill="1" applyBorder="1" applyAlignment="1">
      <alignment horizontal="center" vertical="top"/>
      <protection/>
    </xf>
    <xf numFmtId="0" fontId="4" fillId="0" borderId="17" xfId="45" applyFont="1" applyFill="1" applyBorder="1">
      <alignment/>
      <protection/>
    </xf>
    <xf numFmtId="49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wrapText="1"/>
    </xf>
    <xf numFmtId="4" fontId="4" fillId="0" borderId="39" xfId="0" applyNumberFormat="1" applyFont="1" applyBorder="1" applyAlignment="1">
      <alignment horizontal="right"/>
    </xf>
    <xf numFmtId="167" fontId="7" fillId="0" borderId="17" xfId="45" applyNumberFormat="1" applyFont="1" applyFill="1" applyBorder="1" applyAlignment="1">
      <alignment horizontal="center" vertical="top"/>
      <protection/>
    </xf>
    <xf numFmtId="0" fontId="0" fillId="0" borderId="16" xfId="45" applyFont="1" applyFill="1" applyBorder="1" applyAlignment="1">
      <alignment horizontal="center"/>
      <protection/>
    </xf>
    <xf numFmtId="167" fontId="7" fillId="0" borderId="16" xfId="45" applyNumberFormat="1" applyFont="1" applyFill="1" applyBorder="1" applyAlignment="1">
      <alignment horizontal="center" vertical="top"/>
      <protection/>
    </xf>
    <xf numFmtId="0" fontId="0" fillId="0" borderId="35" xfId="45" applyFont="1" applyFill="1" applyBorder="1" applyAlignment="1">
      <alignment horizontal="center"/>
      <protection/>
    </xf>
    <xf numFmtId="171" fontId="4" fillId="0" borderId="18" xfId="45" applyNumberFormat="1" applyFont="1" applyFill="1" applyBorder="1">
      <alignment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33" borderId="16" xfId="45" applyFont="1" applyFill="1" applyBorder="1" applyAlignment="1">
      <alignment horizontal="left"/>
      <protection/>
    </xf>
    <xf numFmtId="0" fontId="11" fillId="0" borderId="35" xfId="0" applyFont="1" applyFill="1" applyBorder="1" applyAlignment="1">
      <alignment vertical="top"/>
    </xf>
    <xf numFmtId="0" fontId="11" fillId="0" borderId="26" xfId="0" applyFont="1" applyFill="1" applyBorder="1" applyAlignment="1">
      <alignment vertical="top"/>
    </xf>
    <xf numFmtId="0" fontId="11" fillId="0" borderId="34" xfId="0" applyFont="1" applyFill="1" applyBorder="1" applyAlignment="1">
      <alignment vertical="top"/>
    </xf>
    <xf numFmtId="167" fontId="11" fillId="37" borderId="16" xfId="45" applyNumberFormat="1" applyFont="1" applyFill="1" applyBorder="1" applyAlignment="1">
      <alignment horizontal="left" vertical="top"/>
      <protection/>
    </xf>
    <xf numFmtId="4" fontId="4" fillId="34" borderId="28" xfId="42" applyNumberFormat="1" applyFont="1" applyFill="1" applyBorder="1" applyAlignment="1">
      <alignment horizontal="right" vertical="top"/>
      <protection/>
    </xf>
    <xf numFmtId="4" fontId="0" fillId="0" borderId="0" xfId="0" applyNumberFormat="1" applyFont="1" applyAlignment="1">
      <alignment horizontal="right"/>
    </xf>
    <xf numFmtId="49" fontId="4" fillId="0" borderId="22" xfId="42" applyNumberFormat="1" applyFont="1" applyFill="1" applyBorder="1" applyAlignment="1">
      <alignment horizontal="center" vertical="top"/>
      <protection/>
    </xf>
    <xf numFmtId="4" fontId="4" fillId="0" borderId="27" xfId="0" applyNumberFormat="1" applyFont="1" applyFill="1" applyBorder="1" applyAlignment="1">
      <alignment horizontal="right" vertical="top"/>
    </xf>
    <xf numFmtId="4" fontId="4" fillId="0" borderId="0" xfId="0" applyNumberFormat="1" applyFont="1" applyAlignment="1">
      <alignment horizontal="center"/>
    </xf>
    <xf numFmtId="0" fontId="5" fillId="0" borderId="3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40" xfId="45" applyFont="1" applyBorder="1">
      <alignment/>
      <protection/>
    </xf>
    <xf numFmtId="0" fontId="0" fillId="0" borderId="25" xfId="45" applyFont="1" applyBorder="1">
      <alignment/>
      <protection/>
    </xf>
    <xf numFmtId="0" fontId="0" fillId="0" borderId="41" xfId="45" applyFont="1" applyBorder="1">
      <alignment/>
      <protection/>
    </xf>
    <xf numFmtId="172" fontId="0" fillId="0" borderId="42" xfId="45" applyNumberFormat="1" applyFont="1" applyBorder="1">
      <alignment/>
      <protection/>
    </xf>
    <xf numFmtId="49" fontId="5" fillId="0" borderId="17" xfId="45" applyNumberFormat="1" applyFont="1" applyFill="1" applyBorder="1" applyAlignment="1">
      <alignment horizontal="center" vertical="top"/>
      <protection/>
    </xf>
    <xf numFmtId="4" fontId="4" fillId="0" borderId="13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45" applyNumberFormat="1" applyFont="1" applyBorder="1" applyAlignment="1">
      <alignment horizontal="left"/>
      <protection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167" fontId="11" fillId="0" borderId="16" xfId="45" applyNumberFormat="1" applyFont="1" applyFill="1" applyBorder="1" applyAlignment="1">
      <alignment horizontal="left" vertical="top"/>
      <protection/>
    </xf>
    <xf numFmtId="3" fontId="0" fillId="0" borderId="12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Alignment="1" applyProtection="1">
      <alignment vertical="top"/>
      <protection/>
    </xf>
    <xf numFmtId="0" fontId="16" fillId="0" borderId="0" xfId="0" applyFont="1" applyFill="1" applyAlignment="1">
      <alignment/>
    </xf>
    <xf numFmtId="0" fontId="18" fillId="38" borderId="44" xfId="0" applyFont="1" applyFill="1" applyBorder="1" applyAlignment="1">
      <alignment horizontal="center" vertical="center"/>
    </xf>
    <xf numFmtId="0" fontId="18" fillId="38" borderId="25" xfId="0" applyFont="1" applyFill="1" applyBorder="1" applyAlignment="1">
      <alignment horizontal="center" vertical="center" wrapText="1"/>
    </xf>
    <xf numFmtId="0" fontId="18" fillId="39" borderId="16" xfId="0" applyFont="1" applyFill="1" applyBorder="1" applyAlignment="1">
      <alignment wrapText="1"/>
    </xf>
    <xf numFmtId="3" fontId="21" fillId="40" borderId="16" xfId="0" applyNumberFormat="1" applyFont="1" applyFill="1" applyBorder="1" applyAlignment="1" applyProtection="1">
      <alignment wrapText="1"/>
      <protection/>
    </xf>
    <xf numFmtId="3" fontId="21" fillId="0" borderId="16" xfId="0" applyNumberFormat="1" applyFont="1" applyFill="1" applyBorder="1" applyAlignment="1" applyProtection="1">
      <alignment wrapText="1"/>
      <protection/>
    </xf>
    <xf numFmtId="0" fontId="21" fillId="0" borderId="16" xfId="0" applyFont="1" applyBorder="1" applyAlignment="1" applyProtection="1">
      <alignment wrapText="1"/>
      <protection locked="0"/>
    </xf>
    <xf numFmtId="3" fontId="22" fillId="0" borderId="16" xfId="0" applyNumberFormat="1" applyFont="1" applyBorder="1" applyAlignment="1" applyProtection="1">
      <alignment wrapText="1"/>
      <protection locked="0"/>
    </xf>
    <xf numFmtId="3" fontId="16" fillId="40" borderId="16" xfId="0" applyNumberFormat="1" applyFont="1" applyFill="1" applyBorder="1" applyAlignment="1" applyProtection="1">
      <alignment wrapText="1"/>
      <protection locked="0"/>
    </xf>
    <xf numFmtId="3" fontId="23" fillId="40" borderId="16" xfId="0" applyNumberFormat="1" applyFont="1" applyFill="1" applyBorder="1" applyAlignment="1">
      <alignment wrapText="1"/>
    </xf>
    <xf numFmtId="3" fontId="18" fillId="39" borderId="16" xfId="0" applyNumberFormat="1" applyFont="1" applyFill="1" applyBorder="1" applyAlignment="1" applyProtection="1">
      <alignment wrapText="1"/>
      <protection locked="0"/>
    </xf>
    <xf numFmtId="3" fontId="23" fillId="0" borderId="16" xfId="0" applyNumberFormat="1" applyFont="1" applyFill="1" applyBorder="1" applyAlignment="1">
      <alignment wrapText="1"/>
    </xf>
    <xf numFmtId="0" fontId="20" fillId="37" borderId="16" xfId="0" applyFont="1" applyFill="1" applyBorder="1" applyAlignment="1">
      <alignment wrapText="1"/>
    </xf>
    <xf numFmtId="3" fontId="20" fillId="41" borderId="16" xfId="0" applyNumberFormat="1" applyFont="1" applyFill="1" applyBorder="1" applyAlignment="1" applyProtection="1">
      <alignment wrapText="1"/>
      <protection locked="0"/>
    </xf>
    <xf numFmtId="0" fontId="20" fillId="37" borderId="45" xfId="0" applyFont="1" applyFill="1" applyBorder="1" applyAlignment="1">
      <alignment wrapText="1"/>
    </xf>
    <xf numFmtId="0" fontId="18" fillId="37" borderId="46" xfId="0" applyFont="1" applyFill="1" applyBorder="1" applyAlignment="1">
      <alignment horizontal="center"/>
    </xf>
    <xf numFmtId="3" fontId="16" fillId="39" borderId="16" xfId="0" applyNumberFormat="1" applyFont="1" applyFill="1" applyBorder="1" applyAlignment="1">
      <alignment horizontal="right"/>
    </xf>
    <xf numFmtId="3" fontId="16" fillId="40" borderId="16" xfId="0" applyNumberFormat="1" applyFont="1" applyFill="1" applyBorder="1" applyAlignment="1">
      <alignment/>
    </xf>
    <xf numFmtId="3" fontId="16" fillId="0" borderId="16" xfId="0" applyNumberFormat="1" applyFont="1" applyFill="1" applyBorder="1" applyAlignment="1" applyProtection="1">
      <alignment/>
      <protection locked="0"/>
    </xf>
    <xf numFmtId="3" fontId="16" fillId="0" borderId="16" xfId="0" applyNumberFormat="1" applyFont="1" applyBorder="1" applyAlignment="1" applyProtection="1">
      <alignment/>
      <protection locked="0"/>
    </xf>
    <xf numFmtId="3" fontId="16" fillId="39" borderId="16" xfId="0" applyNumberFormat="1" applyFont="1" applyFill="1" applyBorder="1" applyAlignment="1">
      <alignment/>
    </xf>
    <xf numFmtId="3" fontId="16" fillId="40" borderId="16" xfId="0" applyNumberFormat="1" applyFont="1" applyFill="1" applyBorder="1" applyAlignment="1">
      <alignment/>
    </xf>
    <xf numFmtId="3" fontId="18" fillId="39" borderId="16" xfId="0" applyNumberFormat="1" applyFont="1" applyFill="1" applyBorder="1" applyAlignment="1">
      <alignment/>
    </xf>
    <xf numFmtId="3" fontId="19" fillId="37" borderId="16" xfId="0" applyNumberFormat="1" applyFont="1" applyFill="1" applyBorder="1" applyAlignment="1">
      <alignment/>
    </xf>
    <xf numFmtId="3" fontId="20" fillId="41" borderId="16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49" fontId="16" fillId="0" borderId="0" xfId="0" applyNumberFormat="1" applyFont="1" applyAlignment="1">
      <alignment vertical="top"/>
    </xf>
    <xf numFmtId="49" fontId="16" fillId="38" borderId="41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9" fillId="37" borderId="45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20" fillId="41" borderId="16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16" fillId="40" borderId="16" xfId="0" applyNumberFormat="1" applyFont="1" applyFill="1" applyBorder="1" applyAlignment="1">
      <alignment/>
    </xf>
    <xf numFmtId="49" fontId="16" fillId="0" borderId="16" xfId="0" applyNumberFormat="1" applyFont="1" applyFill="1" applyBorder="1" applyAlignment="1">
      <alignment/>
    </xf>
    <xf numFmtId="49" fontId="16" fillId="0" borderId="16" xfId="0" applyNumberFormat="1" applyFont="1" applyBorder="1" applyAlignment="1">
      <alignment/>
    </xf>
    <xf numFmtId="49" fontId="19" fillId="37" borderId="16" xfId="0" applyNumberFormat="1" applyFont="1" applyFill="1" applyBorder="1" applyAlignment="1">
      <alignment/>
    </xf>
    <xf numFmtId="1" fontId="16" fillId="0" borderId="0" xfId="0" applyNumberFormat="1" applyFont="1" applyAlignment="1">
      <alignment horizontal="center"/>
    </xf>
    <xf numFmtId="1" fontId="18" fillId="38" borderId="44" xfId="0" applyNumberFormat="1" applyFont="1" applyFill="1" applyBorder="1" applyAlignment="1">
      <alignment horizontal="center" vertical="center" wrapText="1"/>
    </xf>
    <xf numFmtId="1" fontId="20" fillId="37" borderId="47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>
      <alignment horizontal="center" wrapText="1"/>
    </xf>
    <xf numFmtId="1" fontId="21" fillId="4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Border="1" applyAlignment="1" applyProtection="1">
      <alignment horizontal="center" wrapText="1"/>
      <protection locked="0"/>
    </xf>
    <xf numFmtId="1" fontId="22" fillId="0" borderId="16" xfId="0" applyNumberFormat="1" applyFont="1" applyBorder="1" applyAlignment="1" applyProtection="1">
      <alignment horizontal="center" wrapText="1"/>
      <protection locked="0"/>
    </xf>
    <xf numFmtId="1" fontId="16" fillId="40" borderId="16" xfId="0" applyNumberFormat="1" applyFont="1" applyFill="1" applyBorder="1" applyAlignment="1" applyProtection="1">
      <alignment horizontal="center" wrapText="1"/>
      <protection locked="0"/>
    </xf>
    <xf numFmtId="1" fontId="23" fillId="40" borderId="16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 applyProtection="1">
      <alignment horizontal="center" wrapText="1"/>
      <protection locked="0"/>
    </xf>
    <xf numFmtId="1" fontId="23" fillId="0" borderId="16" xfId="0" applyNumberFormat="1" applyFont="1" applyFill="1" applyBorder="1" applyAlignment="1">
      <alignment horizontal="center" wrapText="1"/>
    </xf>
    <xf numFmtId="1" fontId="20" fillId="37" borderId="16" xfId="0" applyNumberFormat="1" applyFont="1" applyFill="1" applyBorder="1" applyAlignment="1">
      <alignment horizontal="center" wrapText="1"/>
    </xf>
    <xf numFmtId="1" fontId="20" fillId="41" borderId="16" xfId="0" applyNumberFormat="1" applyFont="1" applyFill="1" applyBorder="1" applyAlignment="1" applyProtection="1">
      <alignment horizontal="center" wrapText="1"/>
      <protection locked="0"/>
    </xf>
    <xf numFmtId="3" fontId="16" fillId="0" borderId="0" xfId="0" applyNumberFormat="1" applyFont="1" applyAlignment="1">
      <alignment/>
    </xf>
    <xf numFmtId="1" fontId="18" fillId="40" borderId="16" xfId="0" applyNumberFormat="1" applyFont="1" applyFill="1" applyBorder="1" applyAlignment="1" applyProtection="1">
      <alignment horizontal="center" wrapText="1"/>
      <protection locked="0"/>
    </xf>
    <xf numFmtId="3" fontId="18" fillId="40" borderId="16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26" xfId="0" applyFont="1" applyBorder="1" applyAlignment="1">
      <alignment horizontal="left" vertical="top"/>
    </xf>
    <xf numFmtId="172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0" fillId="0" borderId="16" xfId="0" applyFont="1" applyBorder="1" applyAlignment="1">
      <alignment/>
    </xf>
    <xf numFmtId="0" fontId="0" fillId="0" borderId="4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4" fillId="0" borderId="30" xfId="0" applyNumberFormat="1" applyFont="1" applyBorder="1" applyAlignment="1">
      <alignment horizontal="center" textRotation="90" wrapText="1"/>
    </xf>
    <xf numFmtId="49" fontId="4" fillId="33" borderId="22" xfId="42" applyNumberFormat="1" applyFont="1" applyFill="1" applyBorder="1" applyAlignment="1">
      <alignment horizontal="center"/>
      <protection/>
    </xf>
    <xf numFmtId="49" fontId="4" fillId="0" borderId="49" xfId="42" applyNumberFormat="1" applyFont="1" applyFill="1" applyBorder="1" applyAlignment="1">
      <alignment horizontal="center" vertical="top"/>
      <protection/>
    </xf>
    <xf numFmtId="49" fontId="4" fillId="42" borderId="50" xfId="42" applyNumberFormat="1" applyFont="1" applyFill="1" applyBorder="1" applyAlignment="1">
      <alignment horizontal="center" vertical="top"/>
      <protection/>
    </xf>
    <xf numFmtId="49" fontId="4" fillId="42" borderId="24" xfId="42" applyNumberFormat="1" applyFont="1" applyFill="1" applyBorder="1" applyAlignment="1">
      <alignment horizontal="center"/>
      <protection/>
    </xf>
    <xf numFmtId="4" fontId="4" fillId="42" borderId="51" xfId="42" applyNumberFormat="1" applyFont="1" applyFill="1" applyBorder="1" applyAlignment="1">
      <alignment horizontal="right" vertical="top"/>
      <protection/>
    </xf>
    <xf numFmtId="49" fontId="4" fillId="34" borderId="52" xfId="42" applyNumberFormat="1" applyFont="1" applyFill="1" applyBorder="1" applyAlignment="1">
      <alignment horizontal="center" vertical="top"/>
      <protection/>
    </xf>
    <xf numFmtId="49" fontId="4" fillId="0" borderId="52" xfId="42" applyNumberFormat="1" applyFont="1" applyFill="1" applyBorder="1" applyAlignment="1">
      <alignment horizontal="center" vertical="top"/>
      <protection/>
    </xf>
    <xf numFmtId="4" fontId="4" fillId="42" borderId="51" xfId="42" applyNumberFormat="1" applyFont="1" applyFill="1" applyBorder="1" applyAlignment="1">
      <alignment vertical="center"/>
      <protection/>
    </xf>
    <xf numFmtId="4" fontId="4" fillId="42" borderId="51" xfId="42" applyNumberFormat="1" applyFont="1" applyFill="1" applyBorder="1" applyAlignment="1">
      <alignment horizontal="right" vertical="center"/>
      <protection/>
    </xf>
    <xf numFmtId="4" fontId="4" fillId="0" borderId="53" xfId="42" applyNumberFormat="1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4" fillId="43" borderId="16" xfId="0" applyNumberFormat="1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 shrinkToFit="1"/>
    </xf>
    <xf numFmtId="49" fontId="0" fillId="0" borderId="54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49" fontId="4" fillId="44" borderId="55" xfId="0" applyNumberFormat="1" applyFont="1" applyFill="1" applyBorder="1" applyAlignment="1">
      <alignment horizontal="center" vertical="center"/>
    </xf>
    <xf numFmtId="0" fontId="5" fillId="44" borderId="55" xfId="0" applyFont="1" applyFill="1" applyBorder="1" applyAlignment="1">
      <alignment/>
    </xf>
    <xf numFmtId="177" fontId="4" fillId="44" borderId="55" xfId="0" applyNumberFormat="1" applyFont="1" applyFill="1" applyBorder="1" applyAlignment="1">
      <alignment horizontal="center" vertical="center" wrapText="1"/>
    </xf>
    <xf numFmtId="49" fontId="0" fillId="0" borderId="55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center" wrapText="1"/>
    </xf>
    <xf numFmtId="177" fontId="0" fillId="0" borderId="55" xfId="0" applyNumberFormat="1" applyFont="1" applyFill="1" applyBorder="1" applyAlignment="1">
      <alignment horizontal="center" vertical="center" wrapText="1"/>
    </xf>
    <xf numFmtId="49" fontId="4" fillId="44" borderId="55" xfId="0" applyNumberFormat="1" applyFont="1" applyFill="1" applyBorder="1" applyAlignment="1">
      <alignment horizontal="center"/>
    </xf>
    <xf numFmtId="0" fontId="4" fillId="44" borderId="55" xfId="0" applyFont="1" applyFill="1" applyBorder="1" applyAlignment="1">
      <alignment horizontal="left" wrapText="1"/>
    </xf>
    <xf numFmtId="49" fontId="0" fillId="0" borderId="55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 horizontal="left" wrapText="1"/>
    </xf>
    <xf numFmtId="0" fontId="5" fillId="44" borderId="55" xfId="0" applyFont="1" applyFill="1" applyBorder="1" applyAlignment="1">
      <alignment wrapText="1"/>
    </xf>
    <xf numFmtId="0" fontId="12" fillId="0" borderId="55" xfId="0" applyFont="1" applyFill="1" applyBorder="1" applyAlignment="1">
      <alignment wrapText="1"/>
    </xf>
    <xf numFmtId="0" fontId="4" fillId="39" borderId="55" xfId="0" applyFont="1" applyFill="1" applyBorder="1" applyAlignment="1">
      <alignment horizontal="center"/>
    </xf>
    <xf numFmtId="0" fontId="5" fillId="39" borderId="55" xfId="0" applyFont="1" applyFill="1" applyBorder="1" applyAlignment="1">
      <alignment wrapText="1"/>
    </xf>
    <xf numFmtId="177" fontId="4" fillId="39" borderId="55" xfId="0" applyNumberFormat="1" applyFont="1" applyFill="1" applyBorder="1" applyAlignment="1">
      <alignment horizontal="center" vertical="center" wrapText="1"/>
    </xf>
    <xf numFmtId="49" fontId="4" fillId="44" borderId="55" xfId="0" applyNumberFormat="1" applyFont="1" applyFill="1" applyBorder="1" applyAlignment="1">
      <alignment horizontal="center" vertical="center" wrapText="1"/>
    </xf>
    <xf numFmtId="49" fontId="0" fillId="0" borderId="55" xfId="0" applyNumberFormat="1" applyFont="1" applyFill="1" applyBorder="1" applyAlignment="1">
      <alignment horizontal="center" vertical="center" wrapText="1"/>
    </xf>
    <xf numFmtId="49" fontId="0" fillId="45" borderId="56" xfId="0" applyNumberFormat="1" applyFont="1" applyFill="1" applyBorder="1" applyAlignment="1">
      <alignment horizontal="center"/>
    </xf>
    <xf numFmtId="177" fontId="4" fillId="45" borderId="56" xfId="44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79" fontId="0" fillId="0" borderId="0" xfId="44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177" fontId="12" fillId="0" borderId="0" xfId="42" applyNumberFormat="1" applyFont="1" applyAlignment="1">
      <alignment horizontal="right"/>
      <protection/>
    </xf>
    <xf numFmtId="177" fontId="12" fillId="0" borderId="0" xfId="0" applyNumberFormat="1" applyFont="1" applyAlignment="1">
      <alignment/>
    </xf>
    <xf numFmtId="177" fontId="12" fillId="0" borderId="0" xfId="42" applyNumberFormat="1" applyFont="1">
      <alignment/>
      <protection/>
    </xf>
    <xf numFmtId="4" fontId="12" fillId="0" borderId="0" xfId="42" applyNumberFormat="1" applyFont="1">
      <alignment/>
      <protection/>
    </xf>
    <xf numFmtId="0" fontId="5" fillId="39" borderId="16" xfId="0" applyFont="1" applyFill="1" applyBorder="1" applyAlignment="1" applyProtection="1">
      <alignment vertical="top"/>
      <protection/>
    </xf>
    <xf numFmtId="0" fontId="5" fillId="39" borderId="16" xfId="0" applyFont="1" applyFill="1" applyBorder="1" applyAlignment="1">
      <alignment/>
    </xf>
    <xf numFmtId="49" fontId="4" fillId="0" borderId="50" xfId="42" applyNumberFormat="1" applyFont="1" applyFill="1" applyBorder="1" applyAlignment="1">
      <alignment horizontal="center" vertical="top"/>
      <protection/>
    </xf>
    <xf numFmtId="49" fontId="4" fillId="0" borderId="24" xfId="42" applyNumberFormat="1" applyFont="1" applyFill="1" applyBorder="1" applyAlignment="1">
      <alignment horizontal="center"/>
      <protection/>
    </xf>
    <xf numFmtId="4" fontId="4" fillId="0" borderId="51" xfId="42" applyNumberFormat="1" applyFont="1" applyFill="1" applyBorder="1" applyAlignment="1">
      <alignment horizontal="right" vertical="center"/>
      <protection/>
    </xf>
    <xf numFmtId="4" fontId="4" fillId="0" borderId="0" xfId="42" applyNumberFormat="1" applyFont="1" applyBorder="1" applyAlignment="1">
      <alignment vertical="top"/>
      <protection/>
    </xf>
    <xf numFmtId="0" fontId="4" fillId="0" borderId="24" xfId="42" applyFont="1" applyFill="1" applyBorder="1" applyAlignment="1">
      <alignment horizontal="center"/>
      <protection/>
    </xf>
    <xf numFmtId="49" fontId="7" fillId="0" borderId="24" xfId="42" applyNumberFormat="1" applyFont="1" applyFill="1" applyBorder="1" applyAlignment="1">
      <alignment horizontal="center" vertical="top"/>
      <protection/>
    </xf>
    <xf numFmtId="4" fontId="4" fillId="42" borderId="57" xfId="42" applyNumberFormat="1" applyFont="1" applyFill="1" applyBorder="1" applyAlignment="1">
      <alignment horizontal="right" vertical="top"/>
      <protection/>
    </xf>
    <xf numFmtId="4" fontId="4" fillId="42" borderId="57" xfId="42" applyNumberFormat="1" applyFont="1" applyFill="1" applyBorder="1" applyAlignment="1">
      <alignment horizontal="right" vertical="center"/>
      <protection/>
    </xf>
    <xf numFmtId="4" fontId="4" fillId="0" borderId="32" xfId="0" applyNumberFormat="1" applyFont="1" applyFill="1" applyBorder="1" applyAlignment="1">
      <alignment horizontal="right" vertical="top"/>
    </xf>
    <xf numFmtId="4" fontId="4" fillId="33" borderId="32" xfId="42" applyNumberFormat="1" applyFont="1" applyFill="1" applyBorder="1" applyAlignment="1">
      <alignment horizontal="right" vertical="top"/>
      <protection/>
    </xf>
    <xf numFmtId="4" fontId="4" fillId="34" borderId="32" xfId="42" applyNumberFormat="1" applyFont="1" applyFill="1" applyBorder="1" applyAlignment="1">
      <alignment horizontal="right" vertical="top"/>
      <protection/>
    </xf>
    <xf numFmtId="4" fontId="4" fillId="0" borderId="32" xfId="42" applyNumberFormat="1" applyFont="1" applyFill="1" applyBorder="1" applyAlignment="1">
      <alignment horizontal="right" vertical="top"/>
      <protection/>
    </xf>
    <xf numFmtId="4" fontId="4" fillId="0" borderId="28" xfId="42" applyNumberFormat="1" applyFont="1" applyFill="1" applyBorder="1" applyAlignment="1">
      <alignment horizontal="right" vertical="top"/>
      <protection/>
    </xf>
    <xf numFmtId="4" fontId="4" fillId="0" borderId="57" xfId="42" applyNumberFormat="1" applyFont="1" applyFill="1" applyBorder="1" applyAlignment="1">
      <alignment horizontal="right" vertical="center"/>
      <protection/>
    </xf>
    <xf numFmtId="4" fontId="4" fillId="34" borderId="58" xfId="42" applyNumberFormat="1" applyFont="1" applyFill="1" applyBorder="1" applyAlignment="1">
      <alignment horizontal="right" vertical="top"/>
      <protection/>
    </xf>
    <xf numFmtId="4" fontId="4" fillId="42" borderId="57" xfId="42" applyNumberFormat="1" applyFont="1" applyFill="1" applyBorder="1" applyAlignment="1">
      <alignment vertical="center"/>
      <protection/>
    </xf>
    <xf numFmtId="165" fontId="0" fillId="0" borderId="0" xfId="0" applyNumberFormat="1" applyFont="1" applyAlignment="1">
      <alignment/>
    </xf>
    <xf numFmtId="4" fontId="4" fillId="46" borderId="59" xfId="42" applyNumberFormat="1" applyFont="1" applyFill="1" applyBorder="1" applyAlignment="1">
      <alignment horizontal="right" vertical="center"/>
      <protection/>
    </xf>
    <xf numFmtId="164" fontId="12" fillId="0" borderId="0" xfId="0" applyNumberFormat="1" applyFont="1" applyAlignment="1">
      <alignment/>
    </xf>
    <xf numFmtId="49" fontId="0" fillId="47" borderId="24" xfId="42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28" xfId="0" applyFont="1" applyFill="1" applyBorder="1" applyAlignment="1">
      <alignment vertical="top"/>
    </xf>
    <xf numFmtId="0" fontId="0" fillId="0" borderId="0" xfId="0" applyFont="1" applyAlignment="1">
      <alignment/>
    </xf>
    <xf numFmtId="49" fontId="0" fillId="0" borderId="21" xfId="42" applyNumberFormat="1" applyFont="1" applyFill="1" applyBorder="1" applyAlignment="1">
      <alignment horizontal="center"/>
      <protection/>
    </xf>
    <xf numFmtId="49" fontId="0" fillId="0" borderId="22" xfId="42" applyNumberFormat="1" applyFont="1" applyFill="1" applyBorder="1" applyAlignment="1">
      <alignment horizontal="center" vertical="top"/>
      <protection/>
    </xf>
    <xf numFmtId="0" fontId="0" fillId="0" borderId="22" xfId="42" applyFont="1" applyFill="1" applyBorder="1" applyAlignment="1">
      <alignment horizontal="center"/>
      <protection/>
    </xf>
    <xf numFmtId="0" fontId="0" fillId="0" borderId="28" xfId="42" applyFont="1" applyFill="1" applyBorder="1" applyAlignment="1">
      <alignment horizontal="center"/>
      <protection/>
    </xf>
    <xf numFmtId="4" fontId="0" fillId="0" borderId="27" xfId="42" applyNumberFormat="1" applyFont="1" applyFill="1" applyBorder="1" applyAlignment="1">
      <alignment horizontal="right" vertical="top"/>
      <protection/>
    </xf>
    <xf numFmtId="4" fontId="0" fillId="0" borderId="32" xfId="42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49" fontId="0" fillId="0" borderId="22" xfId="42" applyNumberFormat="1" applyFont="1" applyFill="1" applyBorder="1" applyAlignment="1">
      <alignment horizontal="center"/>
      <protection/>
    </xf>
    <xf numFmtId="167" fontId="0" fillId="0" borderId="22" xfId="42" applyNumberFormat="1" applyFont="1" applyFill="1" applyBorder="1" applyAlignment="1">
      <alignment horizontal="center" vertical="top"/>
      <protection/>
    </xf>
    <xf numFmtId="4" fontId="0" fillId="0" borderId="32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center"/>
    </xf>
    <xf numFmtId="49" fontId="0" fillId="0" borderId="50" xfId="42" applyNumberFormat="1" applyFont="1" applyFill="1" applyBorder="1" applyAlignment="1">
      <alignment horizontal="center" vertical="top"/>
      <protection/>
    </xf>
    <xf numFmtId="49" fontId="0" fillId="0" borderId="24" xfId="42" applyNumberFormat="1" applyFont="1" applyFill="1" applyBorder="1" applyAlignment="1">
      <alignment horizontal="center"/>
      <protection/>
    </xf>
    <xf numFmtId="0" fontId="0" fillId="0" borderId="24" xfId="42" applyFont="1" applyFill="1" applyBorder="1" applyAlignment="1">
      <alignment horizontal="center"/>
      <protection/>
    </xf>
    <xf numFmtId="0" fontId="0" fillId="0" borderId="60" xfId="42" applyFont="1" applyFill="1" applyBorder="1" applyAlignment="1">
      <alignment horizontal="center"/>
      <protection/>
    </xf>
    <xf numFmtId="4" fontId="0" fillId="0" borderId="51" xfId="42" applyNumberFormat="1" applyFont="1" applyFill="1" applyBorder="1" applyAlignment="1">
      <alignment horizontal="right" vertical="center"/>
      <protection/>
    </xf>
    <xf numFmtId="4" fontId="0" fillId="0" borderId="57" xfId="42" applyNumberFormat="1" applyFont="1" applyFill="1" applyBorder="1" applyAlignment="1">
      <alignment horizontal="right" vertical="center"/>
      <protection/>
    </xf>
    <xf numFmtId="0" fontId="0" fillId="0" borderId="28" xfId="0" applyFont="1" applyBorder="1" applyAlignment="1">
      <alignment horizontal="left" vertical="top"/>
    </xf>
    <xf numFmtId="168" fontId="0" fillId="0" borderId="22" xfId="42" applyNumberFormat="1" applyFont="1" applyFill="1" applyBorder="1" applyAlignment="1">
      <alignment horizontal="center" vertical="top"/>
      <protection/>
    </xf>
    <xf numFmtId="49" fontId="0" fillId="0" borderId="50" xfId="42" applyNumberFormat="1" applyFont="1" applyFill="1" applyBorder="1" applyAlignment="1">
      <alignment horizontal="center"/>
      <protection/>
    </xf>
    <xf numFmtId="167" fontId="0" fillId="0" borderId="24" xfId="42" applyNumberFormat="1" applyFont="1" applyFill="1" applyBorder="1" applyAlignment="1">
      <alignment horizontal="center" vertical="top"/>
      <protection/>
    </xf>
    <xf numFmtId="49" fontId="0" fillId="0" borderId="24" xfId="42" applyNumberFormat="1" applyFont="1" applyFill="1" applyBorder="1" applyAlignment="1">
      <alignment horizontal="center" vertical="top"/>
      <protection/>
    </xf>
    <xf numFmtId="4" fontId="0" fillId="0" borderId="51" xfId="0" applyNumberFormat="1" applyFont="1" applyFill="1" applyBorder="1" applyAlignment="1">
      <alignment horizontal="right" vertical="top"/>
    </xf>
    <xf numFmtId="4" fontId="0" fillId="0" borderId="57" xfId="0" applyNumberFormat="1" applyFont="1" applyFill="1" applyBorder="1" applyAlignment="1">
      <alignment horizontal="right" vertical="top"/>
    </xf>
    <xf numFmtId="4" fontId="4" fillId="34" borderId="26" xfId="42" applyNumberFormat="1" applyFont="1" applyFill="1" applyBorder="1" applyAlignment="1">
      <alignment horizontal="right" vertical="top"/>
      <protection/>
    </xf>
    <xf numFmtId="4" fontId="4" fillId="0" borderId="16" xfId="42" applyNumberFormat="1" applyFont="1" applyFill="1" applyBorder="1" applyAlignment="1">
      <alignment horizontal="right" vertical="center"/>
      <protection/>
    </xf>
    <xf numFmtId="4" fontId="0" fillId="0" borderId="16" xfId="42" applyNumberFormat="1" applyFont="1" applyFill="1" applyBorder="1" applyAlignment="1">
      <alignment horizontal="right" vertical="center"/>
      <protection/>
    </xf>
    <xf numFmtId="4" fontId="0" fillId="0" borderId="0" xfId="0" applyNumberFormat="1" applyFont="1" applyAlignment="1">
      <alignment/>
    </xf>
    <xf numFmtId="0" fontId="4" fillId="46" borderId="61" xfId="0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right"/>
    </xf>
    <xf numFmtId="0" fontId="0" fillId="0" borderId="28" xfId="0" applyFont="1" applyBorder="1" applyAlignment="1">
      <alignment vertical="top"/>
    </xf>
    <xf numFmtId="0" fontId="10" fillId="0" borderId="35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4" fontId="4" fillId="33" borderId="16" xfId="45" applyNumberFormat="1" applyFont="1" applyFill="1" applyBorder="1">
      <alignment/>
      <protection/>
    </xf>
    <xf numFmtId="4" fontId="11" fillId="0" borderId="26" xfId="0" applyNumberFormat="1" applyFont="1" applyBorder="1" applyAlignment="1">
      <alignment horizontal="right" vertical="top"/>
    </xf>
    <xf numFmtId="4" fontId="0" fillId="0" borderId="0" xfId="61" applyNumberFormat="1" applyFont="1" applyAlignment="1">
      <alignment horizontal="right"/>
      <protection/>
    </xf>
    <xf numFmtId="4" fontId="0" fillId="0" borderId="0" xfId="45" applyNumberFormat="1" applyFont="1" applyBorder="1" applyAlignment="1">
      <alignment horizontal="right"/>
      <protection/>
    </xf>
    <xf numFmtId="4" fontId="0" fillId="0" borderId="26" xfId="0" applyNumberFormat="1" applyFont="1" applyBorder="1" applyAlignment="1">
      <alignment horizontal="right"/>
    </xf>
    <xf numFmtId="4" fontId="12" fillId="0" borderId="26" xfId="0" applyNumberFormat="1" applyFont="1" applyBorder="1" applyAlignment="1">
      <alignment horizontal="right" vertical="top"/>
    </xf>
    <xf numFmtId="4" fontId="7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11" fillId="0" borderId="26" xfId="0" applyNumberFormat="1" applyFont="1" applyFill="1" applyBorder="1" applyAlignment="1">
      <alignment horizontal="right" vertical="top"/>
    </xf>
    <xf numFmtId="4" fontId="14" fillId="0" borderId="26" xfId="0" applyNumberFormat="1" applyFont="1" applyFill="1" applyBorder="1" applyAlignment="1">
      <alignment horizontal="right" vertical="top"/>
    </xf>
    <xf numFmtId="172" fontId="0" fillId="0" borderId="18" xfId="45" applyNumberFormat="1" applyFont="1" applyBorder="1" applyAlignment="1">
      <alignment horizontal="right"/>
      <protection/>
    </xf>
    <xf numFmtId="169" fontId="10" fillId="0" borderId="18" xfId="45" applyNumberFormat="1" applyFont="1" applyFill="1" applyBorder="1" applyAlignment="1" applyProtection="1">
      <alignment horizontal="right" vertical="top"/>
      <protection locked="0"/>
    </xf>
    <xf numFmtId="49" fontId="0" fillId="0" borderId="12" xfId="0" applyNumberFormat="1" applyFont="1" applyBorder="1" applyAlignment="1">
      <alignment horizontal="center"/>
    </xf>
    <xf numFmtId="168" fontId="0" fillId="0" borderId="62" xfId="42" applyNumberFormat="1" applyFont="1" applyFill="1" applyBorder="1" applyAlignment="1">
      <alignment horizontal="center" vertical="top"/>
      <protection/>
    </xf>
    <xf numFmtId="4" fontId="12" fillId="48" borderId="26" xfId="0" applyNumberFormat="1" applyFont="1" applyFill="1" applyBorder="1" applyAlignment="1">
      <alignment horizontal="right" vertical="top"/>
    </xf>
    <xf numFmtId="169" fontId="12" fillId="48" borderId="18" xfId="45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/>
    </xf>
    <xf numFmtId="0" fontId="0" fillId="0" borderId="0" xfId="61" applyFont="1" applyBorder="1">
      <alignment/>
      <protection/>
    </xf>
    <xf numFmtId="0" fontId="0" fillId="0" borderId="28" xfId="0" applyFont="1" applyFill="1" applyBorder="1" applyAlignment="1">
      <alignment horizontal="left" vertical="top"/>
    </xf>
    <xf numFmtId="4" fontId="0" fillId="0" borderId="0" xfId="0" applyNumberFormat="1" applyFont="1" applyFill="1" applyAlignment="1">
      <alignment/>
    </xf>
    <xf numFmtId="4" fontId="0" fillId="0" borderId="27" xfId="46" applyNumberFormat="1" applyFont="1" applyFill="1" applyBorder="1" applyAlignment="1" applyProtection="1">
      <alignment horizontal="right" vertical="top"/>
      <protection locked="0"/>
    </xf>
    <xf numFmtId="4" fontId="0" fillId="0" borderId="51" xfId="46" applyNumberFormat="1" applyFont="1" applyFill="1" applyBorder="1" applyAlignment="1" applyProtection="1">
      <alignment horizontal="right" vertical="top"/>
      <protection locked="0"/>
    </xf>
    <xf numFmtId="4" fontId="0" fillId="0" borderId="27" xfId="46" applyNumberFormat="1" applyFont="1" applyFill="1" applyBorder="1" applyAlignment="1">
      <alignment horizontal="right" vertical="top"/>
      <protection/>
    </xf>
    <xf numFmtId="4" fontId="0" fillId="0" borderId="51" xfId="42" applyNumberFormat="1" applyFont="1" applyFill="1" applyBorder="1" applyAlignment="1">
      <alignment horizontal="right" vertical="top"/>
      <protection/>
    </xf>
    <xf numFmtId="4" fontId="0" fillId="0" borderId="28" xfId="46" applyNumberFormat="1" applyFont="1" applyFill="1" applyBorder="1" applyAlignment="1">
      <alignment horizontal="right" vertical="top"/>
      <protection/>
    </xf>
    <xf numFmtId="4" fontId="0" fillId="0" borderId="32" xfId="46" applyNumberFormat="1" applyFont="1" applyFill="1" applyBorder="1" applyAlignment="1">
      <alignment horizontal="right" vertical="top"/>
      <protection/>
    </xf>
    <xf numFmtId="4" fontId="0" fillId="39" borderId="63" xfId="42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horizontal="center"/>
    </xf>
    <xf numFmtId="4" fontId="0" fillId="0" borderId="28" xfId="46" applyNumberFormat="1" applyFont="1" applyFill="1" applyBorder="1" applyAlignment="1" applyProtection="1">
      <alignment horizontal="right" vertical="top"/>
      <protection locked="0"/>
    </xf>
    <xf numFmtId="4" fontId="0" fillId="0" borderId="60" xfId="46" applyNumberFormat="1" applyFont="1" applyFill="1" applyBorder="1" applyAlignment="1" applyProtection="1">
      <alignment horizontal="right" vertical="top"/>
      <protection locked="0"/>
    </xf>
    <xf numFmtId="4" fontId="0" fillId="48" borderId="28" xfId="46" applyNumberFormat="1" applyFont="1" applyFill="1" applyBorder="1" applyAlignment="1" applyProtection="1">
      <alignment horizontal="right" vertical="top"/>
      <protection locked="0"/>
    </xf>
    <xf numFmtId="4" fontId="0" fillId="0" borderId="32" xfId="46" applyNumberFormat="1" applyFont="1" applyFill="1" applyBorder="1" applyAlignment="1" applyProtection="1">
      <alignment horizontal="right" vertical="top"/>
      <protection locked="0"/>
    </xf>
    <xf numFmtId="4" fontId="0" fillId="0" borderId="28" xfId="42" applyNumberFormat="1" applyFont="1" applyFill="1" applyBorder="1" applyAlignment="1">
      <alignment horizontal="right" vertical="top"/>
      <protection/>
    </xf>
    <xf numFmtId="4" fontId="0" fillId="34" borderId="28" xfId="42" applyNumberFormat="1" applyFont="1" applyFill="1" applyBorder="1" applyAlignment="1">
      <alignment horizontal="right" vertical="top"/>
      <protection/>
    </xf>
    <xf numFmtId="4" fontId="0" fillId="0" borderId="57" xfId="42" applyNumberFormat="1" applyFont="1" applyFill="1" applyBorder="1" applyAlignment="1">
      <alignment horizontal="right" vertical="top"/>
      <protection/>
    </xf>
    <xf numFmtId="4" fontId="0" fillId="0" borderId="57" xfId="46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>
      <alignment horizontal="right" vertical="top"/>
      <protection/>
    </xf>
    <xf numFmtId="4" fontId="0" fillId="0" borderId="57" xfId="46" applyNumberFormat="1" applyFont="1" applyFill="1" applyBorder="1" applyAlignment="1" applyProtection="1">
      <alignment horizontal="right" vertical="top"/>
      <protection locked="0"/>
    </xf>
    <xf numFmtId="4" fontId="0" fillId="39" borderId="22" xfId="42" applyNumberFormat="1" applyFont="1" applyFill="1" applyBorder="1" applyAlignment="1">
      <alignment horizontal="right" vertical="top"/>
      <protection/>
    </xf>
    <xf numFmtId="49" fontId="0" fillId="0" borderId="0" xfId="0" applyNumberFormat="1" applyFont="1" applyAlignment="1">
      <alignment horizontal="center"/>
    </xf>
    <xf numFmtId="49" fontId="0" fillId="0" borderId="0" xfId="42" applyNumberFormat="1" applyFont="1" applyBorder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0" fillId="0" borderId="0" xfId="42" applyFont="1" applyBorder="1">
      <alignment/>
      <protection/>
    </xf>
    <xf numFmtId="0" fontId="0" fillId="42" borderId="24" xfId="42" applyFont="1" applyFill="1" applyBorder="1" applyAlignment="1">
      <alignment horizontal="center"/>
      <protection/>
    </xf>
    <xf numFmtId="0" fontId="0" fillId="42" borderId="60" xfId="42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/>
      <protection/>
    </xf>
    <xf numFmtId="0" fontId="0" fillId="34" borderId="22" xfId="42" applyFont="1" applyFill="1" applyBorder="1" applyAlignment="1">
      <alignment horizontal="center"/>
      <protection/>
    </xf>
    <xf numFmtId="0" fontId="0" fillId="34" borderId="28" xfId="42" applyFont="1" applyFill="1" applyBorder="1" applyAlignment="1">
      <alignment horizontal="center"/>
      <protection/>
    </xf>
    <xf numFmtId="168" fontId="0" fillId="48" borderId="28" xfId="42" applyNumberFormat="1" applyFont="1" applyFill="1" applyBorder="1" applyAlignment="1">
      <alignment horizontal="center" vertical="top"/>
      <protection/>
    </xf>
    <xf numFmtId="0" fontId="0" fillId="0" borderId="32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32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32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/>
    </xf>
    <xf numFmtId="4" fontId="0" fillId="0" borderId="24" xfId="46" applyNumberFormat="1" applyFont="1" applyFill="1" applyBorder="1" applyAlignment="1" applyProtection="1">
      <alignment horizontal="right" vertical="top"/>
      <protection locked="0"/>
    </xf>
    <xf numFmtId="0" fontId="0" fillId="0" borderId="32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168" fontId="0" fillId="0" borderId="28" xfId="42" applyNumberFormat="1" applyFont="1" applyFill="1" applyBorder="1" applyAlignment="1">
      <alignment horizontal="center" vertical="top"/>
      <protection/>
    </xf>
    <xf numFmtId="0" fontId="0" fillId="0" borderId="27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48" borderId="28" xfId="42" applyFont="1" applyFill="1" applyBorder="1" applyAlignment="1">
      <alignment horizontal="center"/>
      <protection/>
    </xf>
    <xf numFmtId="0" fontId="0" fillId="0" borderId="32" xfId="0" applyFont="1" applyFill="1" applyBorder="1" applyAlignment="1">
      <alignment/>
    </xf>
    <xf numFmtId="4" fontId="0" fillId="0" borderId="22" xfId="42" applyNumberFormat="1" applyFont="1" applyFill="1" applyBorder="1" applyAlignment="1">
      <alignment horizontal="right" vertical="top"/>
      <protection/>
    </xf>
    <xf numFmtId="4" fontId="0" fillId="0" borderId="64" xfId="46" applyNumberFormat="1" applyFont="1" applyFill="1" applyBorder="1" applyAlignment="1" applyProtection="1">
      <alignment horizontal="right" vertical="top"/>
      <protection locked="0"/>
    </xf>
    <xf numFmtId="49" fontId="0" fillId="48" borderId="22" xfId="42" applyNumberFormat="1" applyFont="1" applyFill="1" applyBorder="1" applyAlignment="1">
      <alignment horizontal="center"/>
      <protection/>
    </xf>
    <xf numFmtId="0" fontId="0" fillId="0" borderId="27" xfId="0" applyFont="1" applyBorder="1" applyAlignment="1">
      <alignment/>
    </xf>
    <xf numFmtId="4" fontId="0" fillId="0" borderId="32" xfId="0" applyNumberFormat="1" applyFont="1" applyBorder="1" applyAlignment="1">
      <alignment horizontal="right"/>
    </xf>
    <xf numFmtId="49" fontId="0" fillId="0" borderId="0" xfId="4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" fontId="0" fillId="0" borderId="16" xfId="46" applyNumberFormat="1" applyFont="1" applyFill="1" applyBorder="1" applyAlignment="1" applyProtection="1">
      <alignment horizontal="right" vertical="top"/>
      <protection locked="0"/>
    </xf>
    <xf numFmtId="49" fontId="0" fillId="39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right" vertical="top"/>
      <protection/>
    </xf>
    <xf numFmtId="4" fontId="0" fillId="34" borderId="32" xfId="42" applyNumberFormat="1" applyFont="1" applyFill="1" applyBorder="1" applyAlignment="1">
      <alignment horizontal="right" vertical="top"/>
      <protection/>
    </xf>
    <xf numFmtId="4" fontId="0" fillId="0" borderId="64" xfId="46" applyNumberFormat="1" applyFont="1" applyFill="1" applyBorder="1" applyAlignment="1">
      <alignment horizontal="right" vertical="top"/>
      <protection/>
    </xf>
    <xf numFmtId="167" fontId="0" fillId="34" borderId="24" xfId="42" applyNumberFormat="1" applyFont="1" applyFill="1" applyBorder="1" applyAlignment="1">
      <alignment horizontal="center" vertical="top"/>
      <protection/>
    </xf>
    <xf numFmtId="168" fontId="0" fillId="0" borderId="24" xfId="42" applyNumberFormat="1" applyFont="1" applyFill="1" applyBorder="1" applyAlignment="1">
      <alignment horizontal="center" vertical="top"/>
      <protection/>
    </xf>
    <xf numFmtId="168" fontId="0" fillId="0" borderId="60" xfId="42" applyNumberFormat="1" applyFont="1" applyFill="1" applyBorder="1" applyAlignment="1">
      <alignment horizontal="center" vertical="top"/>
      <protection/>
    </xf>
    <xf numFmtId="49" fontId="0" fillId="39" borderId="22" xfId="42" applyNumberFormat="1" applyFont="1" applyFill="1" applyBorder="1" applyAlignment="1">
      <alignment horizontal="center" vertical="top"/>
      <protection/>
    </xf>
    <xf numFmtId="0" fontId="0" fillId="39" borderId="22" xfId="42" applyFont="1" applyFill="1" applyBorder="1" applyAlignment="1">
      <alignment horizontal="center"/>
      <protection/>
    </xf>
    <xf numFmtId="49" fontId="0" fillId="39" borderId="22" xfId="42" applyNumberFormat="1" applyFont="1" applyFill="1" applyBorder="1" applyAlignment="1">
      <alignment horizontal="center"/>
      <protection/>
    </xf>
    <xf numFmtId="0" fontId="0" fillId="39" borderId="28" xfId="42" applyFont="1" applyFill="1" applyBorder="1" applyAlignment="1">
      <alignment horizontal="center"/>
      <protection/>
    </xf>
    <xf numFmtId="4" fontId="0" fillId="39" borderId="65" xfId="42" applyNumberFormat="1" applyFont="1" applyFill="1" applyBorder="1" applyAlignment="1">
      <alignment horizontal="right" vertical="top"/>
      <protection/>
    </xf>
    <xf numFmtId="4" fontId="0" fillId="39" borderId="32" xfId="42" applyNumberFormat="1" applyFont="1" applyFill="1" applyBorder="1" applyAlignment="1">
      <alignment horizontal="right" vertical="top"/>
      <protection/>
    </xf>
    <xf numFmtId="4" fontId="0" fillId="39" borderId="28" xfId="42" applyNumberFormat="1" applyFont="1" applyFill="1" applyBorder="1" applyAlignment="1">
      <alignment horizontal="right" vertical="top"/>
      <protection/>
    </xf>
    <xf numFmtId="49" fontId="0" fillId="0" borderId="66" xfId="42" applyNumberFormat="1" applyFont="1" applyFill="1" applyBorder="1" applyAlignment="1">
      <alignment horizontal="center"/>
      <protection/>
    </xf>
    <xf numFmtId="49" fontId="0" fillId="0" borderId="62" xfId="42" applyNumberFormat="1" applyFont="1" applyFill="1" applyBorder="1" applyAlignment="1">
      <alignment horizontal="center"/>
      <protection/>
    </xf>
    <xf numFmtId="0" fontId="0" fillId="0" borderId="62" xfId="42" applyFont="1" applyFill="1" applyBorder="1" applyAlignment="1">
      <alignment horizontal="center"/>
      <protection/>
    </xf>
    <xf numFmtId="168" fontId="0" fillId="0" borderId="67" xfId="42" applyNumberFormat="1" applyFont="1" applyFill="1" applyBorder="1" applyAlignment="1">
      <alignment horizontal="center" vertical="top"/>
      <protection/>
    </xf>
    <xf numFmtId="0" fontId="0" fillId="0" borderId="32" xfId="0" applyFont="1" applyBorder="1" applyAlignment="1">
      <alignment/>
    </xf>
    <xf numFmtId="0" fontId="0" fillId="0" borderId="68" xfId="0" applyFont="1" applyBorder="1" applyAlignment="1">
      <alignment vertical="top"/>
    </xf>
    <xf numFmtId="0" fontId="0" fillId="0" borderId="57" xfId="0" applyFont="1" applyBorder="1" applyAlignment="1">
      <alignment/>
    </xf>
    <xf numFmtId="49" fontId="0" fillId="34" borderId="69" xfId="42" applyNumberFormat="1" applyFont="1" applyFill="1" applyBorder="1" applyAlignment="1">
      <alignment horizontal="center"/>
      <protection/>
    </xf>
    <xf numFmtId="49" fontId="0" fillId="34" borderId="16" xfId="42" applyNumberFormat="1" applyFont="1" applyFill="1" applyBorder="1" applyAlignment="1">
      <alignment horizontal="center"/>
      <protection/>
    </xf>
    <xf numFmtId="0" fontId="0" fillId="34" borderId="16" xfId="42" applyFont="1" applyFill="1" applyBorder="1" applyAlignment="1">
      <alignment horizontal="center"/>
      <protection/>
    </xf>
    <xf numFmtId="0" fontId="0" fillId="34" borderId="35" xfId="42" applyFont="1" applyFill="1" applyBorder="1" applyAlignment="1">
      <alignment horizontal="center"/>
      <protection/>
    </xf>
    <xf numFmtId="168" fontId="0" fillId="0" borderId="16" xfId="42" applyNumberFormat="1" applyFont="1" applyFill="1" applyBorder="1" applyAlignment="1">
      <alignment horizontal="center" vertical="top"/>
      <protection/>
    </xf>
    <xf numFmtId="49" fontId="0" fillId="0" borderId="70" xfId="42" applyNumberFormat="1" applyFont="1" applyFill="1" applyBorder="1" applyAlignment="1">
      <alignment horizontal="center"/>
      <protection/>
    </xf>
    <xf numFmtId="49" fontId="0" fillId="0" borderId="69" xfId="42" applyNumberFormat="1" applyFont="1" applyFill="1" applyBorder="1" applyAlignment="1">
      <alignment horizontal="center"/>
      <protection/>
    </xf>
    <xf numFmtId="49" fontId="0" fillId="0" borderId="16" xfId="42" applyNumberFormat="1" applyFont="1" applyFill="1" applyBorder="1" applyAlignment="1">
      <alignment horizontal="center"/>
      <protection/>
    </xf>
    <xf numFmtId="49" fontId="0" fillId="0" borderId="71" xfId="42" applyNumberFormat="1" applyFont="1" applyFill="1" applyBorder="1" applyAlignment="1">
      <alignment horizontal="center"/>
      <protection/>
    </xf>
    <xf numFmtId="49" fontId="0" fillId="0" borderId="25" xfId="42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center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 vertical="center" wrapText="1"/>
    </xf>
    <xf numFmtId="171" fontId="0" fillId="0" borderId="0" xfId="0" applyNumberFormat="1" applyFont="1" applyAlignment="1">
      <alignment/>
    </xf>
    <xf numFmtId="49" fontId="72" fillId="35" borderId="72" xfId="42" applyNumberFormat="1" applyFont="1" applyFill="1" applyBorder="1" applyAlignment="1">
      <alignment horizontal="center" vertical="top"/>
      <protection/>
    </xf>
    <xf numFmtId="49" fontId="72" fillId="35" borderId="73" xfId="42" applyNumberFormat="1" applyFont="1" applyFill="1" applyBorder="1" applyAlignment="1">
      <alignment horizontal="center"/>
      <protection/>
    </xf>
    <xf numFmtId="0" fontId="73" fillId="35" borderId="73" xfId="42" applyFont="1" applyFill="1" applyBorder="1" applyAlignment="1">
      <alignment horizontal="center"/>
      <protection/>
    </xf>
    <xf numFmtId="49" fontId="73" fillId="35" borderId="73" xfId="42" applyNumberFormat="1" applyFont="1" applyFill="1" applyBorder="1" applyAlignment="1">
      <alignment horizontal="center"/>
      <protection/>
    </xf>
    <xf numFmtId="4" fontId="72" fillId="35" borderId="73" xfId="42" applyNumberFormat="1" applyFont="1" applyFill="1" applyBorder="1" applyAlignment="1">
      <alignment horizontal="right" vertical="top"/>
      <protection/>
    </xf>
    <xf numFmtId="4" fontId="72" fillId="35" borderId="74" xfId="42" applyNumberFormat="1" applyFont="1" applyFill="1" applyBorder="1" applyAlignment="1">
      <alignment horizontal="right" vertical="top"/>
      <protection/>
    </xf>
    <xf numFmtId="0" fontId="73" fillId="0" borderId="0" xfId="0" applyFont="1" applyAlignment="1">
      <alignment/>
    </xf>
    <xf numFmtId="49" fontId="72" fillId="35" borderId="21" xfId="42" applyNumberFormat="1" applyFont="1" applyFill="1" applyBorder="1" applyAlignment="1">
      <alignment horizontal="center"/>
      <protection/>
    </xf>
    <xf numFmtId="49" fontId="72" fillId="35" borderId="22" xfId="42" applyNumberFormat="1" applyFont="1" applyFill="1" applyBorder="1" applyAlignment="1">
      <alignment horizontal="center" vertical="top"/>
      <protection/>
    </xf>
    <xf numFmtId="0" fontId="72" fillId="35" borderId="22" xfId="42" applyFont="1" applyFill="1" applyBorder="1" applyAlignment="1">
      <alignment horizontal="center"/>
      <protection/>
    </xf>
    <xf numFmtId="49" fontId="72" fillId="35" borderId="22" xfId="42" applyNumberFormat="1" applyFont="1" applyFill="1" applyBorder="1" applyAlignment="1">
      <alignment horizontal="center"/>
      <protection/>
    </xf>
    <xf numFmtId="4" fontId="72" fillId="35" borderId="27" xfId="42" applyNumberFormat="1" applyFont="1" applyFill="1" applyBorder="1" applyAlignment="1">
      <alignment horizontal="right" vertical="top"/>
      <protection/>
    </xf>
    <xf numFmtId="4" fontId="72" fillId="35" borderId="51" xfId="0" applyNumberFormat="1" applyFont="1" applyFill="1" applyBorder="1" applyAlignment="1">
      <alignment vertical="center"/>
    </xf>
    <xf numFmtId="4" fontId="72" fillId="35" borderId="57" xfId="0" applyNumberFormat="1" applyFont="1" applyFill="1" applyBorder="1" applyAlignment="1">
      <alignment vertical="center"/>
    </xf>
    <xf numFmtId="4" fontId="72" fillId="35" borderId="24" xfId="42" applyNumberFormat="1" applyFont="1" applyFill="1" applyBorder="1" applyAlignment="1">
      <alignment horizontal="right" vertical="top"/>
      <protection/>
    </xf>
    <xf numFmtId="4" fontId="72" fillId="35" borderId="60" xfId="42" applyNumberFormat="1" applyFont="1" applyFill="1" applyBorder="1" applyAlignment="1">
      <alignment horizontal="right" vertical="top"/>
      <protection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/>
    </xf>
    <xf numFmtId="2" fontId="25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0" fillId="48" borderId="0" xfId="0" applyFont="1" applyFill="1" applyAlignment="1">
      <alignment/>
    </xf>
    <xf numFmtId="49" fontId="0" fillId="48" borderId="21" xfId="42" applyNumberFormat="1" applyFont="1" applyFill="1" applyBorder="1" applyAlignment="1">
      <alignment horizontal="center"/>
      <protection/>
    </xf>
    <xf numFmtId="0" fontId="0" fillId="48" borderId="22" xfId="42" applyFont="1" applyFill="1" applyBorder="1" applyAlignment="1">
      <alignment horizontal="center"/>
      <protection/>
    </xf>
    <xf numFmtId="4" fontId="0" fillId="48" borderId="22" xfId="46" applyNumberFormat="1" applyFont="1" applyFill="1" applyBorder="1" applyAlignment="1" applyProtection="1">
      <alignment horizontal="right" vertical="top"/>
      <protection locked="0"/>
    </xf>
    <xf numFmtId="4" fontId="0" fillId="48" borderId="32" xfId="46" applyNumberFormat="1" applyFont="1" applyFill="1" applyBorder="1" applyAlignment="1" applyProtection="1">
      <alignment horizontal="right" vertical="top"/>
      <protection locked="0"/>
    </xf>
    <xf numFmtId="0" fontId="0" fillId="48" borderId="24" xfId="42" applyFont="1" applyFill="1" applyBorder="1" applyAlignment="1">
      <alignment horizontal="center"/>
      <protection/>
    </xf>
    <xf numFmtId="49" fontId="0" fillId="48" borderId="50" xfId="42" applyNumberFormat="1" applyFont="1" applyFill="1" applyBorder="1" applyAlignment="1">
      <alignment horizontal="center"/>
      <protection/>
    </xf>
    <xf numFmtId="49" fontId="4" fillId="48" borderId="24" xfId="42" applyNumberFormat="1" applyFont="1" applyFill="1" applyBorder="1" applyAlignment="1">
      <alignment horizontal="center" vertical="top"/>
      <protection/>
    </xf>
    <xf numFmtId="0" fontId="0" fillId="0" borderId="34" xfId="0" applyFont="1" applyBorder="1" applyAlignment="1">
      <alignment/>
    </xf>
    <xf numFmtId="166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16" fillId="47" borderId="0" xfId="0" applyFont="1" applyFill="1" applyAlignment="1">
      <alignment/>
    </xf>
    <xf numFmtId="3" fontId="16" fillId="47" borderId="0" xfId="0" applyNumberFormat="1" applyFont="1" applyFill="1" applyAlignment="1">
      <alignment horizontal="center"/>
    </xf>
    <xf numFmtId="4" fontId="0" fillId="0" borderId="51" xfId="0" applyNumberFormat="1" applyFont="1" applyFill="1" applyBorder="1" applyAlignment="1">
      <alignment horizontal="right"/>
    </xf>
    <xf numFmtId="0" fontId="73" fillId="35" borderId="24" xfId="42" applyFont="1" applyFill="1" applyBorder="1" applyAlignment="1">
      <alignment horizontal="center"/>
      <protection/>
    </xf>
    <xf numFmtId="168" fontId="0" fillId="48" borderId="16" xfId="42" applyNumberFormat="1" applyFont="1" applyFill="1" applyBorder="1" applyAlignment="1">
      <alignment horizontal="center" vertical="top"/>
      <protection/>
    </xf>
    <xf numFmtId="49" fontId="0" fillId="0" borderId="60" xfId="42" applyNumberFormat="1" applyFont="1" applyFill="1" applyBorder="1" applyAlignment="1">
      <alignment horizontal="center"/>
      <protection/>
    </xf>
    <xf numFmtId="0" fontId="4" fillId="33" borderId="24" xfId="42" applyFont="1" applyFill="1" applyBorder="1" applyAlignment="1">
      <alignment horizontal="center"/>
      <protection/>
    </xf>
    <xf numFmtId="0" fontId="4" fillId="33" borderId="60" xfId="42" applyFont="1" applyFill="1" applyBorder="1" applyAlignment="1">
      <alignment horizontal="center"/>
      <protection/>
    </xf>
    <xf numFmtId="168" fontId="0" fillId="0" borderId="70" xfId="42" applyNumberFormat="1" applyFont="1" applyFill="1" applyBorder="1" applyAlignment="1">
      <alignment horizontal="center" vertical="top"/>
      <protection/>
    </xf>
    <xf numFmtId="168" fontId="0" fillId="48" borderId="64" xfId="42" applyNumberFormat="1" applyFont="1" applyFill="1" applyBorder="1" applyAlignment="1">
      <alignment horizontal="center" vertical="top"/>
      <protection/>
    </xf>
    <xf numFmtId="4" fontId="0" fillId="0" borderId="70" xfId="46" applyNumberFormat="1" applyFont="1" applyFill="1" applyBorder="1" applyAlignment="1" applyProtection="1">
      <alignment horizontal="right" vertical="top"/>
      <protection locked="0"/>
    </xf>
    <xf numFmtId="0" fontId="0" fillId="0" borderId="16" xfId="42" applyFont="1" applyFill="1" applyBorder="1" applyAlignment="1">
      <alignment horizontal="center"/>
      <protection/>
    </xf>
    <xf numFmtId="168" fontId="0" fillId="0" borderId="64" xfId="42" applyNumberFormat="1" applyFont="1" applyFill="1" applyBorder="1" applyAlignment="1">
      <alignment horizontal="center" vertical="top"/>
      <protection/>
    </xf>
    <xf numFmtId="49" fontId="73" fillId="35" borderId="24" xfId="42" applyNumberFormat="1" applyFont="1" applyFill="1" applyBorder="1" applyAlignment="1">
      <alignment horizontal="center"/>
      <protection/>
    </xf>
    <xf numFmtId="0" fontId="0" fillId="0" borderId="75" xfId="0" applyFont="1" applyBorder="1" applyAlignment="1">
      <alignment/>
    </xf>
    <xf numFmtId="0" fontId="0" fillId="0" borderId="64" xfId="42" applyFont="1" applyFill="1" applyBorder="1" applyAlignment="1">
      <alignment horizontal="center"/>
      <protection/>
    </xf>
    <xf numFmtId="49" fontId="4" fillId="0" borderId="24" xfId="42" applyNumberFormat="1" applyFont="1" applyFill="1" applyBorder="1" applyAlignment="1">
      <alignment horizontal="center" vertical="top"/>
      <protection/>
    </xf>
    <xf numFmtId="4" fontId="0" fillId="0" borderId="76" xfId="42" applyNumberFormat="1" applyFont="1" applyFill="1" applyBorder="1" applyAlignment="1">
      <alignment horizontal="right" vertical="center"/>
      <protection/>
    </xf>
    <xf numFmtId="49" fontId="4" fillId="0" borderId="16" xfId="42" applyNumberFormat="1" applyFont="1" applyFill="1" applyBorder="1" applyAlignment="1">
      <alignment horizontal="center" vertical="top"/>
      <protection/>
    </xf>
    <xf numFmtId="4" fontId="4" fillId="0" borderId="27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 vertical="top"/>
    </xf>
    <xf numFmtId="0" fontId="0" fillId="0" borderId="64" xfId="0" applyFont="1" applyFill="1" applyBorder="1" applyAlignment="1">
      <alignment vertical="top"/>
    </xf>
    <xf numFmtId="49" fontId="0" fillId="47" borderId="16" xfId="42" applyNumberFormat="1" applyFont="1" applyFill="1" applyBorder="1" applyAlignment="1">
      <alignment horizontal="center"/>
      <protection/>
    </xf>
    <xf numFmtId="0" fontId="0" fillId="42" borderId="57" xfId="42" applyFont="1" applyFill="1" applyBorder="1" applyAlignment="1">
      <alignment horizontal="center"/>
      <protection/>
    </xf>
    <xf numFmtId="0" fontId="0" fillId="42" borderId="77" xfId="42" applyFont="1" applyFill="1" applyBorder="1" applyAlignment="1">
      <alignment horizontal="center"/>
      <protection/>
    </xf>
    <xf numFmtId="0" fontId="0" fillId="42" borderId="16" xfId="42" applyFont="1" applyFill="1" applyBorder="1" applyAlignment="1">
      <alignment horizontal="center"/>
      <protection/>
    </xf>
    <xf numFmtId="49" fontId="4" fillId="34" borderId="21" xfId="42" applyNumberFormat="1" applyFont="1" applyFill="1" applyBorder="1" applyAlignment="1">
      <alignment horizontal="center"/>
      <protection/>
    </xf>
    <xf numFmtId="49" fontId="4" fillId="34" borderId="22" xfId="42" applyNumberFormat="1" applyFont="1" applyFill="1" applyBorder="1" applyAlignment="1">
      <alignment horizontal="center"/>
      <protection/>
    </xf>
    <xf numFmtId="0" fontId="4" fillId="34" borderId="22" xfId="42" applyFont="1" applyFill="1" applyBorder="1" applyAlignment="1">
      <alignment horizontal="center"/>
      <protection/>
    </xf>
    <xf numFmtId="0" fontId="4" fillId="34" borderId="28" xfId="42" applyFont="1" applyFill="1" applyBorder="1" applyAlignment="1">
      <alignment horizontal="center"/>
      <protection/>
    </xf>
    <xf numFmtId="4" fontId="4" fillId="0" borderId="27" xfId="46" applyNumberFormat="1" applyFont="1" applyFill="1" applyBorder="1" applyAlignment="1" applyProtection="1">
      <alignment horizontal="right" vertical="top"/>
      <protection locked="0"/>
    </xf>
    <xf numFmtId="3" fontId="16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47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49" borderId="0" xfId="0" applyNumberFormat="1" applyFont="1" applyFill="1" applyAlignment="1">
      <alignment horizontal="center"/>
    </xf>
    <xf numFmtId="0" fontId="0" fillId="0" borderId="24" xfId="42" applyFont="1" applyFill="1" applyBorder="1" applyAlignment="1">
      <alignment horizontal="center" vertical="center"/>
      <protection/>
    </xf>
    <xf numFmtId="170" fontId="0" fillId="0" borderId="0" xfId="0" applyNumberFormat="1" applyFont="1" applyFill="1" applyAlignment="1">
      <alignment/>
    </xf>
    <xf numFmtId="171" fontId="4" fillId="0" borderId="0" xfId="0" applyNumberFormat="1" applyFont="1" applyAlignment="1">
      <alignment/>
    </xf>
    <xf numFmtId="0" fontId="0" fillId="47" borderId="0" xfId="0" applyFont="1" applyFill="1" applyAlignment="1">
      <alignment/>
    </xf>
    <xf numFmtId="4" fontId="4" fillId="47" borderId="0" xfId="0" applyNumberFormat="1" applyFont="1" applyFill="1" applyAlignment="1">
      <alignment/>
    </xf>
    <xf numFmtId="4" fontId="4" fillId="49" borderId="0" xfId="0" applyNumberFormat="1" applyFont="1" applyFill="1" applyAlignment="1">
      <alignment/>
    </xf>
    <xf numFmtId="49" fontId="0" fillId="0" borderId="78" xfId="42" applyNumberFormat="1" applyFont="1" applyFill="1" applyBorder="1" applyAlignment="1">
      <alignment horizontal="center"/>
      <protection/>
    </xf>
    <xf numFmtId="0" fontId="0" fillId="0" borderId="70" xfId="42" applyFont="1" applyFill="1" applyBorder="1" applyAlignment="1">
      <alignment horizontal="center"/>
      <protection/>
    </xf>
    <xf numFmtId="171" fontId="0" fillId="0" borderId="0" xfId="0" applyNumberFormat="1" applyFont="1" applyAlignment="1">
      <alignment horizontal="right"/>
    </xf>
    <xf numFmtId="0" fontId="5" fillId="0" borderId="79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0" fillId="0" borderId="68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42" applyFont="1" applyBorder="1" applyAlignment="1">
      <alignment horizontal="left"/>
      <protection/>
    </xf>
    <xf numFmtId="4" fontId="4" fillId="0" borderId="75" xfId="42" applyNumberFormat="1" applyFont="1" applyFill="1" applyBorder="1" applyAlignment="1">
      <alignment horizontal="right" vertical="top"/>
      <protection/>
    </xf>
    <xf numFmtId="0" fontId="11" fillId="0" borderId="35" xfId="0" applyFont="1" applyBorder="1" applyAlignment="1">
      <alignment vertical="top"/>
    </xf>
    <xf numFmtId="0" fontId="11" fillId="0" borderId="26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49" fontId="4" fillId="42" borderId="80" xfId="42" applyNumberFormat="1" applyFont="1" applyFill="1" applyBorder="1" applyAlignment="1">
      <alignment horizontal="center" vertical="top"/>
      <protection/>
    </xf>
    <xf numFmtId="49" fontId="4" fillId="42" borderId="77" xfId="42" applyNumberFormat="1" applyFont="1" applyFill="1" applyBorder="1" applyAlignment="1">
      <alignment horizontal="center"/>
      <protection/>
    </xf>
    <xf numFmtId="49" fontId="0" fillId="34" borderId="24" xfId="42" applyNumberFormat="1" applyFont="1" applyFill="1" applyBorder="1" applyAlignment="1">
      <alignment horizontal="center"/>
      <protection/>
    </xf>
    <xf numFmtId="49" fontId="4" fillId="42" borderId="16" xfId="42" applyNumberFormat="1" applyFont="1" applyFill="1" applyBorder="1" applyAlignment="1">
      <alignment horizontal="center" vertical="top"/>
      <protection/>
    </xf>
    <xf numFmtId="49" fontId="4" fillId="42" borderId="16" xfId="42" applyNumberFormat="1" applyFont="1" applyFill="1" applyBorder="1" applyAlignment="1">
      <alignment horizontal="center"/>
      <protection/>
    </xf>
    <xf numFmtId="4" fontId="4" fillId="48" borderId="27" xfId="42" applyNumberFormat="1" applyFont="1" applyFill="1" applyBorder="1" applyAlignment="1">
      <alignment horizontal="right" vertical="top"/>
      <protection/>
    </xf>
    <xf numFmtId="49" fontId="4" fillId="48" borderId="50" xfId="42" applyNumberFormat="1" applyFont="1" applyFill="1" applyBorder="1" applyAlignment="1">
      <alignment horizontal="center"/>
      <protection/>
    </xf>
    <xf numFmtId="49" fontId="4" fillId="34" borderId="24" xfId="42" applyNumberFormat="1" applyFont="1" applyFill="1" applyBorder="1" applyAlignment="1">
      <alignment horizontal="center"/>
      <protection/>
    </xf>
    <xf numFmtId="0" fontId="4" fillId="48" borderId="24" xfId="42" applyFont="1" applyFill="1" applyBorder="1" applyAlignment="1">
      <alignment horizontal="center"/>
      <protection/>
    </xf>
    <xf numFmtId="49" fontId="0" fillId="0" borderId="28" xfId="42" applyNumberFormat="1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 vertical="center"/>
      <protection/>
    </xf>
    <xf numFmtId="49" fontId="0" fillId="34" borderId="22" xfId="42" applyNumberFormat="1" applyFont="1" applyFill="1" applyBorder="1" applyAlignment="1">
      <alignment horizontal="center" vertical="center"/>
      <protection/>
    </xf>
    <xf numFmtId="49" fontId="4" fillId="34" borderId="22" xfId="42" applyNumberFormat="1" applyFont="1" applyFill="1" applyBorder="1" applyAlignment="1">
      <alignment horizontal="center" vertical="center"/>
      <protection/>
    </xf>
    <xf numFmtId="0" fontId="0" fillId="34" borderId="22" xfId="42" applyFont="1" applyFill="1" applyBorder="1" applyAlignment="1">
      <alignment horizontal="center" vertical="center"/>
      <protection/>
    </xf>
    <xf numFmtId="0" fontId="0" fillId="34" borderId="28" xfId="4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4" fontId="4" fillId="0" borderId="27" xfId="0" applyNumberFormat="1" applyFont="1" applyFill="1" applyBorder="1" applyAlignment="1">
      <alignment horizontal="right" vertical="center"/>
    </xf>
    <xf numFmtId="4" fontId="0" fillId="39" borderId="24" xfId="42" applyNumberFormat="1" applyFont="1" applyFill="1" applyBorder="1" applyAlignment="1">
      <alignment horizontal="right" vertical="top"/>
      <protection/>
    </xf>
    <xf numFmtId="4" fontId="4" fillId="0" borderId="68" xfId="42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/>
    </xf>
    <xf numFmtId="4" fontId="0" fillId="0" borderId="22" xfId="46" applyNumberFormat="1" applyFont="1" applyFill="1" applyBorder="1" applyAlignment="1">
      <alignment horizontal="right" vertical="center"/>
      <protection/>
    </xf>
    <xf numFmtId="49" fontId="0" fillId="47" borderId="21" xfId="42" applyNumberFormat="1" applyFont="1" applyFill="1" applyBorder="1" applyAlignment="1">
      <alignment horizontal="center"/>
      <protection/>
    </xf>
    <xf numFmtId="49" fontId="0" fillId="47" borderId="22" xfId="42" applyNumberFormat="1" applyFont="1" applyFill="1" applyBorder="1" applyAlignment="1">
      <alignment horizontal="center"/>
      <protection/>
    </xf>
    <xf numFmtId="0" fontId="0" fillId="47" borderId="28" xfId="42" applyFont="1" applyFill="1" applyBorder="1" applyAlignment="1">
      <alignment horizontal="center"/>
      <protection/>
    </xf>
    <xf numFmtId="0" fontId="0" fillId="47" borderId="24" xfId="42" applyFont="1" applyFill="1" applyBorder="1" applyAlignment="1">
      <alignment horizontal="center"/>
      <protection/>
    </xf>
    <xf numFmtId="0" fontId="0" fillId="47" borderId="60" xfId="42" applyFont="1" applyFill="1" applyBorder="1" applyAlignment="1">
      <alignment horizontal="center"/>
      <protection/>
    </xf>
    <xf numFmtId="4" fontId="4" fillId="47" borderId="51" xfId="42" applyNumberFormat="1" applyFont="1" applyFill="1" applyBorder="1" applyAlignment="1">
      <alignment horizontal="right" vertical="top"/>
      <protection/>
    </xf>
    <xf numFmtId="4" fontId="0" fillId="47" borderId="28" xfId="46" applyNumberFormat="1" applyFont="1" applyFill="1" applyBorder="1" applyAlignment="1" applyProtection="1">
      <alignment horizontal="right" vertical="top"/>
      <protection locked="0"/>
    </xf>
    <xf numFmtId="49" fontId="0" fillId="0" borderId="81" xfId="42" applyNumberFormat="1" applyFont="1" applyFill="1" applyBorder="1" applyAlignment="1">
      <alignment horizontal="center"/>
      <protection/>
    </xf>
    <xf numFmtId="168" fontId="0" fillId="0" borderId="81" xfId="42" applyNumberFormat="1" applyFont="1" applyFill="1" applyBorder="1" applyAlignment="1">
      <alignment horizontal="center" vertical="top"/>
      <protection/>
    </xf>
    <xf numFmtId="168" fontId="0" fillId="0" borderId="82" xfId="42" applyNumberFormat="1" applyFont="1" applyFill="1" applyBorder="1" applyAlignment="1">
      <alignment horizontal="center" vertical="top"/>
      <protection/>
    </xf>
    <xf numFmtId="168" fontId="0" fillId="0" borderId="83" xfId="42" applyNumberFormat="1" applyFont="1" applyFill="1" applyBorder="1" applyAlignment="1">
      <alignment horizontal="center" vertical="top"/>
      <protection/>
    </xf>
    <xf numFmtId="0" fontId="0" fillId="0" borderId="84" xfId="42" applyFont="1" applyFill="1" applyBorder="1" applyAlignment="1">
      <alignment horizontal="center"/>
      <protection/>
    </xf>
    <xf numFmtId="4" fontId="0" fillId="0" borderId="75" xfId="46" applyNumberFormat="1" applyFont="1" applyFill="1" applyBorder="1" applyAlignment="1" applyProtection="1">
      <alignment horizontal="right" vertical="top"/>
      <protection locked="0"/>
    </xf>
    <xf numFmtId="4" fontId="0" fillId="0" borderId="16" xfId="42" applyNumberFormat="1" applyFont="1" applyFill="1" applyBorder="1" applyAlignment="1" applyProtection="1">
      <alignment horizontal="right" vertical="center"/>
      <protection locked="0"/>
    </xf>
    <xf numFmtId="168" fontId="0" fillId="48" borderId="82" xfId="42" applyNumberFormat="1" applyFont="1" applyFill="1" applyBorder="1" applyAlignment="1">
      <alignment horizontal="center" vertical="top"/>
      <protection/>
    </xf>
    <xf numFmtId="49" fontId="74" fillId="47" borderId="24" xfId="42" applyNumberFormat="1" applyFont="1" applyFill="1" applyBorder="1" applyAlignment="1">
      <alignment horizontal="center"/>
      <protection/>
    </xf>
    <xf numFmtId="0" fontId="74" fillId="42" borderId="24" xfId="42" applyFont="1" applyFill="1" applyBorder="1" applyAlignment="1">
      <alignment horizontal="center"/>
      <protection/>
    </xf>
    <xf numFmtId="0" fontId="74" fillId="42" borderId="60" xfId="42" applyFont="1" applyFill="1" applyBorder="1" applyAlignment="1">
      <alignment horizontal="center"/>
      <protection/>
    </xf>
    <xf numFmtId="49" fontId="74" fillId="47" borderId="77" xfId="42" applyNumberFormat="1" applyFont="1" applyFill="1" applyBorder="1" applyAlignment="1">
      <alignment horizontal="center"/>
      <protection/>
    </xf>
    <xf numFmtId="4" fontId="0" fillId="0" borderId="16" xfId="46" applyNumberFormat="1" applyFont="1" applyFill="1" applyBorder="1" applyAlignment="1">
      <alignment horizontal="right" vertical="top"/>
      <protection/>
    </xf>
    <xf numFmtId="4" fontId="0" fillId="0" borderId="64" xfId="46" applyNumberFormat="1" applyFont="1" applyFill="1" applyBorder="1" applyAlignment="1">
      <alignment horizontal="right" vertical="center"/>
      <protection/>
    </xf>
    <xf numFmtId="4" fontId="4" fillId="34" borderId="27" xfId="42" applyNumberFormat="1" applyFont="1" applyFill="1" applyBorder="1" applyAlignment="1">
      <alignment horizontal="right" vertical="center"/>
      <protection/>
    </xf>
    <xf numFmtId="4" fontId="4" fillId="34" borderId="32" xfId="42" applyNumberFormat="1" applyFont="1" applyFill="1" applyBorder="1" applyAlignment="1">
      <alignment horizontal="right" vertical="center"/>
      <protection/>
    </xf>
    <xf numFmtId="4" fontId="4" fillId="47" borderId="16" xfId="42" applyNumberFormat="1" applyFont="1" applyFill="1" applyBorder="1" applyAlignment="1">
      <alignment horizontal="right" vertical="top"/>
      <protection/>
    </xf>
    <xf numFmtId="49" fontId="4" fillId="0" borderId="21" xfId="42" applyNumberFormat="1" applyFont="1" applyFill="1" applyBorder="1" applyAlignment="1">
      <alignment horizontal="center"/>
      <protection/>
    </xf>
    <xf numFmtId="49" fontId="8" fillId="0" borderId="22" xfId="42" applyNumberFormat="1" applyFont="1" applyFill="1" applyBorder="1" applyAlignment="1">
      <alignment horizontal="center" vertical="top"/>
      <protection/>
    </xf>
    <xf numFmtId="0" fontId="4" fillId="0" borderId="22" xfId="42" applyFont="1" applyFill="1" applyBorder="1" applyAlignment="1">
      <alignment horizontal="center"/>
      <protection/>
    </xf>
    <xf numFmtId="0" fontId="4" fillId="0" borderId="28" xfId="42" applyFont="1" applyFill="1" applyBorder="1" applyAlignment="1">
      <alignment horizontal="center"/>
      <protection/>
    </xf>
    <xf numFmtId="4" fontId="4" fillId="0" borderId="76" xfId="0" applyNumberFormat="1" applyFont="1" applyFill="1" applyBorder="1" applyAlignment="1">
      <alignment horizontal="right"/>
    </xf>
    <xf numFmtId="4" fontId="0" fillId="0" borderId="35" xfId="42" applyNumberFormat="1" applyFont="1" applyFill="1" applyBorder="1" applyAlignment="1">
      <alignment horizontal="right" vertical="top"/>
      <protection/>
    </xf>
    <xf numFmtId="4" fontId="0" fillId="0" borderId="16" xfId="42" applyNumberFormat="1" applyFont="1" applyFill="1" applyBorder="1" applyAlignment="1">
      <alignment horizontal="right" vertical="top"/>
      <protection/>
    </xf>
    <xf numFmtId="4" fontId="0" fillId="0" borderId="70" xfId="42" applyNumberFormat="1" applyFont="1" applyFill="1" applyBorder="1" applyAlignment="1">
      <alignment horizontal="right" vertical="top"/>
      <protection/>
    </xf>
    <xf numFmtId="4" fontId="0" fillId="0" borderId="51" xfId="46" applyNumberFormat="1" applyFont="1" applyFill="1" applyBorder="1" applyAlignment="1">
      <alignment horizontal="right" vertical="top"/>
      <protection/>
    </xf>
    <xf numFmtId="49" fontId="0" fillId="0" borderId="77" xfId="42" applyNumberFormat="1" applyFont="1" applyFill="1" applyBorder="1" applyAlignment="1">
      <alignment horizontal="center"/>
      <protection/>
    </xf>
    <xf numFmtId="4" fontId="0" fillId="0" borderId="84" xfId="42" applyNumberFormat="1" applyFont="1" applyFill="1" applyBorder="1" applyAlignment="1">
      <alignment horizontal="right" vertical="center"/>
      <protection/>
    </xf>
    <xf numFmtId="4" fontId="0" fillId="0" borderId="84" xfId="46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horizontal="right" vertical="center"/>
      <protection/>
    </xf>
    <xf numFmtId="49" fontId="74" fillId="47" borderId="22" xfId="42" applyNumberFormat="1" applyFont="1" applyFill="1" applyBorder="1" applyAlignment="1">
      <alignment horizontal="center"/>
      <protection/>
    </xf>
    <xf numFmtId="0" fontId="0" fillId="42" borderId="22" xfId="42" applyFont="1" applyFill="1" applyBorder="1" applyAlignment="1">
      <alignment horizontal="center"/>
      <protection/>
    </xf>
    <xf numFmtId="49" fontId="75" fillId="42" borderId="50" xfId="42" applyNumberFormat="1" applyFont="1" applyFill="1" applyBorder="1" applyAlignment="1">
      <alignment horizontal="center" vertical="top"/>
      <protection/>
    </xf>
    <xf numFmtId="49" fontId="75" fillId="42" borderId="24" xfId="42" applyNumberFormat="1" applyFont="1" applyFill="1" applyBorder="1" applyAlignment="1">
      <alignment horizontal="center"/>
      <protection/>
    </xf>
    <xf numFmtId="4" fontId="75" fillId="42" borderId="51" xfId="42" applyNumberFormat="1" applyFont="1" applyFill="1" applyBorder="1" applyAlignment="1">
      <alignment horizontal="right" vertical="top"/>
      <protection/>
    </xf>
    <xf numFmtId="4" fontId="75" fillId="42" borderId="57" xfId="42" applyNumberFormat="1" applyFont="1" applyFill="1" applyBorder="1" applyAlignment="1">
      <alignment horizontal="right" vertical="top"/>
      <protection/>
    </xf>
    <xf numFmtId="0" fontId="74" fillId="0" borderId="0" xfId="0" applyFont="1" applyFill="1" applyAlignment="1">
      <alignment/>
    </xf>
    <xf numFmtId="168" fontId="0" fillId="48" borderId="25" xfId="42" applyNumberFormat="1" applyFont="1" applyFill="1" applyBorder="1" applyAlignment="1">
      <alignment horizontal="center" vertical="top"/>
      <protection/>
    </xf>
    <xf numFmtId="0" fontId="73" fillId="35" borderId="60" xfId="42" applyFont="1" applyFill="1" applyBorder="1" applyAlignment="1">
      <alignment horizontal="center"/>
      <protection/>
    </xf>
    <xf numFmtId="0" fontId="0" fillId="0" borderId="83" xfId="42" applyFont="1" applyFill="1" applyBorder="1" applyAlignment="1">
      <alignment horizontal="center"/>
      <protection/>
    </xf>
    <xf numFmtId="0" fontId="0" fillId="0" borderId="82" xfId="42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 vertical="center"/>
    </xf>
    <xf numFmtId="4" fontId="0" fillId="0" borderId="0" xfId="46" applyNumberFormat="1" applyFont="1" applyFill="1" applyBorder="1" applyAlignment="1" applyProtection="1">
      <alignment horizontal="right" vertical="top"/>
      <protection locked="0"/>
    </xf>
    <xf numFmtId="4" fontId="0" fillId="0" borderId="25" xfId="46" applyNumberFormat="1" applyFont="1" applyFill="1" applyBorder="1" applyAlignment="1" applyProtection="1">
      <alignment horizontal="right" vertical="top"/>
      <protection locked="0"/>
    </xf>
    <xf numFmtId="167" fontId="4" fillId="0" borderId="22" xfId="42" applyNumberFormat="1" applyFont="1" applyFill="1" applyBorder="1" applyAlignment="1">
      <alignment horizontal="center" vertical="center"/>
      <protection/>
    </xf>
    <xf numFmtId="49" fontId="0" fillId="0" borderId="85" xfId="42" applyNumberFormat="1" applyFont="1" applyFill="1" applyBorder="1" applyAlignment="1">
      <alignment horizontal="center"/>
      <protection/>
    </xf>
    <xf numFmtId="49" fontId="0" fillId="0" borderId="64" xfId="42" applyNumberFormat="1" applyFont="1" applyFill="1" applyBorder="1" applyAlignment="1">
      <alignment horizontal="center"/>
      <protection/>
    </xf>
    <xf numFmtId="49" fontId="0" fillId="0" borderId="84" xfId="42" applyNumberFormat="1" applyFont="1" applyFill="1" applyBorder="1" applyAlignment="1">
      <alignment horizontal="center"/>
      <protection/>
    </xf>
    <xf numFmtId="168" fontId="0" fillId="48" borderId="84" xfId="42" applyNumberFormat="1" applyFont="1" applyFill="1" applyBorder="1" applyAlignment="1">
      <alignment horizontal="center" vertical="top"/>
      <protection/>
    </xf>
    <xf numFmtId="49" fontId="4" fillId="42" borderId="60" xfId="42" applyNumberFormat="1" applyFont="1" applyFill="1" applyBorder="1" applyAlignment="1">
      <alignment horizontal="center"/>
      <protection/>
    </xf>
    <xf numFmtId="4" fontId="4" fillId="42" borderId="76" xfId="42" applyNumberFormat="1" applyFont="1" applyFill="1" applyBorder="1" applyAlignment="1">
      <alignment horizontal="right" vertical="top"/>
      <protection/>
    </xf>
    <xf numFmtId="4" fontId="4" fillId="42" borderId="0" xfId="42" applyNumberFormat="1" applyFont="1" applyFill="1" applyBorder="1" applyAlignment="1">
      <alignment horizontal="right" vertical="top"/>
      <protection/>
    </xf>
    <xf numFmtId="4" fontId="4" fillId="42" borderId="16" xfId="42" applyNumberFormat="1" applyFont="1" applyFill="1" applyBorder="1" applyAlignment="1">
      <alignment horizontal="right" vertical="center"/>
      <protection/>
    </xf>
    <xf numFmtId="4" fontId="4" fillId="0" borderId="16" xfId="42" applyNumberFormat="1" applyFont="1" applyFill="1" applyBorder="1" applyAlignment="1">
      <alignment horizontal="right" vertical="top"/>
      <protection/>
    </xf>
    <xf numFmtId="49" fontId="0" fillId="0" borderId="55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 horizontal="left" wrapText="1"/>
    </xf>
    <xf numFmtId="4" fontId="0" fillId="0" borderId="68" xfId="46" applyNumberFormat="1" applyFont="1" applyFill="1" applyBorder="1" applyAlignment="1" applyProtection="1">
      <alignment horizontal="right" vertical="top"/>
      <protection locked="0"/>
    </xf>
    <xf numFmtId="4" fontId="0" fillId="0" borderId="28" xfId="42" applyNumberFormat="1" applyFont="1" applyFill="1" applyBorder="1" applyAlignment="1">
      <alignment horizontal="right" vertical="center"/>
      <protection/>
    </xf>
    <xf numFmtId="4" fontId="0" fillId="0" borderId="86" xfId="42" applyNumberFormat="1" applyFont="1" applyFill="1" applyBorder="1" applyAlignment="1">
      <alignment horizontal="right" vertical="center"/>
      <protection/>
    </xf>
    <xf numFmtId="4" fontId="0" fillId="0" borderId="41" xfId="42" applyNumberFormat="1" applyFont="1" applyFill="1" applyBorder="1" applyAlignment="1">
      <alignment horizontal="right" vertical="center"/>
      <protection/>
    </xf>
    <xf numFmtId="49" fontId="4" fillId="42" borderId="50" xfId="42" applyNumberFormat="1" applyFont="1" applyFill="1" applyBorder="1" applyAlignment="1">
      <alignment horizontal="center" vertical="center"/>
      <protection/>
    </xf>
    <xf numFmtId="49" fontId="4" fillId="42" borderId="24" xfId="42" applyNumberFormat="1" applyFont="1" applyFill="1" applyBorder="1" applyAlignment="1">
      <alignment horizontal="center" vertical="center"/>
      <protection/>
    </xf>
    <xf numFmtId="0" fontId="0" fillId="42" borderId="24" xfId="42" applyFont="1" applyFill="1" applyBorder="1" applyAlignment="1">
      <alignment horizontal="center" vertical="center"/>
      <protection/>
    </xf>
    <xf numFmtId="49" fontId="0" fillId="47" borderId="24" xfId="42" applyNumberFormat="1" applyFont="1" applyFill="1" applyBorder="1" applyAlignment="1">
      <alignment horizontal="center" vertical="center"/>
      <protection/>
    </xf>
    <xf numFmtId="0" fontId="0" fillId="42" borderId="60" xfId="42" applyFont="1" applyFill="1" applyBorder="1" applyAlignment="1">
      <alignment horizontal="center" vertical="center"/>
      <protection/>
    </xf>
    <xf numFmtId="10" fontId="12" fillId="0" borderId="0" xfId="0" applyNumberFormat="1" applyFont="1" applyAlignment="1">
      <alignment/>
    </xf>
    <xf numFmtId="49" fontId="0" fillId="0" borderId="81" xfId="42" applyNumberFormat="1" applyFont="1" applyFill="1" applyBorder="1" applyAlignment="1">
      <alignment horizontal="center" vertical="top"/>
      <protection/>
    </xf>
    <xf numFmtId="49" fontId="0" fillId="0" borderId="16" xfId="42" applyNumberFormat="1" applyFont="1" applyFill="1" applyBorder="1" applyAlignment="1">
      <alignment horizontal="center" vertical="top"/>
      <protection/>
    </xf>
    <xf numFmtId="180" fontId="0" fillId="0" borderId="0" xfId="0" applyNumberFormat="1" applyFont="1" applyAlignment="1">
      <alignment/>
    </xf>
    <xf numFmtId="172" fontId="10" fillId="0" borderId="18" xfId="45" applyNumberFormat="1" applyFont="1" applyBorder="1" applyAlignment="1" applyProtection="1">
      <alignment horizontal="right" vertical="top"/>
      <protection locked="0"/>
    </xf>
    <xf numFmtId="172" fontId="12" fillId="0" borderId="18" xfId="45" applyNumberFormat="1" applyFont="1" applyBorder="1" applyAlignment="1" applyProtection="1">
      <alignment horizontal="right" vertical="top"/>
      <protection locked="0"/>
    </xf>
    <xf numFmtId="167" fontId="10" fillId="0" borderId="16" xfId="45" applyNumberFormat="1" applyFont="1" applyFill="1" applyBorder="1" applyAlignment="1">
      <alignment horizontal="left" vertical="top"/>
      <protection/>
    </xf>
    <xf numFmtId="167" fontId="10" fillId="0" borderId="35" xfId="45" applyNumberFormat="1" applyFont="1" applyBorder="1" applyAlignment="1">
      <alignment horizontal="center" vertical="top"/>
      <protection/>
    </xf>
    <xf numFmtId="0" fontId="10" fillId="0" borderId="26" xfId="0" applyFont="1" applyFill="1" applyBorder="1" applyAlignment="1">
      <alignment vertical="top"/>
    </xf>
    <xf numFmtId="0" fontId="10" fillId="0" borderId="34" xfId="0" applyFont="1" applyFill="1" applyBorder="1" applyAlignment="1">
      <alignment vertical="top"/>
    </xf>
    <xf numFmtId="4" fontId="10" fillId="0" borderId="26" xfId="0" applyNumberFormat="1" applyFont="1" applyFill="1" applyBorder="1" applyAlignment="1">
      <alignment horizontal="right" vertical="top"/>
    </xf>
    <xf numFmtId="0" fontId="12" fillId="0" borderId="35" xfId="0" applyFont="1" applyFill="1" applyBorder="1" applyAlignment="1">
      <alignment vertical="top"/>
    </xf>
    <xf numFmtId="10" fontId="4" fillId="43" borderId="16" xfId="0" applyNumberFormat="1" applyFont="1" applyFill="1" applyBorder="1" applyAlignment="1">
      <alignment horizontal="center" vertical="center" wrapText="1" shrinkToFit="1"/>
    </xf>
    <xf numFmtId="10" fontId="0" fillId="0" borderId="54" xfId="0" applyNumberFormat="1" applyFont="1" applyFill="1" applyBorder="1" applyAlignment="1">
      <alignment horizontal="center" vertical="center" wrapText="1"/>
    </xf>
    <xf numFmtId="10" fontId="4" fillId="44" borderId="55" xfId="64" applyNumberFormat="1" applyFont="1" applyFill="1" applyBorder="1" applyAlignment="1">
      <alignment horizontal="center" vertical="center" wrapText="1"/>
      <protection/>
    </xf>
    <xf numFmtId="10" fontId="0" fillId="0" borderId="0" xfId="44" applyNumberFormat="1" applyFont="1" applyFill="1" applyBorder="1" applyAlignment="1" applyProtection="1">
      <alignment horizontal="right" vertical="center" wrapText="1"/>
      <protection/>
    </xf>
    <xf numFmtId="14" fontId="0" fillId="39" borderId="22" xfId="42" applyNumberFormat="1" applyFont="1" applyFill="1" applyBorder="1" applyAlignment="1">
      <alignment horizontal="center"/>
      <protection/>
    </xf>
    <xf numFmtId="49" fontId="75" fillId="42" borderId="16" xfId="42" applyNumberFormat="1" applyFont="1" applyFill="1" applyBorder="1" applyAlignment="1">
      <alignment horizontal="center" vertical="top"/>
      <protection/>
    </xf>
    <xf numFmtId="49" fontId="75" fillId="42" borderId="16" xfId="42" applyNumberFormat="1" applyFont="1" applyFill="1" applyBorder="1" applyAlignment="1">
      <alignment horizontal="center"/>
      <protection/>
    </xf>
    <xf numFmtId="0" fontId="74" fillId="42" borderId="16" xfId="42" applyFont="1" applyFill="1" applyBorder="1" applyAlignment="1">
      <alignment horizontal="center"/>
      <protection/>
    </xf>
    <xf numFmtId="49" fontId="74" fillId="47" borderId="16" xfId="42" applyNumberFormat="1" applyFont="1" applyFill="1" applyBorder="1" applyAlignment="1">
      <alignment horizontal="center"/>
      <protection/>
    </xf>
    <xf numFmtId="4" fontId="75" fillId="42" borderId="16" xfId="42" applyNumberFormat="1" applyFont="1" applyFill="1" applyBorder="1" applyAlignment="1">
      <alignment horizontal="right" vertical="top"/>
      <protection/>
    </xf>
    <xf numFmtId="0" fontId="74" fillId="0" borderId="0" xfId="0" applyFont="1" applyAlignment="1">
      <alignment/>
    </xf>
    <xf numFmtId="0" fontId="0" fillId="0" borderId="16" xfId="0" applyFont="1" applyBorder="1" applyAlignment="1">
      <alignment/>
    </xf>
    <xf numFmtId="0" fontId="72" fillId="35" borderId="87" xfId="0" applyFont="1" applyFill="1" applyBorder="1" applyAlignment="1">
      <alignment vertical="top"/>
    </xf>
    <xf numFmtId="0" fontId="72" fillId="35" borderId="0" xfId="0" applyFont="1" applyFill="1" applyBorder="1" applyAlignment="1">
      <alignment vertical="top"/>
    </xf>
    <xf numFmtId="0" fontId="72" fillId="35" borderId="76" xfId="0" applyFont="1" applyFill="1" applyBorder="1" applyAlignment="1">
      <alignment vertical="top"/>
    </xf>
    <xf numFmtId="49" fontId="72" fillId="35" borderId="50" xfId="42" applyNumberFormat="1" applyFont="1" applyFill="1" applyBorder="1" applyAlignment="1">
      <alignment horizontal="center" vertical="top"/>
      <protection/>
    </xf>
    <xf numFmtId="49" fontId="72" fillId="35" borderId="24" xfId="42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vertical="top"/>
    </xf>
    <xf numFmtId="49" fontId="0" fillId="39" borderId="84" xfId="42" applyNumberFormat="1" applyFont="1" applyFill="1" applyBorder="1" applyAlignment="1">
      <alignment horizontal="center"/>
      <protection/>
    </xf>
    <xf numFmtId="49" fontId="0" fillId="39" borderId="84" xfId="42" applyNumberFormat="1" applyFont="1" applyFill="1" applyBorder="1" applyAlignment="1">
      <alignment horizontal="center" vertical="top"/>
      <protection/>
    </xf>
    <xf numFmtId="0" fontId="0" fillId="39" borderId="84" xfId="42" applyFont="1" applyFill="1" applyBorder="1" applyAlignment="1">
      <alignment horizontal="center"/>
      <protection/>
    </xf>
    <xf numFmtId="4" fontId="0" fillId="39" borderId="84" xfId="42" applyNumberFormat="1" applyFont="1" applyFill="1" applyBorder="1" applyAlignment="1">
      <alignment horizontal="right" vertical="top"/>
      <protection/>
    </xf>
    <xf numFmtId="4" fontId="0" fillId="39" borderId="88" xfId="42" applyNumberFormat="1" applyFont="1" applyFill="1" applyBorder="1" applyAlignment="1">
      <alignment horizontal="right" vertical="top"/>
      <protection/>
    </xf>
    <xf numFmtId="4" fontId="0" fillId="39" borderId="89" xfId="42" applyNumberFormat="1" applyFont="1" applyFill="1" applyBorder="1" applyAlignment="1">
      <alignment horizontal="right" vertical="top"/>
      <protection/>
    </xf>
    <xf numFmtId="4" fontId="0" fillId="39" borderId="90" xfId="42" applyNumberFormat="1" applyFont="1" applyFill="1" applyBorder="1" applyAlignment="1">
      <alignment horizontal="right" vertical="top"/>
      <protection/>
    </xf>
    <xf numFmtId="4" fontId="0" fillId="39" borderId="91" xfId="42" applyNumberFormat="1" applyFont="1" applyFill="1" applyBorder="1" applyAlignment="1">
      <alignment horizontal="right" vertical="top"/>
      <protection/>
    </xf>
    <xf numFmtId="4" fontId="4" fillId="0" borderId="28" xfId="0" applyNumberFormat="1" applyFont="1" applyFill="1" applyBorder="1" applyAlignment="1">
      <alignment horizontal="right"/>
    </xf>
    <xf numFmtId="4" fontId="0" fillId="0" borderId="68" xfId="42" applyNumberFormat="1" applyFont="1" applyFill="1" applyBorder="1" applyAlignment="1">
      <alignment horizontal="right" vertical="top"/>
      <protection/>
    </xf>
    <xf numFmtId="0" fontId="0" fillId="0" borderId="64" xfId="0" applyFont="1" applyBorder="1" applyAlignment="1">
      <alignment vertical="top"/>
    </xf>
    <xf numFmtId="0" fontId="0" fillId="0" borderId="75" xfId="0" applyFont="1" applyBorder="1" applyAlignment="1">
      <alignment vertical="top"/>
    </xf>
    <xf numFmtId="0" fontId="4" fillId="0" borderId="27" xfId="0" applyFont="1" applyFill="1" applyBorder="1" applyAlignment="1">
      <alignment vertical="top"/>
    </xf>
    <xf numFmtId="4" fontId="0" fillId="39" borderId="60" xfId="42" applyNumberFormat="1" applyFont="1" applyFill="1" applyBorder="1" applyAlignment="1">
      <alignment horizontal="right" vertical="top"/>
      <protection/>
    </xf>
    <xf numFmtId="4" fontId="0" fillId="39" borderId="57" xfId="42" applyNumberFormat="1" applyFont="1" applyFill="1" applyBorder="1" applyAlignment="1">
      <alignment horizontal="right" vertical="top"/>
      <protection/>
    </xf>
    <xf numFmtId="4" fontId="10" fillId="0" borderId="26" xfId="0" applyNumberFormat="1" applyFont="1" applyBorder="1" applyAlignment="1">
      <alignment horizontal="right" vertical="top"/>
    </xf>
    <xf numFmtId="170" fontId="10" fillId="0" borderId="18" xfId="45" applyNumberFormat="1" applyFont="1" applyBorder="1" applyAlignment="1" applyProtection="1">
      <alignment horizontal="right" vertical="top"/>
      <protection locked="0"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5" fillId="0" borderId="0" xfId="45" applyFont="1" applyBorder="1" applyAlignment="1">
      <alignment horizontal="center" vertical="top"/>
      <protection/>
    </xf>
    <xf numFmtId="0" fontId="0" fillId="0" borderId="68" xfId="0" applyFont="1" applyFill="1" applyBorder="1" applyAlignment="1">
      <alignment vertical="top"/>
    </xf>
    <xf numFmtId="0" fontId="0" fillId="0" borderId="75" xfId="0" applyFont="1" applyFill="1" applyBorder="1" applyAlignment="1">
      <alignment vertical="top"/>
    </xf>
    <xf numFmtId="0" fontId="0" fillId="42" borderId="84" xfId="42" applyFont="1" applyFill="1" applyBorder="1" applyAlignment="1">
      <alignment horizontal="center"/>
      <protection/>
    </xf>
    <xf numFmtId="0" fontId="0" fillId="34" borderId="60" xfId="42" applyFont="1" applyFill="1" applyBorder="1" applyAlignment="1">
      <alignment horizontal="center"/>
      <protection/>
    </xf>
    <xf numFmtId="49" fontId="0" fillId="34" borderId="24" xfId="42" applyNumberFormat="1" applyFont="1" applyFill="1" applyBorder="1" applyAlignment="1">
      <alignment horizontal="center" vertical="top"/>
      <protection/>
    </xf>
    <xf numFmtId="4" fontId="4" fillId="42" borderId="76" xfId="42" applyNumberFormat="1" applyFont="1" applyFill="1" applyBorder="1" applyAlignment="1">
      <alignment horizontal="right" vertical="center"/>
      <protection/>
    </xf>
    <xf numFmtId="4" fontId="0" fillId="0" borderId="70" xfId="46" applyNumberFormat="1" applyFont="1" applyFill="1" applyBorder="1" applyAlignment="1">
      <alignment horizontal="right" vertical="top"/>
      <protection/>
    </xf>
    <xf numFmtId="4" fontId="0" fillId="0" borderId="75" xfId="42" applyNumberFormat="1" applyFont="1" applyFill="1" applyBorder="1" applyAlignment="1">
      <alignment horizontal="right" vertical="top"/>
      <protection/>
    </xf>
    <xf numFmtId="0" fontId="0" fillId="0" borderId="60" xfId="0" applyFont="1" applyFill="1" applyBorder="1" applyAlignment="1">
      <alignment horizontal="left" vertical="top"/>
    </xf>
    <xf numFmtId="0" fontId="0" fillId="0" borderId="57" xfId="0" applyFont="1" applyFill="1" applyBorder="1" applyAlignment="1">
      <alignment horizontal="left" vertical="top"/>
    </xf>
    <xf numFmtId="4" fontId="0" fillId="0" borderId="57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10" fillId="0" borderId="26" xfId="0" applyFont="1" applyBorder="1" applyAlignment="1">
      <alignment horizontal="left" vertical="top"/>
    </xf>
    <xf numFmtId="4" fontId="4" fillId="50" borderId="57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4" fontId="4" fillId="0" borderId="57" xfId="0" applyNumberFormat="1" applyFont="1" applyFill="1" applyBorder="1" applyAlignment="1">
      <alignment horizontal="right"/>
    </xf>
    <xf numFmtId="4" fontId="0" fillId="0" borderId="35" xfId="46" applyNumberFormat="1" applyFont="1" applyFill="1" applyBorder="1" applyAlignment="1">
      <alignment horizontal="right" vertical="top"/>
      <protection/>
    </xf>
    <xf numFmtId="4" fontId="0" fillId="0" borderId="90" xfId="46" applyNumberFormat="1" applyFont="1" applyFill="1" applyBorder="1" applyAlignment="1">
      <alignment horizontal="right" vertical="top"/>
      <protection/>
    </xf>
    <xf numFmtId="4" fontId="0" fillId="0" borderId="35" xfId="46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/>
    </xf>
    <xf numFmtId="4" fontId="0" fillId="0" borderId="0" xfId="46" applyNumberFormat="1" applyFont="1" applyFill="1" applyBorder="1" applyAlignment="1">
      <alignment horizontal="right" vertical="top"/>
      <protection/>
    </xf>
    <xf numFmtId="0" fontId="0" fillId="0" borderId="16" xfId="0" applyFont="1" applyFill="1" applyBorder="1" applyAlignment="1">
      <alignment/>
    </xf>
    <xf numFmtId="4" fontId="0" fillId="0" borderId="34" xfId="46" applyNumberFormat="1" applyFont="1" applyFill="1" applyBorder="1" applyAlignment="1" applyProtection="1">
      <alignment horizontal="right" vertical="top"/>
      <protection locked="0"/>
    </xf>
    <xf numFmtId="4" fontId="4" fillId="33" borderId="51" xfId="42" applyNumberFormat="1" applyFont="1" applyFill="1" applyBorder="1" applyAlignment="1">
      <alignment horizontal="right" vertical="top"/>
      <protection/>
    </xf>
    <xf numFmtId="0" fontId="0" fillId="0" borderId="51" xfId="0" applyFont="1" applyFill="1" applyBorder="1" applyAlignment="1">
      <alignment horizontal="left" vertical="top"/>
    </xf>
    <xf numFmtId="4" fontId="4" fillId="0" borderId="51" xfId="42" applyNumberFormat="1" applyFont="1" applyFill="1" applyBorder="1" applyAlignment="1">
      <alignment horizontal="right" vertical="top"/>
      <protection/>
    </xf>
    <xf numFmtId="4" fontId="0" fillId="0" borderId="76" xfId="42" applyNumberFormat="1" applyFont="1" applyFill="1" applyBorder="1" applyAlignment="1">
      <alignment horizontal="right" vertical="top"/>
      <protection/>
    </xf>
    <xf numFmtId="4" fontId="0" fillId="0" borderId="64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Border="1" applyAlignment="1">
      <alignment horizontal="right" vertical="top"/>
      <protection/>
    </xf>
    <xf numFmtId="4" fontId="0" fillId="0" borderId="41" xfId="42" applyNumberFormat="1" applyFont="1" applyFill="1" applyBorder="1" applyAlignment="1">
      <alignment horizontal="right" vertical="top"/>
      <protection/>
    </xf>
    <xf numFmtId="49" fontId="0" fillId="0" borderId="92" xfId="42" applyNumberFormat="1" applyFont="1" applyFill="1" applyBorder="1" applyAlignment="1">
      <alignment horizontal="center"/>
      <protection/>
    </xf>
    <xf numFmtId="0" fontId="0" fillId="0" borderId="68" xfId="0" applyFont="1" applyBorder="1" applyAlignment="1">
      <alignment/>
    </xf>
    <xf numFmtId="4" fontId="0" fillId="0" borderId="25" xfId="46" applyNumberFormat="1" applyFont="1" applyFill="1" applyBorder="1" applyAlignment="1">
      <alignment horizontal="right" vertical="top"/>
      <protection/>
    </xf>
    <xf numFmtId="168" fontId="0" fillId="48" borderId="60" xfId="42" applyNumberFormat="1" applyFont="1" applyFill="1" applyBorder="1" applyAlignment="1">
      <alignment horizontal="center" vertical="top"/>
      <protection/>
    </xf>
    <xf numFmtId="168" fontId="0" fillId="48" borderId="0" xfId="42" applyNumberFormat="1" applyFont="1" applyFill="1" applyBorder="1" applyAlignment="1">
      <alignment horizontal="center" vertical="top"/>
      <protection/>
    </xf>
    <xf numFmtId="168" fontId="0" fillId="48" borderId="35" xfId="42" applyNumberFormat="1" applyFont="1" applyFill="1" applyBorder="1" applyAlignment="1">
      <alignment horizontal="center" vertical="top"/>
      <protection/>
    </xf>
    <xf numFmtId="4" fontId="0" fillId="0" borderId="27" xfId="0" applyNumberFormat="1" applyFont="1" applyFill="1" applyBorder="1" applyAlignment="1">
      <alignment horizontal="right" vertical="top"/>
    </xf>
    <xf numFmtId="49" fontId="4" fillId="47" borderId="50" xfId="42" applyNumberFormat="1" applyFont="1" applyFill="1" applyBorder="1" applyAlignment="1">
      <alignment horizontal="center" vertical="top"/>
      <protection/>
    </xf>
    <xf numFmtId="49" fontId="4" fillId="47" borderId="24" xfId="42" applyNumberFormat="1" applyFont="1" applyFill="1" applyBorder="1" applyAlignment="1">
      <alignment horizontal="center"/>
      <protection/>
    </xf>
    <xf numFmtId="4" fontId="4" fillId="47" borderId="51" xfId="42" applyNumberFormat="1" applyFont="1" applyFill="1" applyBorder="1" applyAlignment="1">
      <alignment horizontal="right" vertical="center"/>
      <protection/>
    </xf>
    <xf numFmtId="4" fontId="4" fillId="47" borderId="57" xfId="42" applyNumberFormat="1" applyFont="1" applyFill="1" applyBorder="1" applyAlignment="1">
      <alignment horizontal="right" vertical="center"/>
      <protection/>
    </xf>
    <xf numFmtId="4" fontId="4" fillId="0" borderId="51" xfId="0" applyNumberFormat="1" applyFont="1" applyFill="1" applyBorder="1" applyAlignment="1">
      <alignment horizontal="right" vertical="top"/>
    </xf>
    <xf numFmtId="177" fontId="4" fillId="51" borderId="55" xfId="0" applyNumberFormat="1" applyFont="1" applyFill="1" applyBorder="1" applyAlignment="1">
      <alignment horizontal="center" vertical="center" wrapText="1"/>
    </xf>
    <xf numFmtId="49" fontId="4" fillId="51" borderId="55" xfId="0" applyNumberFormat="1" applyFont="1" applyFill="1" applyBorder="1" applyAlignment="1">
      <alignment horizontal="center"/>
    </xf>
    <xf numFmtId="0" fontId="5" fillId="51" borderId="55" xfId="0" applyFont="1" applyFill="1" applyBorder="1" applyAlignment="1">
      <alignment wrapText="1"/>
    </xf>
    <xf numFmtId="4" fontId="10" fillId="48" borderId="26" xfId="0" applyNumberFormat="1" applyFont="1" applyFill="1" applyBorder="1" applyAlignment="1">
      <alignment horizontal="right" vertical="top"/>
    </xf>
    <xf numFmtId="4" fontId="12" fillId="0" borderId="26" xfId="0" applyNumberFormat="1" applyFont="1" applyFill="1" applyBorder="1" applyAlignment="1">
      <alignment horizontal="right" vertical="top"/>
    </xf>
    <xf numFmtId="18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64" xfId="0" applyFont="1" applyFill="1" applyBorder="1" applyAlignment="1">
      <alignment vertical="top"/>
    </xf>
    <xf numFmtId="0" fontId="4" fillId="0" borderId="68" xfId="0" applyFont="1" applyFill="1" applyBorder="1" applyAlignment="1">
      <alignment vertical="top"/>
    </xf>
    <xf numFmtId="49" fontId="0" fillId="0" borderId="28" xfId="42" applyNumberFormat="1" applyFont="1" applyFill="1" applyBorder="1" applyAlignment="1">
      <alignment horizontal="center" vertical="top"/>
      <protection/>
    </xf>
    <xf numFmtId="49" fontId="0" fillId="0" borderId="60" xfId="42" applyNumberFormat="1" applyFont="1" applyFill="1" applyBorder="1" applyAlignment="1">
      <alignment horizontal="center" vertical="top"/>
      <protection/>
    </xf>
    <xf numFmtId="4" fontId="0" fillId="0" borderId="25" xfId="42" applyNumberFormat="1" applyFont="1" applyFill="1" applyBorder="1" applyAlignment="1">
      <alignment horizontal="right" vertical="top"/>
      <protection/>
    </xf>
    <xf numFmtId="4" fontId="4" fillId="33" borderId="57" xfId="42" applyNumberFormat="1" applyFont="1" applyFill="1" applyBorder="1" applyAlignment="1">
      <alignment horizontal="right" vertical="top"/>
      <protection/>
    </xf>
    <xf numFmtId="4" fontId="0" fillId="34" borderId="16" xfId="42" applyNumberFormat="1" applyFont="1" applyFill="1" applyBorder="1" applyAlignment="1">
      <alignment horizontal="right" vertical="center"/>
      <protection/>
    </xf>
    <xf numFmtId="4" fontId="4" fillId="0" borderId="75" xfId="0" applyNumberFormat="1" applyFont="1" applyFill="1" applyBorder="1" applyAlignment="1">
      <alignment horizontal="right"/>
    </xf>
    <xf numFmtId="4" fontId="0" fillId="0" borderId="60" xfId="46" applyNumberFormat="1" applyFont="1" applyFill="1" applyBorder="1" applyAlignment="1">
      <alignment horizontal="right" vertical="top"/>
      <protection/>
    </xf>
    <xf numFmtId="4" fontId="4" fillId="0" borderId="75" xfId="0" applyNumberFormat="1" applyFont="1" applyFill="1" applyBorder="1" applyAlignment="1">
      <alignment horizontal="right" vertical="top"/>
    </xf>
    <xf numFmtId="0" fontId="0" fillId="0" borderId="41" xfId="0" applyFont="1" applyFill="1" applyBorder="1" applyAlignment="1">
      <alignment vertical="top"/>
    </xf>
    <xf numFmtId="0" fontId="0" fillId="0" borderId="49" xfId="0" applyFont="1" applyFill="1" applyBorder="1" applyAlignment="1">
      <alignment vertical="top"/>
    </xf>
    <xf numFmtId="0" fontId="0" fillId="0" borderId="44" xfId="0" applyFont="1" applyFill="1" applyBorder="1" applyAlignment="1">
      <alignment vertical="top"/>
    </xf>
    <xf numFmtId="49" fontId="0" fillId="0" borderId="50" xfId="42" applyNumberFormat="1" applyFont="1" applyFill="1" applyBorder="1" applyAlignment="1">
      <alignment horizontal="right" vertical="center"/>
      <protection/>
    </xf>
    <xf numFmtId="49" fontId="0" fillId="0" borderId="24" xfId="42" applyNumberFormat="1" applyFont="1" applyFill="1" applyBorder="1" applyAlignment="1">
      <alignment horizontal="right" vertical="center"/>
      <protection/>
    </xf>
    <xf numFmtId="167" fontId="0" fillId="0" borderId="24" xfId="42" applyNumberFormat="1" applyFont="1" applyFill="1" applyBorder="1" applyAlignment="1">
      <alignment horizontal="right" vertical="center"/>
      <protection/>
    </xf>
    <xf numFmtId="0" fontId="0" fillId="0" borderId="24" xfId="42" applyFont="1" applyFill="1" applyBorder="1" applyAlignment="1">
      <alignment horizontal="right" vertical="center"/>
      <protection/>
    </xf>
    <xf numFmtId="0" fontId="0" fillId="0" borderId="60" xfId="42" applyFont="1" applyFill="1" applyBorder="1" applyAlignment="1">
      <alignment horizontal="right" vertical="center"/>
      <protection/>
    </xf>
    <xf numFmtId="4" fontId="0" fillId="0" borderId="51" xfId="0" applyNumberFormat="1" applyFont="1" applyFill="1" applyBorder="1" applyAlignment="1">
      <alignment horizontal="right" vertical="center"/>
    </xf>
    <xf numFmtId="4" fontId="0" fillId="0" borderId="57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9" fontId="0" fillId="0" borderId="21" xfId="42" applyNumberFormat="1" applyFont="1" applyFill="1" applyBorder="1" applyAlignment="1">
      <alignment horizontal="right" vertical="center"/>
      <protection/>
    </xf>
    <xf numFmtId="49" fontId="7" fillId="0" borderId="22" xfId="42" applyNumberFormat="1" applyFont="1" applyFill="1" applyBorder="1" applyAlignment="1">
      <alignment horizontal="right" vertical="center"/>
      <protection/>
    </xf>
    <xf numFmtId="0" fontId="0" fillId="0" borderId="22" xfId="42" applyFont="1" applyFill="1" applyBorder="1" applyAlignment="1">
      <alignment horizontal="right" vertical="center"/>
      <protection/>
    </xf>
    <xf numFmtId="49" fontId="0" fillId="0" borderId="22" xfId="42" applyNumberFormat="1" applyFont="1" applyFill="1" applyBorder="1" applyAlignment="1">
      <alignment horizontal="right" vertical="center"/>
      <protection/>
    </xf>
    <xf numFmtId="168" fontId="0" fillId="0" borderId="28" xfId="42" applyNumberFormat="1" applyFont="1" applyFill="1" applyBorder="1" applyAlignment="1">
      <alignment horizontal="right" vertical="center"/>
      <protection/>
    </xf>
    <xf numFmtId="4" fontId="0" fillId="0" borderId="27" xfId="42" applyNumberFormat="1" applyFont="1" applyFill="1" applyBorder="1" applyAlignment="1">
      <alignment horizontal="right" vertical="center"/>
      <protection/>
    </xf>
    <xf numFmtId="4" fontId="0" fillId="0" borderId="22" xfId="46" applyNumberFormat="1" applyFont="1" applyFill="1" applyBorder="1" applyAlignment="1" applyProtection="1">
      <alignment horizontal="right" vertical="center"/>
      <protection locked="0"/>
    </xf>
    <xf numFmtId="4" fontId="0" fillId="0" borderId="28" xfId="46" applyNumberFormat="1" applyFont="1" applyFill="1" applyBorder="1" applyAlignment="1" applyProtection="1">
      <alignment horizontal="right" vertical="center"/>
      <protection locked="0"/>
    </xf>
    <xf numFmtId="4" fontId="0" fillId="0" borderId="16" xfId="46" applyNumberFormat="1" applyFont="1" applyFill="1" applyBorder="1" applyAlignment="1">
      <alignment horizontal="right" vertical="center"/>
      <protection/>
    </xf>
    <xf numFmtId="4" fontId="0" fillId="0" borderId="32" xfId="46" applyNumberFormat="1" applyFont="1" applyFill="1" applyBorder="1" applyAlignment="1">
      <alignment horizontal="right" vertical="center"/>
      <protection/>
    </xf>
    <xf numFmtId="4" fontId="0" fillId="0" borderId="16" xfId="46" applyNumberFormat="1" applyFont="1" applyFill="1" applyBorder="1" applyAlignment="1" applyProtection="1">
      <alignment horizontal="right" vertical="center"/>
      <protection locked="0"/>
    </xf>
    <xf numFmtId="49" fontId="7" fillId="0" borderId="24" xfId="42" applyNumberFormat="1" applyFont="1" applyFill="1" applyBorder="1" applyAlignment="1">
      <alignment horizontal="right" vertical="center"/>
      <protection/>
    </xf>
    <xf numFmtId="167" fontId="0" fillId="34" borderId="24" xfId="42" applyNumberFormat="1" applyFont="1" applyFill="1" applyBorder="1" applyAlignment="1">
      <alignment horizontal="right" vertical="center"/>
      <protection/>
    </xf>
    <xf numFmtId="0" fontId="0" fillId="0" borderId="60" xfId="42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right"/>
    </xf>
    <xf numFmtId="0" fontId="0" fillId="0" borderId="3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168" fontId="0" fillId="0" borderId="77" xfId="42" applyNumberFormat="1" applyFont="1" applyFill="1" applyBorder="1" applyAlignment="1">
      <alignment horizontal="center" vertical="top"/>
      <protection/>
    </xf>
    <xf numFmtId="168" fontId="0" fillId="48" borderId="83" xfId="42" applyNumberFormat="1" applyFont="1" applyFill="1" applyBorder="1" applyAlignment="1">
      <alignment horizontal="center" vertical="top"/>
      <protection/>
    </xf>
    <xf numFmtId="0" fontId="0" fillId="0" borderId="90" xfId="0" applyFont="1" applyBorder="1" applyAlignment="1">
      <alignment vertical="top"/>
    </xf>
    <xf numFmtId="0" fontId="0" fillId="0" borderId="91" xfId="0" applyFont="1" applyBorder="1" applyAlignment="1">
      <alignment vertical="top"/>
    </xf>
    <xf numFmtId="4" fontId="0" fillId="0" borderId="84" xfId="46" applyNumberFormat="1" applyFont="1" applyFill="1" applyBorder="1" applyAlignment="1" applyProtection="1">
      <alignment horizontal="right" vertical="top"/>
      <protection locked="0"/>
    </xf>
    <xf numFmtId="4" fontId="0" fillId="0" borderId="91" xfId="46" applyNumberFormat="1" applyFont="1" applyFill="1" applyBorder="1" applyAlignment="1" applyProtection="1">
      <alignment horizontal="right" vertical="top"/>
      <protection locked="0"/>
    </xf>
    <xf numFmtId="4" fontId="0" fillId="0" borderId="93" xfId="46" applyNumberFormat="1" applyFont="1" applyFill="1" applyBorder="1" applyAlignment="1" applyProtection="1">
      <alignment horizontal="right" vertical="top"/>
      <protection locked="0"/>
    </xf>
    <xf numFmtId="4" fontId="0" fillId="0" borderId="94" xfId="46" applyNumberFormat="1" applyFont="1" applyFill="1" applyBorder="1" applyAlignment="1" applyProtection="1">
      <alignment horizontal="right" vertical="top"/>
      <protection locked="0"/>
    </xf>
    <xf numFmtId="4" fontId="0" fillId="0" borderId="67" xfId="46" applyNumberFormat="1" applyFont="1" applyFill="1" applyBorder="1" applyAlignment="1" applyProtection="1">
      <alignment horizontal="right" vertical="top"/>
      <protection locked="0"/>
    </xf>
    <xf numFmtId="4" fontId="0" fillId="0" borderId="49" xfId="46" applyNumberFormat="1" applyFont="1" applyFill="1" applyBorder="1" applyAlignment="1" applyProtection="1">
      <alignment horizontal="right" vertical="top"/>
      <protection locked="0"/>
    </xf>
    <xf numFmtId="4" fontId="76" fillId="48" borderId="0" xfId="0" applyNumberFormat="1" applyFont="1" applyFill="1" applyBorder="1" applyAlignment="1">
      <alignment horizontal="right" vertical="center" wrapText="1" readingOrder="1"/>
    </xf>
    <xf numFmtId="4" fontId="76" fillId="48" borderId="95" xfId="0" applyNumberFormat="1" applyFont="1" applyFill="1" applyBorder="1" applyAlignment="1">
      <alignment horizontal="right" vertical="center" wrapText="1" readingOrder="1"/>
    </xf>
    <xf numFmtId="0" fontId="77" fillId="48" borderId="0" xfId="0" applyFont="1" applyFill="1" applyBorder="1" applyAlignment="1">
      <alignment horizontal="right" wrapText="1"/>
    </xf>
    <xf numFmtId="4" fontId="76" fillId="48" borderId="0" xfId="0" applyNumberFormat="1" applyFont="1" applyFill="1" applyBorder="1" applyAlignment="1">
      <alignment horizontal="right" wrapText="1" readingOrder="1"/>
    </xf>
    <xf numFmtId="4" fontId="77" fillId="48" borderId="0" xfId="0" applyNumberFormat="1" applyFont="1" applyFill="1" applyBorder="1" applyAlignment="1">
      <alignment horizontal="right" wrapText="1" readingOrder="1"/>
    </xf>
    <xf numFmtId="0" fontId="74" fillId="0" borderId="0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4" fontId="0" fillId="48" borderId="96" xfId="0" applyNumberFormat="1" applyFont="1" applyFill="1" applyBorder="1" applyAlignment="1">
      <alignment/>
    </xf>
    <xf numFmtId="49" fontId="0" fillId="0" borderId="97" xfId="42" applyNumberFormat="1" applyFont="1" applyFill="1" applyBorder="1" applyAlignment="1">
      <alignment horizontal="center"/>
      <protection/>
    </xf>
    <xf numFmtId="49" fontId="4" fillId="42" borderId="84" xfId="42" applyNumberFormat="1" applyFont="1" applyFill="1" applyBorder="1" applyAlignment="1">
      <alignment horizontal="center"/>
      <protection/>
    </xf>
    <xf numFmtId="49" fontId="0" fillId="47" borderId="84" xfId="42" applyNumberFormat="1" applyFont="1" applyFill="1" applyBorder="1" applyAlignment="1">
      <alignment horizontal="center"/>
      <protection/>
    </xf>
    <xf numFmtId="0" fontId="0" fillId="48" borderId="16" xfId="42" applyFont="1" applyFill="1" applyBorder="1" applyAlignment="1">
      <alignment horizontal="center"/>
      <protection/>
    </xf>
    <xf numFmtId="0" fontId="10" fillId="0" borderId="34" xfId="0" applyFont="1" applyBorder="1" applyAlignment="1">
      <alignment horizontal="left" vertical="top"/>
    </xf>
    <xf numFmtId="0" fontId="0" fillId="0" borderId="35" xfId="0" applyFont="1" applyBorder="1" applyAlignment="1">
      <alignment/>
    </xf>
    <xf numFmtId="0" fontId="0" fillId="0" borderId="35" xfId="45" applyFont="1" applyFill="1" applyBorder="1">
      <alignment/>
      <protection/>
    </xf>
    <xf numFmtId="0" fontId="12" fillId="0" borderId="26" xfId="0" applyFont="1" applyFill="1" applyBorder="1" applyAlignment="1">
      <alignment vertical="top"/>
    </xf>
    <xf numFmtId="169" fontId="10" fillId="48" borderId="18" xfId="45" applyNumberFormat="1" applyFont="1" applyFill="1" applyBorder="1" applyAlignment="1" applyProtection="1">
      <alignment horizontal="right" vertical="top"/>
      <protection locked="0"/>
    </xf>
    <xf numFmtId="0" fontId="10" fillId="0" borderId="35" xfId="0" applyFont="1" applyFill="1" applyBorder="1" applyAlignment="1">
      <alignment vertical="top"/>
    </xf>
    <xf numFmtId="167" fontId="10" fillId="0" borderId="16" xfId="45" applyNumberFormat="1" applyFont="1" applyFill="1" applyBorder="1" applyAlignment="1">
      <alignment horizontal="center" vertical="top"/>
      <protection/>
    </xf>
    <xf numFmtId="0" fontId="8" fillId="0" borderId="16" xfId="45" applyFont="1" applyBorder="1">
      <alignment/>
      <protection/>
    </xf>
    <xf numFmtId="4" fontId="4" fillId="42" borderId="35" xfId="42" applyNumberFormat="1" applyFont="1" applyFill="1" applyBorder="1" applyAlignment="1">
      <alignment horizontal="right" vertical="center"/>
      <protection/>
    </xf>
    <xf numFmtId="4" fontId="4" fillId="0" borderId="32" xfId="0" applyNumberFormat="1" applyFont="1" applyFill="1" applyBorder="1" applyAlignment="1">
      <alignment horizontal="right" vertical="center"/>
    </xf>
    <xf numFmtId="4" fontId="72" fillId="35" borderId="32" xfId="42" applyNumberFormat="1" applyFont="1" applyFill="1" applyBorder="1" applyAlignment="1">
      <alignment horizontal="right" vertical="top"/>
      <protection/>
    </xf>
    <xf numFmtId="4" fontId="4" fillId="0" borderId="35" xfId="42" applyNumberFormat="1" applyFont="1" applyFill="1" applyBorder="1" applyAlignment="1">
      <alignment horizontal="right" vertical="center"/>
      <protection/>
    </xf>
    <xf numFmtId="4" fontId="0" fillId="0" borderId="35" xfId="42" applyNumberFormat="1" applyFont="1" applyFill="1" applyBorder="1" applyAlignment="1">
      <alignment horizontal="right" vertical="center"/>
      <protection/>
    </xf>
    <xf numFmtId="4" fontId="4" fillId="34" borderId="35" xfId="42" applyNumberFormat="1" applyFont="1" applyFill="1" applyBorder="1" applyAlignment="1">
      <alignment horizontal="right" vertical="top"/>
      <protection/>
    </xf>
    <xf numFmtId="4" fontId="4" fillId="47" borderId="35" xfId="42" applyNumberFormat="1" applyFont="1" applyFill="1" applyBorder="1" applyAlignment="1">
      <alignment horizontal="right" vertical="top"/>
      <protection/>
    </xf>
    <xf numFmtId="4" fontId="4" fillId="0" borderId="32" xfId="0" applyNumberFormat="1" applyFont="1" applyFill="1" applyBorder="1" applyAlignment="1">
      <alignment horizontal="right"/>
    </xf>
    <xf numFmtId="4" fontId="4" fillId="0" borderId="35" xfId="42" applyNumberFormat="1" applyFont="1" applyFill="1" applyBorder="1" applyAlignment="1">
      <alignment horizontal="right" vertical="top"/>
      <protection/>
    </xf>
    <xf numFmtId="4" fontId="4" fillId="48" borderId="32" xfId="42" applyNumberFormat="1" applyFont="1" applyFill="1" applyBorder="1" applyAlignment="1">
      <alignment horizontal="right" vertical="top"/>
      <protection/>
    </xf>
    <xf numFmtId="4" fontId="4" fillId="50" borderId="32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47" borderId="41" xfId="42" applyNumberFormat="1" applyFont="1" applyFill="1" applyBorder="1" applyAlignment="1">
      <alignment horizontal="right" vertical="top"/>
      <protection/>
    </xf>
    <xf numFmtId="4" fontId="4" fillId="0" borderId="35" xfId="0" applyNumberFormat="1" applyFont="1" applyFill="1" applyBorder="1" applyAlignment="1">
      <alignment horizontal="right"/>
    </xf>
    <xf numFmtId="4" fontId="4" fillId="50" borderId="57" xfId="0" applyNumberFormat="1" applyFont="1" applyFill="1" applyBorder="1" applyAlignment="1">
      <alignment horizontal="right" vertical="center"/>
    </xf>
    <xf numFmtId="4" fontId="0" fillId="0" borderId="35" xfId="46" applyNumberFormat="1" applyFont="1" applyFill="1" applyBorder="1" applyAlignment="1" applyProtection="1">
      <alignment horizontal="right" vertical="center"/>
      <protection locked="0"/>
    </xf>
    <xf numFmtId="0" fontId="4" fillId="48" borderId="98" xfId="0" applyFont="1" applyFill="1" applyBorder="1" applyAlignment="1">
      <alignment horizontal="center" vertical="center" wrapText="1"/>
    </xf>
    <xf numFmtId="4" fontId="72" fillId="35" borderId="16" xfId="42" applyNumberFormat="1" applyFont="1" applyFill="1" applyBorder="1" applyAlignment="1">
      <alignment horizontal="right" vertical="center"/>
      <protection/>
    </xf>
    <xf numFmtId="4" fontId="72" fillId="35" borderId="16" xfId="42" applyNumberFormat="1" applyFont="1" applyFill="1" applyBorder="1" applyAlignment="1">
      <alignment horizontal="right" vertical="top"/>
      <protection/>
    </xf>
    <xf numFmtId="4" fontId="4" fillId="34" borderId="16" xfId="42" applyNumberFormat="1" applyFont="1" applyFill="1" applyBorder="1" applyAlignment="1">
      <alignment horizontal="right" vertical="center"/>
      <protection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46" applyNumberFormat="1" applyFont="1" applyFill="1" applyBorder="1" applyAlignment="1" applyProtection="1">
      <alignment horizontal="right" vertical="top"/>
      <protection locked="0"/>
    </xf>
    <xf numFmtId="4" fontId="72" fillId="35" borderId="16" xfId="42" applyNumberFormat="1" applyFont="1" applyFill="1" applyBorder="1" applyAlignment="1">
      <alignment vertical="center"/>
      <protection/>
    </xf>
    <xf numFmtId="4" fontId="72" fillId="35" borderId="1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horizontal="right" vertical="center"/>
    </xf>
    <xf numFmtId="4" fontId="0" fillId="48" borderId="16" xfId="42" applyNumberFormat="1" applyFont="1" applyFill="1" applyBorder="1" applyAlignment="1" applyProtection="1">
      <alignment horizontal="right" vertical="center"/>
      <protection locked="0"/>
    </xf>
    <xf numFmtId="4" fontId="0" fillId="47" borderId="16" xfId="42" applyNumberFormat="1" applyFont="1" applyFill="1" applyBorder="1" applyAlignment="1" applyProtection="1">
      <alignment horizontal="right" vertical="center"/>
      <protection locked="0"/>
    </xf>
    <xf numFmtId="4" fontId="4" fillId="42" borderId="16" xfId="42" applyNumberFormat="1" applyFont="1" applyFill="1" applyBorder="1" applyAlignment="1" applyProtection="1">
      <alignment horizontal="right" vertical="center"/>
      <protection locked="0"/>
    </xf>
    <xf numFmtId="4" fontId="4" fillId="48" borderId="16" xfId="42" applyNumberFormat="1" applyFont="1" applyFill="1" applyBorder="1" applyAlignment="1">
      <alignment horizontal="right" vertical="top"/>
      <protection/>
    </xf>
    <xf numFmtId="4" fontId="0" fillId="48" borderId="16" xfId="42" applyNumberFormat="1" applyFont="1" applyFill="1" applyBorder="1" applyAlignment="1">
      <alignment horizontal="right" vertical="center"/>
      <protection/>
    </xf>
    <xf numFmtId="4" fontId="4" fillId="47" borderId="16" xfId="42" applyNumberFormat="1" applyFont="1" applyFill="1" applyBorder="1" applyAlignment="1">
      <alignment horizontal="right" vertical="center"/>
      <protection/>
    </xf>
    <xf numFmtId="4" fontId="4" fillId="33" borderId="16" xfId="42" applyNumberFormat="1" applyFont="1" applyFill="1" applyBorder="1" applyAlignment="1">
      <alignment horizontal="right" vertical="center"/>
      <protection/>
    </xf>
    <xf numFmtId="4" fontId="0" fillId="39" borderId="16" xfId="42" applyNumberFormat="1" applyFont="1" applyFill="1" applyBorder="1" applyAlignment="1">
      <alignment horizontal="right" vertical="center"/>
      <protection/>
    </xf>
    <xf numFmtId="4" fontId="75" fillId="42" borderId="16" xfId="42" applyNumberFormat="1" applyFont="1" applyFill="1" applyBorder="1" applyAlignment="1">
      <alignment horizontal="right" vertical="center"/>
      <protection/>
    </xf>
    <xf numFmtId="0" fontId="0" fillId="0" borderId="0" xfId="61" applyFont="1" applyAlignment="1">
      <alignment horizontal="center"/>
      <protection/>
    </xf>
    <xf numFmtId="0" fontId="0" fillId="0" borderId="0" xfId="45" applyFont="1" applyBorder="1" applyAlignment="1">
      <alignment horizontal="center"/>
      <protection/>
    </xf>
    <xf numFmtId="0" fontId="5" fillId="0" borderId="11" xfId="0" applyFont="1" applyBorder="1" applyAlignment="1">
      <alignment horizontal="center" textRotation="90"/>
    </xf>
    <xf numFmtId="0" fontId="4" fillId="33" borderId="16" xfId="45" applyFont="1" applyFill="1" applyBorder="1" applyAlignment="1">
      <alignment horizontal="center"/>
      <protection/>
    </xf>
    <xf numFmtId="0" fontId="7" fillId="0" borderId="16" xfId="45" applyFont="1" applyBorder="1" applyAlignment="1">
      <alignment horizontal="center"/>
      <protection/>
    </xf>
    <xf numFmtId="175" fontId="12" fillId="0" borderId="16" xfId="45" applyNumberFormat="1" applyFont="1" applyBorder="1" applyAlignment="1">
      <alignment horizontal="center" vertical="top"/>
      <protection/>
    </xf>
    <xf numFmtId="175" fontId="12" fillId="0" borderId="16" xfId="45" applyNumberFormat="1" applyFont="1" applyFill="1" applyBorder="1" applyAlignment="1">
      <alignment horizontal="center" vertical="top"/>
      <protection/>
    </xf>
    <xf numFmtId="0" fontId="7" fillId="0" borderId="16" xfId="45" applyFont="1" applyFill="1" applyBorder="1" applyAlignment="1">
      <alignment horizontal="center"/>
      <protection/>
    </xf>
    <xf numFmtId="176" fontId="12" fillId="0" borderId="35" xfId="45" applyNumberFormat="1" applyFont="1" applyFill="1" applyBorder="1" applyAlignment="1">
      <alignment horizontal="center" vertical="top"/>
      <protection/>
    </xf>
    <xf numFmtId="175" fontId="10" fillId="0" borderId="16" xfId="45" applyNumberFormat="1" applyFont="1" applyBorder="1" applyAlignment="1">
      <alignment horizontal="center" vertical="top"/>
      <protection/>
    </xf>
    <xf numFmtId="0" fontId="0" fillId="0" borderId="16" xfId="45" applyFont="1" applyBorder="1" applyAlignment="1">
      <alignment horizontal="center"/>
      <protection/>
    </xf>
    <xf numFmtId="0" fontId="0" fillId="0" borderId="16" xfId="45" applyFont="1" applyBorder="1" applyAlignment="1">
      <alignment horizontal="center"/>
      <protection/>
    </xf>
    <xf numFmtId="167" fontId="11" fillId="33" borderId="16" xfId="45" applyNumberFormat="1" applyFont="1" applyFill="1" applyBorder="1" applyAlignment="1">
      <alignment horizontal="center" vertical="top"/>
      <protection/>
    </xf>
    <xf numFmtId="0" fontId="4" fillId="0" borderId="16" xfId="45" applyFont="1" applyBorder="1" applyAlignment="1">
      <alignment horizontal="center"/>
      <protection/>
    </xf>
    <xf numFmtId="0" fontId="0" fillId="0" borderId="25" xfId="45" applyFont="1" applyBorder="1" applyAlignment="1">
      <alignment horizontal="center"/>
      <protection/>
    </xf>
    <xf numFmtId="0" fontId="4" fillId="0" borderId="36" xfId="45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71" fontId="4" fillId="0" borderId="99" xfId="45" applyNumberFormat="1" applyFont="1" applyBorder="1" applyAlignment="1">
      <alignment horizontal="right" vertical="center"/>
      <protection/>
    </xf>
    <xf numFmtId="171" fontId="9" fillId="35" borderId="100" xfId="45" applyNumberFormat="1" applyFont="1" applyFill="1" applyBorder="1" applyAlignment="1">
      <alignment horizontal="right" vertical="top"/>
      <protection/>
    </xf>
    <xf numFmtId="4" fontId="4" fillId="33" borderId="100" xfId="45" applyNumberFormat="1" applyFont="1" applyFill="1" applyBorder="1">
      <alignment/>
      <protection/>
    </xf>
    <xf numFmtId="165" fontId="7" fillId="0" borderId="100" xfId="45" applyNumberFormat="1" applyFont="1" applyBorder="1" applyAlignment="1">
      <alignment horizontal="right" vertical="top"/>
      <protection/>
    </xf>
    <xf numFmtId="165" fontId="12" fillId="0" borderId="100" xfId="45" applyNumberFormat="1" applyFont="1" applyFill="1" applyBorder="1" applyAlignment="1" applyProtection="1">
      <alignment horizontal="right" vertical="top"/>
      <protection locked="0"/>
    </xf>
    <xf numFmtId="169" fontId="8" fillId="33" borderId="100" xfId="45" applyNumberFormat="1" applyFont="1" applyFill="1" applyBorder="1" applyAlignment="1">
      <alignment horizontal="right" vertical="top"/>
      <protection/>
    </xf>
    <xf numFmtId="169" fontId="7" fillId="0" borderId="100" xfId="45" applyNumberFormat="1" applyFont="1" applyBorder="1" applyAlignment="1">
      <alignment horizontal="right" vertical="top"/>
      <protection/>
    </xf>
    <xf numFmtId="169" fontId="12" fillId="0" borderId="100" xfId="45" applyNumberFormat="1" applyFont="1" applyBorder="1" applyAlignment="1" applyProtection="1">
      <alignment horizontal="right" vertical="top"/>
      <protection locked="0"/>
    </xf>
    <xf numFmtId="165" fontId="8" fillId="33" borderId="100" xfId="45" applyNumberFormat="1" applyFont="1" applyFill="1" applyBorder="1" applyAlignment="1">
      <alignment horizontal="right" vertical="top"/>
      <protection/>
    </xf>
    <xf numFmtId="166" fontId="7" fillId="0" borderId="100" xfId="45" applyNumberFormat="1" applyFont="1" applyBorder="1" applyAlignment="1">
      <alignment horizontal="right" vertical="top"/>
      <protection/>
    </xf>
    <xf numFmtId="166" fontId="12" fillId="0" borderId="100" xfId="45" applyNumberFormat="1" applyFont="1" applyFill="1" applyBorder="1" applyAlignment="1" applyProtection="1">
      <alignment horizontal="right" vertical="top"/>
      <protection locked="0"/>
    </xf>
    <xf numFmtId="169" fontId="10" fillId="0" borderId="100" xfId="45" applyNumberFormat="1" applyFont="1" applyBorder="1" applyAlignment="1">
      <alignment horizontal="right" vertical="top"/>
      <protection/>
    </xf>
    <xf numFmtId="170" fontId="10" fillId="0" borderId="100" xfId="45" applyNumberFormat="1" applyFont="1" applyBorder="1" applyAlignment="1">
      <alignment horizontal="right" vertical="top"/>
      <protection/>
    </xf>
    <xf numFmtId="170" fontId="12" fillId="0" borderId="100" xfId="45" applyNumberFormat="1" applyFont="1" applyBorder="1" applyAlignment="1" applyProtection="1">
      <alignment horizontal="right" vertical="top"/>
      <protection locked="0"/>
    </xf>
    <xf numFmtId="166" fontId="8" fillId="33" borderId="100" xfId="45" applyNumberFormat="1" applyFont="1" applyFill="1" applyBorder="1" applyAlignment="1">
      <alignment horizontal="right" vertical="top"/>
      <protection/>
    </xf>
    <xf numFmtId="170" fontId="7" fillId="0" borderId="100" xfId="45" applyNumberFormat="1" applyFont="1" applyBorder="1" applyAlignment="1">
      <alignment horizontal="right" vertical="top"/>
      <protection/>
    </xf>
    <xf numFmtId="170" fontId="0" fillId="0" borderId="100" xfId="45" applyNumberFormat="1" applyFont="1" applyFill="1" applyBorder="1" applyAlignment="1" applyProtection="1">
      <alignment horizontal="right" vertical="top"/>
      <protection locked="0"/>
    </xf>
    <xf numFmtId="166" fontId="12" fillId="0" borderId="100" xfId="45" applyNumberFormat="1" applyFont="1" applyBorder="1" applyAlignment="1" applyProtection="1">
      <alignment horizontal="right" vertical="top"/>
      <protection locked="0"/>
    </xf>
    <xf numFmtId="166" fontId="0" fillId="0" borderId="100" xfId="45" applyNumberFormat="1" applyFont="1" applyFill="1" applyBorder="1" applyAlignment="1" applyProtection="1">
      <alignment horizontal="right" vertical="top"/>
      <protection locked="0"/>
    </xf>
    <xf numFmtId="165" fontId="12" fillId="0" borderId="100" xfId="45" applyNumberFormat="1" applyFont="1" applyBorder="1" applyAlignment="1">
      <alignment horizontal="right" vertical="top"/>
      <protection/>
    </xf>
    <xf numFmtId="169" fontId="12" fillId="0" borderId="100" xfId="45" applyNumberFormat="1" applyFont="1" applyFill="1" applyBorder="1" applyAlignment="1" applyProtection="1">
      <alignment horizontal="right" vertical="top"/>
      <protection locked="0"/>
    </xf>
    <xf numFmtId="169" fontId="10" fillId="0" borderId="100" xfId="45" applyNumberFormat="1" applyFont="1" applyFill="1" applyBorder="1" applyAlignment="1" applyProtection="1">
      <alignment horizontal="right" vertical="top"/>
      <protection locked="0"/>
    </xf>
    <xf numFmtId="169" fontId="12" fillId="48" borderId="100" xfId="45" applyNumberFormat="1" applyFont="1" applyFill="1" applyBorder="1" applyAlignment="1" applyProtection="1">
      <alignment horizontal="right" vertical="top"/>
      <protection locked="0"/>
    </xf>
    <xf numFmtId="169" fontId="10" fillId="48" borderId="100" xfId="45" applyNumberFormat="1" applyFont="1" applyFill="1" applyBorder="1" applyAlignment="1" applyProtection="1">
      <alignment horizontal="right" vertical="top"/>
      <protection locked="0"/>
    </xf>
    <xf numFmtId="170" fontId="7" fillId="0" borderId="100" xfId="45" applyNumberFormat="1" applyFont="1" applyBorder="1" applyAlignment="1" applyProtection="1">
      <alignment horizontal="right" vertical="top"/>
      <protection locked="0"/>
    </xf>
    <xf numFmtId="170" fontId="0" fillId="0" borderId="100" xfId="45" applyNumberFormat="1" applyFont="1" applyBorder="1" applyAlignment="1" applyProtection="1">
      <alignment horizontal="right" vertical="top"/>
      <protection locked="0"/>
    </xf>
    <xf numFmtId="169" fontId="0" fillId="0" borderId="100" xfId="45" applyNumberFormat="1" applyFont="1" applyFill="1" applyBorder="1" applyAlignment="1" applyProtection="1">
      <alignment horizontal="right" vertical="top"/>
      <protection locked="0"/>
    </xf>
    <xf numFmtId="169" fontId="0" fillId="0" borderId="100" xfId="45" applyNumberFormat="1" applyFont="1" applyBorder="1" applyAlignment="1">
      <alignment horizontal="right" vertical="top"/>
      <protection/>
    </xf>
    <xf numFmtId="169" fontId="0" fillId="0" borderId="100" xfId="45" applyNumberFormat="1" applyFont="1" applyFill="1" applyBorder="1" applyAlignment="1">
      <alignment horizontal="right" vertical="top"/>
      <protection/>
    </xf>
    <xf numFmtId="169" fontId="0" fillId="0" borderId="100" xfId="45" applyNumberFormat="1" applyFont="1" applyFill="1" applyBorder="1" applyAlignment="1" applyProtection="1">
      <alignment horizontal="right" vertical="top"/>
      <protection locked="0"/>
    </xf>
    <xf numFmtId="166" fontId="0" fillId="0" borderId="100" xfId="45" applyNumberFormat="1" applyFont="1" applyBorder="1" applyAlignment="1" applyProtection="1">
      <alignment horizontal="right" vertical="top"/>
      <protection locked="0"/>
    </xf>
    <xf numFmtId="169" fontId="9" fillId="35" borderId="100" xfId="45" applyNumberFormat="1" applyFont="1" applyFill="1" applyBorder="1" applyAlignment="1">
      <alignment horizontal="right" vertical="top"/>
      <protection/>
    </xf>
    <xf numFmtId="169" fontId="0" fillId="0" borderId="100" xfId="45" applyNumberFormat="1" applyFont="1" applyBorder="1" applyAlignment="1" applyProtection="1">
      <alignment horizontal="right" vertical="top"/>
      <protection locked="0"/>
    </xf>
    <xf numFmtId="172" fontId="4" fillId="0" borderId="100" xfId="45" applyNumberFormat="1" applyFont="1" applyBorder="1" applyAlignment="1">
      <alignment horizontal="right" vertical="top"/>
      <protection/>
    </xf>
    <xf numFmtId="172" fontId="9" fillId="35" borderId="100" xfId="45" applyNumberFormat="1" applyFont="1" applyFill="1" applyBorder="1" applyAlignment="1">
      <alignment horizontal="right" vertical="top"/>
      <protection/>
    </xf>
    <xf numFmtId="172" fontId="4" fillId="0" borderId="100" xfId="45" applyNumberFormat="1" applyFont="1" applyFill="1" applyBorder="1" applyAlignment="1">
      <alignment horizontal="right" vertical="top"/>
      <protection/>
    </xf>
    <xf numFmtId="172" fontId="11" fillId="0" borderId="100" xfId="45" applyNumberFormat="1" applyFont="1" applyBorder="1" applyAlignment="1" applyProtection="1">
      <alignment horizontal="right" vertical="top"/>
      <protection locked="0"/>
    </xf>
    <xf numFmtId="172" fontId="12" fillId="0" borderId="100" xfId="45" applyNumberFormat="1" applyFont="1" applyBorder="1" applyAlignment="1" applyProtection="1">
      <alignment horizontal="right" vertical="top"/>
      <protection locked="0"/>
    </xf>
    <xf numFmtId="172" fontId="0" fillId="0" borderId="100" xfId="45" applyNumberFormat="1" applyFont="1" applyFill="1" applyBorder="1">
      <alignment/>
      <protection/>
    </xf>
    <xf numFmtId="172" fontId="10" fillId="0" borderId="100" xfId="45" applyNumberFormat="1" applyFont="1" applyBorder="1" applyAlignment="1" applyProtection="1">
      <alignment horizontal="right" vertical="top"/>
      <protection locked="0"/>
    </xf>
    <xf numFmtId="172" fontId="4" fillId="0" borderId="101" xfId="45" applyNumberFormat="1" applyFont="1" applyBorder="1" applyAlignment="1">
      <alignment horizontal="right" vertical="top"/>
      <protection/>
    </xf>
    <xf numFmtId="172" fontId="4" fillId="0" borderId="101" xfId="45" applyNumberFormat="1" applyFont="1" applyBorder="1">
      <alignment/>
      <protection/>
    </xf>
    <xf numFmtId="171" fontId="4" fillId="0" borderId="100" xfId="45" applyNumberFormat="1" applyFont="1" applyFill="1" applyBorder="1">
      <alignment/>
      <protection/>
    </xf>
    <xf numFmtId="172" fontId="0" fillId="0" borderId="101" xfId="45" applyNumberFormat="1" applyFont="1" applyBorder="1">
      <alignment/>
      <protection/>
    </xf>
    <xf numFmtId="171" fontId="4" fillId="0" borderId="38" xfId="45" applyNumberFormat="1" applyFont="1" applyFill="1" applyBorder="1">
      <alignment/>
      <protection/>
    </xf>
    <xf numFmtId="4" fontId="4" fillId="0" borderId="0" xfId="0" applyNumberFormat="1" applyFont="1" applyAlignment="1">
      <alignment horizontal="right"/>
    </xf>
    <xf numFmtId="4" fontId="0" fillId="0" borderId="0" xfId="42" applyNumberFormat="1" applyFont="1" applyBorder="1" applyAlignment="1">
      <alignment horizontal="right"/>
      <protection/>
    </xf>
    <xf numFmtId="4" fontId="72" fillId="35" borderId="76" xfId="0" applyNumberFormat="1" applyFont="1" applyFill="1" applyBorder="1" applyAlignment="1">
      <alignment horizontal="right" vertical="top"/>
    </xf>
    <xf numFmtId="4" fontId="75" fillId="47" borderId="76" xfId="0" applyNumberFormat="1" applyFont="1" applyFill="1" applyBorder="1" applyAlignment="1">
      <alignment horizontal="right" vertical="top"/>
    </xf>
    <xf numFmtId="4" fontId="4" fillId="42" borderId="51" xfId="0" applyNumberFormat="1" applyFont="1" applyFill="1" applyBorder="1" applyAlignment="1">
      <alignment horizontal="right" vertical="top"/>
    </xf>
    <xf numFmtId="4" fontId="0" fillId="0" borderId="27" xfId="0" applyNumberFormat="1" applyFont="1" applyBorder="1" applyAlignment="1">
      <alignment horizontal="right" vertical="top"/>
    </xf>
    <xf numFmtId="4" fontId="0" fillId="0" borderId="75" xfId="0" applyNumberFormat="1" applyFont="1" applyBorder="1" applyAlignment="1">
      <alignment horizontal="right" vertical="top"/>
    </xf>
    <xf numFmtId="4" fontId="4" fillId="47" borderId="51" xfId="0" applyNumberFormat="1" applyFont="1" applyFill="1" applyBorder="1" applyAlignment="1">
      <alignment horizontal="right" vertical="top"/>
    </xf>
    <xf numFmtId="4" fontId="0" fillId="0" borderId="32" xfId="0" applyNumberFormat="1" applyFont="1" applyBorder="1" applyAlignment="1">
      <alignment horizontal="right" vertical="top"/>
    </xf>
    <xf numFmtId="4" fontId="0" fillId="0" borderId="68" xfId="0" applyNumberFormat="1" applyFont="1" applyBorder="1" applyAlignment="1">
      <alignment horizontal="right" vertical="top"/>
    </xf>
    <xf numFmtId="4" fontId="0" fillId="0" borderId="35" xfId="0" applyNumberFormat="1" applyFont="1" applyBorder="1" applyAlignment="1">
      <alignment horizontal="right" vertical="top"/>
    </xf>
    <xf numFmtId="4" fontId="0" fillId="0" borderId="86" xfId="0" applyNumberFormat="1" applyFont="1" applyBorder="1" applyAlignment="1">
      <alignment horizontal="right" vertical="top"/>
    </xf>
    <xf numFmtId="4" fontId="72" fillId="35" borderId="51" xfId="0" applyNumberFormat="1" applyFont="1" applyFill="1" applyBorder="1" applyAlignment="1">
      <alignment horizontal="right" vertical="center"/>
    </xf>
    <xf numFmtId="4" fontId="0" fillId="0" borderId="51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top"/>
    </xf>
    <xf numFmtId="4" fontId="0" fillId="48" borderId="27" xfId="0" applyNumberFormat="1" applyFont="1" applyFill="1" applyBorder="1" applyAlignment="1">
      <alignment horizontal="right" vertical="top"/>
    </xf>
    <xf numFmtId="4" fontId="0" fillId="48" borderId="75" xfId="0" applyNumberFormat="1" applyFont="1" applyFill="1" applyBorder="1" applyAlignment="1">
      <alignment horizontal="right" vertical="top"/>
    </xf>
    <xf numFmtId="4" fontId="0" fillId="0" borderId="27" xfId="0" applyNumberFormat="1" applyFont="1" applyFill="1" applyBorder="1" applyAlignment="1">
      <alignment horizontal="right"/>
    </xf>
    <xf numFmtId="4" fontId="0" fillId="0" borderId="75" xfId="0" applyNumberFormat="1" applyFont="1" applyFill="1" applyBorder="1" applyAlignment="1">
      <alignment horizontal="right"/>
    </xf>
    <xf numFmtId="4" fontId="4" fillId="47" borderId="76" xfId="0" applyNumberFormat="1" applyFont="1" applyFill="1" applyBorder="1" applyAlignment="1">
      <alignment horizontal="right" vertical="top"/>
    </xf>
    <xf numFmtId="4" fontId="0" fillId="0" borderId="51" xfId="0" applyNumberFormat="1" applyFont="1" applyBorder="1" applyAlignment="1">
      <alignment horizontal="right"/>
    </xf>
    <xf numFmtId="4" fontId="0" fillId="0" borderId="102" xfId="0" applyNumberFormat="1" applyFont="1" applyFill="1" applyBorder="1" applyAlignment="1">
      <alignment horizontal="right" vertical="top"/>
    </xf>
    <xf numFmtId="4" fontId="0" fillId="47" borderId="0" xfId="0" applyNumberFormat="1" applyFont="1" applyFill="1" applyBorder="1" applyAlignment="1">
      <alignment horizontal="right"/>
    </xf>
    <xf numFmtId="4" fontId="75" fillId="42" borderId="76" xfId="0" applyNumberFormat="1" applyFont="1" applyFill="1" applyBorder="1" applyAlignment="1">
      <alignment horizontal="right" vertical="top"/>
    </xf>
    <xf numFmtId="4" fontId="0" fillId="0" borderId="76" xfId="0" applyNumberFormat="1" applyFont="1" applyBorder="1" applyAlignment="1">
      <alignment horizontal="right" vertical="top"/>
    </xf>
    <xf numFmtId="4" fontId="0" fillId="0" borderId="27" xfId="0" applyNumberFormat="1" applyFont="1" applyBorder="1" applyAlignment="1">
      <alignment horizontal="right"/>
    </xf>
    <xf numFmtId="4" fontId="0" fillId="0" borderId="75" xfId="0" applyNumberFormat="1" applyFont="1" applyFill="1" applyBorder="1" applyAlignment="1">
      <alignment horizontal="right" vertical="top"/>
    </xf>
    <xf numFmtId="4" fontId="4" fillId="47" borderId="51" xfId="0" applyNumberFormat="1" applyFont="1" applyFill="1" applyBorder="1" applyAlignment="1">
      <alignment horizontal="right" vertical="top" wrapText="1"/>
    </xf>
    <xf numFmtId="4" fontId="4" fillId="47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/>
    </xf>
    <xf numFmtId="4" fontId="0" fillId="0" borderId="76" xfId="0" applyNumberFormat="1" applyFont="1" applyFill="1" applyBorder="1" applyAlignment="1">
      <alignment horizontal="right" vertical="top"/>
    </xf>
    <xf numFmtId="4" fontId="4" fillId="0" borderId="51" xfId="0" applyNumberFormat="1" applyFont="1" applyFill="1" applyBorder="1" applyAlignment="1">
      <alignment horizontal="right" vertical="top" wrapText="1"/>
    </xf>
    <xf numFmtId="4" fontId="0" fillId="0" borderId="51" xfId="0" applyNumberFormat="1" applyFont="1" applyFill="1" applyBorder="1" applyAlignment="1">
      <alignment horizontal="right" vertical="center" wrapText="1"/>
    </xf>
    <xf numFmtId="4" fontId="75" fillId="42" borderId="51" xfId="0" applyNumberFormat="1" applyFont="1" applyFill="1" applyBorder="1" applyAlignment="1">
      <alignment horizontal="right" vertical="top"/>
    </xf>
    <xf numFmtId="4" fontId="0" fillId="0" borderId="75" xfId="0" applyNumberFormat="1" applyFont="1" applyFill="1" applyBorder="1" applyAlignment="1">
      <alignment horizontal="right" vertical="center"/>
    </xf>
    <xf numFmtId="4" fontId="0" fillId="0" borderId="44" xfId="0" applyNumberFormat="1" applyFont="1" applyFill="1" applyBorder="1" applyAlignment="1">
      <alignment horizontal="right" vertical="top"/>
    </xf>
    <xf numFmtId="4" fontId="4" fillId="47" borderId="51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top"/>
    </xf>
    <xf numFmtId="4" fontId="0" fillId="0" borderId="34" xfId="0" applyNumberFormat="1" applyFont="1" applyFill="1" applyBorder="1" applyAlignment="1">
      <alignment horizontal="right" vertical="top"/>
    </xf>
    <xf numFmtId="4" fontId="4" fillId="33" borderId="0" xfId="42" applyNumberFormat="1" applyFont="1" applyFill="1" applyBorder="1" applyAlignment="1">
      <alignment horizontal="right"/>
      <protection/>
    </xf>
    <xf numFmtId="4" fontId="4" fillId="33" borderId="57" xfId="42" applyNumberFormat="1" applyFont="1" applyFill="1" applyBorder="1" applyAlignment="1">
      <alignment horizontal="right"/>
      <protection/>
    </xf>
    <xf numFmtId="4" fontId="4" fillId="33" borderId="51" xfId="0" applyNumberFormat="1" applyFont="1" applyFill="1" applyBorder="1" applyAlignment="1">
      <alignment horizontal="right" vertical="top"/>
    </xf>
    <xf numFmtId="4" fontId="0" fillId="39" borderId="32" xfId="42" applyNumberFormat="1" applyFont="1" applyFill="1" applyBorder="1" applyAlignment="1">
      <alignment horizontal="right"/>
      <protection/>
    </xf>
    <xf numFmtId="4" fontId="0" fillId="0" borderId="32" xfId="0" applyNumberFormat="1" applyFont="1" applyFill="1" applyBorder="1" applyAlignment="1">
      <alignment horizontal="right"/>
    </xf>
    <xf numFmtId="4" fontId="0" fillId="0" borderId="7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 vertical="top"/>
    </xf>
    <xf numFmtId="4" fontId="0" fillId="39" borderId="103" xfId="42" applyNumberFormat="1" applyFont="1" applyFill="1" applyBorder="1" applyAlignment="1">
      <alignment horizontal="right"/>
      <protection/>
    </xf>
    <xf numFmtId="4" fontId="75" fillId="47" borderId="16" xfId="0" applyNumberFormat="1" applyFont="1" applyFill="1" applyBorder="1" applyAlignment="1">
      <alignment horizontal="right" vertical="top"/>
    </xf>
    <xf numFmtId="4" fontId="0" fillId="0" borderId="68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172" fontId="0" fillId="0" borderId="100" xfId="45" applyNumberFormat="1" applyFont="1" applyFill="1" applyBorder="1" applyAlignment="1">
      <alignment horizontal="right"/>
      <protection/>
    </xf>
    <xf numFmtId="172" fontId="0" fillId="0" borderId="100" xfId="45" applyNumberFormat="1" applyFont="1" applyBorder="1" applyAlignment="1">
      <alignment horizontal="right"/>
      <protection/>
    </xf>
    <xf numFmtId="0" fontId="27" fillId="0" borderId="104" xfId="0" applyFont="1" applyBorder="1" applyAlignment="1">
      <alignment horizontal="center" vertical="center" wrapText="1"/>
    </xf>
    <xf numFmtId="0" fontId="27" fillId="0" borderId="105" xfId="0" applyFont="1" applyBorder="1" applyAlignment="1">
      <alignment horizontal="center" vertical="center" wrapText="1"/>
    </xf>
    <xf numFmtId="0" fontId="27" fillId="0" borderId="106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6" xfId="0" applyNumberFormat="1" applyFont="1" applyFill="1" applyBorder="1" applyAlignment="1">
      <alignment horizontal="right" vertical="center" wrapText="1"/>
    </xf>
    <xf numFmtId="0" fontId="27" fillId="0" borderId="104" xfId="0" applyFont="1" applyBorder="1" applyAlignment="1">
      <alignment horizontal="center" vertical="center"/>
    </xf>
    <xf numFmtId="0" fontId="27" fillId="0" borderId="105" xfId="0" applyFont="1" applyBorder="1" applyAlignment="1">
      <alignment horizontal="left"/>
    </xf>
    <xf numFmtId="4" fontId="27" fillId="0" borderId="106" xfId="0" applyNumberFormat="1" applyFont="1" applyFill="1" applyBorder="1" applyAlignment="1">
      <alignment/>
    </xf>
    <xf numFmtId="0" fontId="28" fillId="0" borderId="107" xfId="0" applyFont="1" applyBorder="1" applyAlignment="1">
      <alignment horizontal="center" vertical="center"/>
    </xf>
    <xf numFmtId="0" fontId="28" fillId="0" borderId="84" xfId="0" applyFont="1" applyBorder="1" applyAlignment="1">
      <alignment/>
    </xf>
    <xf numFmtId="4" fontId="28" fillId="0" borderId="84" xfId="0" applyNumberFormat="1" applyFont="1" applyFill="1" applyBorder="1" applyAlignment="1">
      <alignment/>
    </xf>
    <xf numFmtId="4" fontId="28" fillId="0" borderId="108" xfId="0" applyNumberFormat="1" applyFont="1" applyFill="1" applyBorder="1" applyAlignment="1">
      <alignment horizontal="right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/>
    </xf>
    <xf numFmtId="4" fontId="28" fillId="0" borderId="16" xfId="0" applyNumberFormat="1" applyFont="1" applyFill="1" applyBorder="1" applyAlignment="1">
      <alignment/>
    </xf>
    <xf numFmtId="4" fontId="28" fillId="0" borderId="18" xfId="0" applyNumberFormat="1" applyFont="1" applyFill="1" applyBorder="1" applyAlignment="1">
      <alignment horizontal="right" vertical="center" wrapText="1"/>
    </xf>
    <xf numFmtId="0" fontId="28" fillId="0" borderId="40" xfId="0" applyFont="1" applyBorder="1" applyAlignment="1">
      <alignment horizontal="center" vertical="center"/>
    </xf>
    <xf numFmtId="0" fontId="28" fillId="0" borderId="25" xfId="0" applyFont="1" applyBorder="1" applyAlignment="1">
      <alignment/>
    </xf>
    <xf numFmtId="4" fontId="28" fillId="0" borderId="25" xfId="0" applyNumberFormat="1" applyFont="1" applyFill="1" applyBorder="1" applyAlignment="1">
      <alignment/>
    </xf>
    <xf numFmtId="4" fontId="28" fillId="0" borderId="20" xfId="0" applyNumberFormat="1" applyFont="1" applyFill="1" applyBorder="1" applyAlignment="1">
      <alignment horizontal="right" vertical="center" wrapText="1"/>
    </xf>
    <xf numFmtId="0" fontId="27" fillId="0" borderId="105" xfId="0" applyFont="1" applyBorder="1" applyAlignment="1">
      <alignment/>
    </xf>
    <xf numFmtId="4" fontId="27" fillId="0" borderId="105" xfId="0" applyNumberFormat="1" applyFont="1" applyFill="1" applyBorder="1" applyAlignment="1">
      <alignment/>
    </xf>
    <xf numFmtId="0" fontId="27" fillId="0" borderId="105" xfId="0" applyFont="1" applyBorder="1" applyAlignment="1">
      <alignment/>
    </xf>
    <xf numFmtId="0" fontId="28" fillId="0" borderId="109" xfId="0" applyFont="1" applyBorder="1" applyAlignment="1">
      <alignment horizontal="center" vertical="center"/>
    </xf>
    <xf numFmtId="0" fontId="28" fillId="0" borderId="48" xfId="0" applyFont="1" applyBorder="1" applyAlignment="1">
      <alignment/>
    </xf>
    <xf numFmtId="4" fontId="28" fillId="0" borderId="48" xfId="0" applyNumberFormat="1" applyFont="1" applyFill="1" applyBorder="1" applyAlignment="1">
      <alignment/>
    </xf>
    <xf numFmtId="4" fontId="28" fillId="0" borderId="106" xfId="0" applyNumberFormat="1" applyFont="1" applyFill="1" applyBorder="1" applyAlignment="1">
      <alignment horizontal="right" vertical="center" wrapText="1"/>
    </xf>
    <xf numFmtId="0" fontId="27" fillId="0" borderId="105" xfId="0" applyFont="1" applyFill="1" applyBorder="1" applyAlignment="1">
      <alignment/>
    </xf>
    <xf numFmtId="0" fontId="28" fillId="0" borderId="110" xfId="0" applyFont="1" applyBorder="1" applyAlignment="1">
      <alignment horizontal="center" vertical="center"/>
    </xf>
    <xf numFmtId="0" fontId="28" fillId="0" borderId="47" xfId="0" applyFont="1" applyBorder="1" applyAlignment="1">
      <alignment/>
    </xf>
    <xf numFmtId="4" fontId="28" fillId="0" borderId="47" xfId="0" applyNumberFormat="1" applyFont="1" applyFill="1" applyBorder="1" applyAlignment="1">
      <alignment/>
    </xf>
    <xf numFmtId="0" fontId="28" fillId="0" borderId="110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/>
    </xf>
    <xf numFmtId="0" fontId="28" fillId="0" borderId="16" xfId="0" applyFont="1" applyBorder="1" applyAlignment="1">
      <alignment vertical="top"/>
    </xf>
    <xf numFmtId="4" fontId="28" fillId="0" borderId="16" xfId="0" applyNumberFormat="1" applyFont="1" applyBorder="1" applyAlignment="1">
      <alignment/>
    </xf>
    <xf numFmtId="0" fontId="28" fillId="0" borderId="37" xfId="0" applyFont="1" applyBorder="1" applyAlignment="1">
      <alignment/>
    </xf>
    <xf numFmtId="4" fontId="28" fillId="0" borderId="36" xfId="0" applyNumberFormat="1" applyFont="1" applyFill="1" applyBorder="1" applyAlignment="1">
      <alignment/>
    </xf>
    <xf numFmtId="0" fontId="27" fillId="0" borderId="111" xfId="0" applyFont="1" applyBorder="1" applyAlignment="1">
      <alignment/>
    </xf>
    <xf numFmtId="4" fontId="27" fillId="0" borderId="111" xfId="0" applyNumberFormat="1" applyFont="1" applyFill="1" applyBorder="1" applyAlignment="1">
      <alignment/>
    </xf>
    <xf numFmtId="0" fontId="28" fillId="0" borderId="112" xfId="0" applyFont="1" applyBorder="1" applyAlignment="1">
      <alignment/>
    </xf>
    <xf numFmtId="4" fontId="28" fillId="0" borderId="112" xfId="0" applyNumberFormat="1" applyFont="1" applyFill="1" applyBorder="1" applyAlignment="1">
      <alignment/>
    </xf>
    <xf numFmtId="4" fontId="27" fillId="0" borderId="12" xfId="0" applyNumberFormat="1" applyFont="1" applyFill="1" applyBorder="1" applyAlignment="1">
      <alignment/>
    </xf>
    <xf numFmtId="0" fontId="27" fillId="43" borderId="16" xfId="60" applyFont="1" applyFill="1" applyBorder="1" applyAlignment="1">
      <alignment horizontal="center" vertical="center" wrapText="1"/>
      <protection/>
    </xf>
    <xf numFmtId="49" fontId="29" fillId="0" borderId="16" xfId="60" applyNumberFormat="1" applyFont="1" applyFill="1" applyBorder="1" applyAlignment="1">
      <alignment horizontal="center" vertical="center" wrapText="1"/>
      <protection/>
    </xf>
    <xf numFmtId="0" fontId="29" fillId="0" borderId="16" xfId="42" applyNumberFormat="1" applyFont="1" applyFill="1" applyBorder="1" applyAlignment="1">
      <alignment horizontal="center" vertical="center" wrapText="1"/>
      <protection/>
    </xf>
    <xf numFmtId="10" fontId="29" fillId="0" borderId="16" xfId="60" applyNumberFormat="1" applyFont="1" applyFill="1" applyBorder="1" applyAlignment="1">
      <alignment horizontal="center" vertical="center" wrapText="1"/>
      <protection/>
    </xf>
    <xf numFmtId="0" fontId="29" fillId="0" borderId="16" xfId="60" applyNumberFormat="1" applyFont="1" applyFill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/>
    </xf>
    <xf numFmtId="49" fontId="31" fillId="39" borderId="16" xfId="0" applyNumberFormat="1" applyFont="1" applyFill="1" applyBorder="1" applyAlignment="1" applyProtection="1">
      <alignment horizontal="center" vertical="top"/>
      <protection/>
    </xf>
    <xf numFmtId="49" fontId="31" fillId="39" borderId="16" xfId="0" applyNumberFormat="1" applyFont="1" applyFill="1" applyBorder="1" applyAlignment="1" applyProtection="1">
      <alignment horizontal="left" vertical="top"/>
      <protection/>
    </xf>
    <xf numFmtId="0" fontId="31" fillId="39" borderId="16" xfId="0" applyFont="1" applyFill="1" applyBorder="1" applyAlignment="1" applyProtection="1">
      <alignment horizontal="left" vertical="top"/>
      <protection/>
    </xf>
    <xf numFmtId="3" fontId="31" fillId="39" borderId="16" xfId="42" applyNumberFormat="1" applyFont="1" applyFill="1" applyBorder="1" applyAlignment="1">
      <alignment vertical="center"/>
      <protection/>
    </xf>
    <xf numFmtId="10" fontId="31" fillId="52" borderId="16" xfId="42" applyNumberFormat="1" applyFont="1" applyFill="1" applyBorder="1" applyAlignment="1">
      <alignment vertical="center"/>
      <protection/>
    </xf>
    <xf numFmtId="0" fontId="30" fillId="39" borderId="16" xfId="0" applyFont="1" applyFill="1" applyBorder="1" applyAlignment="1">
      <alignment vertical="center"/>
    </xf>
    <xf numFmtId="0" fontId="30" fillId="0" borderId="16" xfId="0" applyFont="1" applyFill="1" applyBorder="1" applyAlignment="1" applyProtection="1">
      <alignment horizontal="left"/>
      <protection/>
    </xf>
    <xf numFmtId="3" fontId="30" fillId="0" borderId="16" xfId="42" applyNumberFormat="1" applyFont="1" applyBorder="1" applyAlignment="1">
      <alignment vertical="center"/>
      <protection/>
    </xf>
    <xf numFmtId="0" fontId="30" fillId="0" borderId="16" xfId="0" applyFont="1" applyBorder="1" applyAlignment="1">
      <alignment vertical="center"/>
    </xf>
    <xf numFmtId="3" fontId="30" fillId="0" borderId="16" xfId="0" applyNumberFormat="1" applyFont="1" applyBorder="1" applyAlignment="1">
      <alignment vertical="center"/>
    </xf>
    <xf numFmtId="3" fontId="30" fillId="0" borderId="16" xfId="42" applyNumberFormat="1" applyFont="1" applyFill="1" applyBorder="1" applyAlignment="1" applyProtection="1">
      <alignment vertical="center"/>
      <protection/>
    </xf>
    <xf numFmtId="3" fontId="30" fillId="0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left"/>
    </xf>
    <xf numFmtId="0" fontId="28" fillId="0" borderId="16" xfId="0" applyFont="1" applyFill="1" applyBorder="1" applyAlignment="1">
      <alignment vertical="top" wrapText="1"/>
    </xf>
    <xf numFmtId="4" fontId="28" fillId="0" borderId="16" xfId="0" applyNumberFormat="1" applyFont="1" applyFill="1" applyBorder="1" applyAlignment="1">
      <alignment vertical="top"/>
    </xf>
    <xf numFmtId="4" fontId="30" fillId="0" borderId="16" xfId="0" applyNumberFormat="1" applyFont="1" applyFill="1" applyBorder="1" applyAlignment="1" applyProtection="1">
      <alignment horizontal="left"/>
      <protection/>
    </xf>
    <xf numFmtId="0" fontId="30" fillId="0" borderId="16" xfId="0" applyFont="1" applyFill="1" applyBorder="1" applyAlignment="1" applyProtection="1">
      <alignment horizontal="left" wrapText="1"/>
      <protection/>
    </xf>
    <xf numFmtId="3" fontId="31" fillId="39" borderId="16" xfId="0" applyNumberFormat="1" applyFont="1" applyFill="1" applyBorder="1" applyAlignment="1">
      <alignment vertical="center"/>
    </xf>
    <xf numFmtId="0" fontId="31" fillId="39" borderId="16" xfId="0" applyFont="1" applyFill="1" applyBorder="1" applyAlignment="1">
      <alignment vertical="center"/>
    </xf>
    <xf numFmtId="49" fontId="30" fillId="0" borderId="16" xfId="0" applyNumberFormat="1" applyFont="1" applyBorder="1" applyAlignment="1" applyProtection="1">
      <alignment horizontal="center" vertical="center"/>
      <protection/>
    </xf>
    <xf numFmtId="0" fontId="30" fillId="0" borderId="16" xfId="0" applyFont="1" applyFill="1" applyBorder="1" applyAlignment="1" applyProtection="1">
      <alignment horizontal="left" vertical="top"/>
      <protection/>
    </xf>
    <xf numFmtId="49" fontId="30" fillId="0" borderId="16" xfId="0" applyNumberFormat="1" applyFont="1" applyBorder="1" applyAlignment="1" applyProtection="1">
      <alignment horizontal="center" vertical="top"/>
      <protection/>
    </xf>
    <xf numFmtId="0" fontId="30" fillId="0" borderId="16" xfId="0" applyFont="1" applyFill="1" applyBorder="1" applyAlignment="1" applyProtection="1">
      <alignment horizontal="center" vertical="top"/>
      <protection/>
    </xf>
    <xf numFmtId="3" fontId="31" fillId="39" borderId="16" xfId="42" applyNumberFormat="1" applyFont="1" applyFill="1" applyBorder="1" applyAlignment="1" applyProtection="1">
      <alignment vertical="center"/>
      <protection/>
    </xf>
    <xf numFmtId="0" fontId="30" fillId="0" borderId="16" xfId="0" applyFont="1" applyFill="1" applyBorder="1" applyAlignment="1">
      <alignment vertical="center"/>
    </xf>
    <xf numFmtId="0" fontId="30" fillId="0" borderId="16" xfId="0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Fill="1" applyBorder="1" applyAlignment="1" applyProtection="1">
      <alignment horizontal="left" vertical="center"/>
      <protection/>
    </xf>
    <xf numFmtId="0" fontId="30" fillId="0" borderId="16" xfId="0" applyFont="1" applyBorder="1" applyAlignment="1">
      <alignment vertical="center" wrapText="1"/>
    </xf>
    <xf numFmtId="0" fontId="30" fillId="0" borderId="16" xfId="0" applyFont="1" applyBorder="1" applyAlignment="1">
      <alignment/>
    </xf>
    <xf numFmtId="0" fontId="30" fillId="0" borderId="16" xfId="0" applyFont="1" applyBorder="1" applyAlignment="1" applyProtection="1">
      <alignment horizontal="left" vertical="top"/>
      <protection/>
    </xf>
    <xf numFmtId="3" fontId="30" fillId="0" borderId="16" xfId="42" applyNumberFormat="1" applyFont="1" applyFill="1" applyBorder="1" applyAlignment="1">
      <alignment vertical="center"/>
      <protection/>
    </xf>
    <xf numFmtId="0" fontId="30" fillId="0" borderId="16" xfId="0" applyFont="1" applyFill="1" applyBorder="1" applyAlignment="1" applyProtection="1">
      <alignment horizontal="left" vertical="top" wrapText="1"/>
      <protection/>
    </xf>
    <xf numFmtId="0" fontId="30" fillId="0" borderId="16" xfId="0" applyFont="1" applyFill="1" applyBorder="1" applyAlignment="1" applyProtection="1">
      <alignment horizontal="center"/>
      <protection/>
    </xf>
    <xf numFmtId="3" fontId="28" fillId="0" borderId="16" xfId="0" applyNumberFormat="1" applyFont="1" applyFill="1" applyBorder="1" applyAlignment="1">
      <alignment vertical="top"/>
    </xf>
    <xf numFmtId="49" fontId="30" fillId="0" borderId="16" xfId="0" applyNumberFormat="1" applyFont="1" applyFill="1" applyBorder="1" applyAlignment="1" applyProtection="1">
      <alignment horizontal="center" vertical="top"/>
      <protection/>
    </xf>
    <xf numFmtId="0" fontId="30" fillId="0" borderId="16" xfId="0" applyFont="1" applyBorder="1" applyAlignment="1" applyProtection="1">
      <alignment horizontal="left" vertical="top" wrapText="1"/>
      <protection/>
    </xf>
    <xf numFmtId="0" fontId="30" fillId="0" borderId="16" xfId="0" applyFont="1" applyBorder="1" applyAlignment="1">
      <alignment horizontal="left" wrapText="1"/>
    </xf>
    <xf numFmtId="4" fontId="30" fillId="0" borderId="16" xfId="42" applyNumberFormat="1" applyFont="1" applyFill="1" applyBorder="1" applyAlignment="1">
      <alignment vertical="center"/>
      <protection/>
    </xf>
    <xf numFmtId="0" fontId="27" fillId="43" borderId="16" xfId="60" applyFont="1" applyFill="1" applyBorder="1" applyAlignment="1">
      <alignment horizontal="left" vertical="center" wrapText="1"/>
      <protection/>
    </xf>
    <xf numFmtId="3" fontId="27" fillId="43" borderId="16" xfId="42" applyNumberFormat="1" applyFont="1" applyFill="1" applyBorder="1" applyAlignment="1">
      <alignment vertical="center" wrapText="1"/>
      <protection/>
    </xf>
    <xf numFmtId="10" fontId="27" fillId="43" borderId="16" xfId="60" applyNumberFormat="1" applyFont="1" applyFill="1" applyBorder="1" applyAlignment="1">
      <alignment vertical="center" wrapText="1"/>
      <protection/>
    </xf>
    <xf numFmtId="4" fontId="0" fillId="47" borderId="51" xfId="0" applyNumberFormat="1" applyFont="1" applyFill="1" applyBorder="1" applyAlignment="1">
      <alignment horizontal="right"/>
    </xf>
    <xf numFmtId="0" fontId="0" fillId="48" borderId="84" xfId="42" applyFont="1" applyFill="1" applyBorder="1" applyAlignment="1">
      <alignment horizontal="center"/>
      <protection/>
    </xf>
    <xf numFmtId="0" fontId="0" fillId="0" borderId="25" xfId="42" applyFont="1" applyFill="1" applyBorder="1" applyAlignment="1">
      <alignment horizontal="center"/>
      <protection/>
    </xf>
    <xf numFmtId="0" fontId="0" fillId="0" borderId="25" xfId="0" applyFont="1" applyBorder="1" applyAlignment="1">
      <alignment vertical="top"/>
    </xf>
    <xf numFmtId="0" fontId="0" fillId="0" borderId="41" xfId="0" applyFont="1" applyBorder="1" applyAlignment="1">
      <alignment/>
    </xf>
    <xf numFmtId="49" fontId="0" fillId="48" borderId="84" xfId="42" applyNumberFormat="1" applyFont="1" applyFill="1" applyBorder="1" applyAlignment="1">
      <alignment horizontal="center"/>
      <protection/>
    </xf>
    <xf numFmtId="49" fontId="0" fillId="47" borderId="48" xfId="42" applyNumberFormat="1" applyFont="1" applyFill="1" applyBorder="1" applyAlignment="1">
      <alignment horizontal="center"/>
      <protection/>
    </xf>
    <xf numFmtId="0" fontId="0" fillId="47" borderId="48" xfId="42" applyFont="1" applyFill="1" applyBorder="1" applyAlignment="1">
      <alignment horizontal="center"/>
      <protection/>
    </xf>
    <xf numFmtId="0" fontId="0" fillId="47" borderId="25" xfId="42" applyFont="1" applyFill="1" applyBorder="1" applyAlignment="1">
      <alignment horizontal="center"/>
      <protection/>
    </xf>
    <xf numFmtId="4" fontId="4" fillId="42" borderId="84" xfId="42" applyNumberFormat="1" applyFont="1" applyFill="1" applyBorder="1" applyAlignment="1">
      <alignment horizontal="right" vertical="center"/>
      <protection/>
    </xf>
    <xf numFmtId="49" fontId="0" fillId="48" borderId="16" xfId="42" applyNumberFormat="1" applyFont="1" applyFill="1" applyBorder="1" applyAlignment="1">
      <alignment horizontal="center"/>
      <protection/>
    </xf>
    <xf numFmtId="4" fontId="0" fillId="48" borderId="16" xfId="0" applyNumberFormat="1" applyFont="1" applyFill="1" applyBorder="1" applyAlignment="1">
      <alignment horizontal="right"/>
    </xf>
    <xf numFmtId="4" fontId="0" fillId="48" borderId="16" xfId="46" applyNumberFormat="1" applyFont="1" applyFill="1" applyBorder="1" applyAlignment="1" applyProtection="1">
      <alignment horizontal="right" vertical="top"/>
      <protection locked="0"/>
    </xf>
    <xf numFmtId="4" fontId="0" fillId="48" borderId="16" xfId="42" applyNumberFormat="1" applyFont="1" applyFill="1" applyBorder="1" applyAlignment="1">
      <alignment horizontal="right" vertical="top"/>
      <protection/>
    </xf>
    <xf numFmtId="4" fontId="4" fillId="47" borderId="25" xfId="0" applyNumberFormat="1" applyFont="1" applyFill="1" applyBorder="1" applyAlignment="1">
      <alignment horizontal="right" vertical="center"/>
    </xf>
    <xf numFmtId="4" fontId="4" fillId="47" borderId="76" xfId="46" applyNumberFormat="1" applyFont="1" applyFill="1" applyBorder="1" applyAlignment="1" applyProtection="1">
      <alignment horizontal="right" vertical="center"/>
      <protection locked="0"/>
    </xf>
    <xf numFmtId="4" fontId="4" fillId="47" borderId="76" xfId="42" applyNumberFormat="1" applyFont="1" applyFill="1" applyBorder="1" applyAlignment="1">
      <alignment horizontal="right" vertical="center"/>
      <protection/>
    </xf>
    <xf numFmtId="4" fontId="4" fillId="47" borderId="0" xfId="46" applyNumberFormat="1" applyFont="1" applyFill="1" applyBorder="1" applyAlignment="1" applyProtection="1">
      <alignment horizontal="right" vertical="center"/>
      <protection locked="0"/>
    </xf>
    <xf numFmtId="4" fontId="4" fillId="47" borderId="25" xfId="42" applyNumberFormat="1" applyFont="1" applyFill="1" applyBorder="1" applyAlignment="1" applyProtection="1">
      <alignment horizontal="right" vertical="center"/>
      <protection locked="0"/>
    </xf>
    <xf numFmtId="4" fontId="4" fillId="48" borderId="16" xfId="0" applyNumberFormat="1" applyFont="1" applyFill="1" applyBorder="1" applyAlignment="1">
      <alignment horizontal="right"/>
    </xf>
    <xf numFmtId="4" fontId="4" fillId="48" borderId="16" xfId="46" applyNumberFormat="1" applyFont="1" applyFill="1" applyBorder="1" applyAlignment="1" applyProtection="1">
      <alignment horizontal="right" vertical="top"/>
      <protection locked="0"/>
    </xf>
    <xf numFmtId="4" fontId="4" fillId="48" borderId="16" xfId="42" applyNumberFormat="1" applyFont="1" applyFill="1" applyBorder="1" applyAlignment="1" applyProtection="1">
      <alignment horizontal="right" vertical="center"/>
      <protection locked="0"/>
    </xf>
    <xf numFmtId="0" fontId="4" fillId="48" borderId="16" xfId="42" applyFont="1" applyFill="1" applyBorder="1" applyAlignment="1">
      <alignment horizontal="center"/>
      <protection/>
    </xf>
    <xf numFmtId="49" fontId="0" fillId="0" borderId="48" xfId="42" applyNumberFormat="1" applyFont="1" applyFill="1" applyBorder="1" applyAlignment="1">
      <alignment horizontal="center"/>
      <protection/>
    </xf>
    <xf numFmtId="4" fontId="4" fillId="47" borderId="16" xfId="42" applyNumberFormat="1" applyFont="1" applyFill="1" applyBorder="1" applyAlignment="1" applyProtection="1">
      <alignment horizontal="right" vertical="center"/>
      <protection locked="0"/>
    </xf>
    <xf numFmtId="4" fontId="4" fillId="47" borderId="57" xfId="0" applyNumberFormat="1" applyFont="1" applyFill="1" applyBorder="1" applyAlignment="1">
      <alignment horizontal="right" vertical="top"/>
    </xf>
    <xf numFmtId="4" fontId="4" fillId="47" borderId="16" xfId="0" applyNumberFormat="1" applyFont="1" applyFill="1" applyBorder="1" applyAlignment="1">
      <alignment horizontal="right" vertical="center"/>
    </xf>
    <xf numFmtId="4" fontId="0" fillId="48" borderId="64" xfId="46" applyNumberFormat="1" applyFont="1" applyFill="1" applyBorder="1" applyAlignment="1" applyProtection="1">
      <alignment horizontal="right" vertical="top"/>
      <protection locked="0"/>
    </xf>
    <xf numFmtId="4" fontId="0" fillId="48" borderId="16" xfId="0" applyNumberFormat="1" applyFont="1" applyFill="1" applyBorder="1" applyAlignment="1">
      <alignment horizontal="right" vertical="top"/>
    </xf>
    <xf numFmtId="0" fontId="72" fillId="35" borderId="60" xfId="42" applyFont="1" applyFill="1" applyBorder="1" applyAlignment="1">
      <alignment horizontal="center"/>
      <protection/>
    </xf>
    <xf numFmtId="0" fontId="0" fillId="48" borderId="16" xfId="0" applyFont="1" applyFill="1" applyBorder="1" applyAlignment="1">
      <alignment/>
    </xf>
    <xf numFmtId="0" fontId="0" fillId="48" borderId="16" xfId="0" applyFont="1" applyFill="1" applyBorder="1" applyAlignment="1">
      <alignment horizontal="left" vertical="top"/>
    </xf>
    <xf numFmtId="4" fontId="0" fillId="0" borderId="77" xfId="46" applyNumberFormat="1" applyFont="1" applyFill="1" applyBorder="1" applyAlignment="1" applyProtection="1">
      <alignment horizontal="right" vertical="top"/>
      <protection locked="0"/>
    </xf>
    <xf numFmtId="4" fontId="4" fillId="47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49" fontId="0" fillId="0" borderId="0" xfId="42" applyNumberFormat="1" applyFont="1" applyFill="1" applyBorder="1" applyAlignment="1">
      <alignment horizontal="center" vertical="top"/>
      <protection/>
    </xf>
    <xf numFmtId="0" fontId="4" fillId="0" borderId="75" xfId="0" applyFont="1" applyFill="1" applyBorder="1" applyAlignment="1">
      <alignment/>
    </xf>
    <xf numFmtId="49" fontId="4" fillId="0" borderId="28" xfId="42" applyNumberFormat="1" applyFont="1" applyFill="1" applyBorder="1" applyAlignment="1">
      <alignment horizontal="center"/>
      <protection/>
    </xf>
    <xf numFmtId="0" fontId="4" fillId="0" borderId="16" xfId="42" applyFont="1" applyFill="1" applyBorder="1" applyAlignment="1">
      <alignment horizontal="center"/>
      <protection/>
    </xf>
    <xf numFmtId="0" fontId="4" fillId="0" borderId="32" xfId="42" applyFont="1" applyFill="1" applyBorder="1" applyAlignment="1">
      <alignment horizontal="center"/>
      <protection/>
    </xf>
    <xf numFmtId="4" fontId="0" fillId="0" borderId="34" xfId="42" applyNumberFormat="1" applyFont="1" applyFill="1" applyBorder="1" applyAlignment="1">
      <alignment horizontal="right" vertical="top"/>
      <protection/>
    </xf>
    <xf numFmtId="4" fontId="0" fillId="0" borderId="103" xfId="42" applyNumberFormat="1" applyFont="1" applyFill="1" applyBorder="1" applyAlignment="1">
      <alignment horizontal="right" vertical="top"/>
      <protection/>
    </xf>
    <xf numFmtId="4" fontId="0" fillId="0" borderId="16" xfId="0" applyNumberFormat="1" applyFont="1" applyBorder="1" applyAlignment="1">
      <alignment horizontal="right"/>
    </xf>
    <xf numFmtId="4" fontId="75" fillId="42" borderId="16" xfId="0" applyNumberFormat="1" applyFont="1" applyFill="1" applyBorder="1" applyAlignment="1">
      <alignment horizontal="right" vertical="top"/>
    </xf>
    <xf numFmtId="0" fontId="4" fillId="0" borderId="60" xfId="42" applyFont="1" applyFill="1" applyBorder="1" applyAlignment="1">
      <alignment horizontal="center"/>
      <protection/>
    </xf>
    <xf numFmtId="4" fontId="75" fillId="42" borderId="0" xfId="0" applyNumberFormat="1" applyFont="1" applyFill="1" applyBorder="1" applyAlignment="1">
      <alignment horizontal="right" vertical="top"/>
    </xf>
    <xf numFmtId="4" fontId="0" fillId="0" borderId="68" xfId="0" applyNumberFormat="1" applyFont="1" applyFill="1" applyBorder="1" applyAlignment="1">
      <alignment horizontal="right" vertical="top"/>
    </xf>
    <xf numFmtId="4" fontId="4" fillId="0" borderId="76" xfId="0" applyNumberFormat="1" applyFont="1" applyFill="1" applyBorder="1" applyAlignment="1">
      <alignment horizontal="right" vertical="top" wrapText="1"/>
    </xf>
    <xf numFmtId="0" fontId="0" fillId="0" borderId="32" xfId="0" applyFont="1" applyFill="1" applyBorder="1" applyAlignment="1">
      <alignment horizontal="left"/>
    </xf>
    <xf numFmtId="0" fontId="0" fillId="48" borderId="0" xfId="0" applyFont="1" applyFill="1" applyBorder="1" applyAlignment="1">
      <alignment horizontal="left" vertical="top"/>
    </xf>
    <xf numFmtId="4" fontId="75" fillId="47" borderId="0" xfId="0" applyNumberFormat="1" applyFont="1" applyFill="1" applyBorder="1" applyAlignment="1">
      <alignment horizontal="right" vertical="top"/>
    </xf>
    <xf numFmtId="4" fontId="4" fillId="47" borderId="57" xfId="0" applyNumberFormat="1" applyFont="1" applyFill="1" applyBorder="1" applyAlignment="1">
      <alignment horizontal="right" vertical="top" wrapText="1"/>
    </xf>
    <xf numFmtId="4" fontId="0" fillId="39" borderId="27" xfId="42" applyNumberFormat="1" applyFont="1" applyFill="1" applyBorder="1" applyAlignment="1">
      <alignment horizontal="right" vertical="top"/>
      <protection/>
    </xf>
    <xf numFmtId="4" fontId="0" fillId="39" borderId="16" xfId="42" applyNumberFormat="1" applyFont="1" applyFill="1" applyBorder="1" applyAlignment="1">
      <alignment horizontal="right"/>
      <protection/>
    </xf>
    <xf numFmtId="4" fontId="4" fillId="47" borderId="16" xfId="0" applyNumberFormat="1" applyFont="1" applyFill="1" applyBorder="1" applyAlignment="1">
      <alignment horizontal="right" vertical="top" wrapText="1"/>
    </xf>
    <xf numFmtId="4" fontId="4" fillId="33" borderId="57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0" fillId="0" borderId="26" xfId="0" applyNumberFormat="1" applyFont="1" applyFill="1" applyBorder="1" applyAlignment="1">
      <alignment horizontal="right" vertical="top"/>
    </xf>
    <xf numFmtId="4" fontId="0" fillId="0" borderId="49" xfId="0" applyNumberFormat="1" applyFont="1" applyFill="1" applyBorder="1" applyAlignment="1">
      <alignment horizontal="right" vertical="top"/>
    </xf>
    <xf numFmtId="4" fontId="4" fillId="33" borderId="16" xfId="42" applyNumberFormat="1" applyFont="1" applyFill="1" applyBorder="1" applyAlignment="1">
      <alignment horizontal="right"/>
      <protection/>
    </xf>
    <xf numFmtId="4" fontId="0" fillId="48" borderId="32" xfId="0" applyNumberFormat="1" applyFont="1" applyFill="1" applyBorder="1" applyAlignment="1">
      <alignment horizontal="right" vertical="top"/>
    </xf>
    <xf numFmtId="4" fontId="4" fillId="0" borderId="57" xfId="0" applyNumberFormat="1" applyFont="1" applyFill="1" applyBorder="1" applyAlignment="1">
      <alignment horizontal="right" vertical="top"/>
    </xf>
    <xf numFmtId="4" fontId="75" fillId="42" borderId="84" xfId="0" applyNumberFormat="1" applyFont="1" applyFill="1" applyBorder="1" applyAlignment="1">
      <alignment horizontal="right" vertical="top"/>
    </xf>
    <xf numFmtId="4" fontId="0" fillId="0" borderId="76" xfId="0" applyNumberFormat="1" applyFont="1" applyBorder="1" applyAlignment="1">
      <alignment horizontal="right"/>
    </xf>
    <xf numFmtId="4" fontId="4" fillId="0" borderId="76" xfId="0" applyNumberFormat="1" applyFont="1" applyFill="1" applyBorder="1" applyAlignment="1">
      <alignment horizontal="right" vertical="top"/>
    </xf>
    <xf numFmtId="4" fontId="4" fillId="0" borderId="48" xfId="0" applyNumberFormat="1" applyFont="1" applyFill="1" applyBorder="1" applyAlignment="1">
      <alignment horizontal="right" vertical="top"/>
    </xf>
    <xf numFmtId="4" fontId="4" fillId="34" borderId="113" xfId="42" applyNumberFormat="1" applyFont="1" applyFill="1" applyBorder="1" applyAlignment="1">
      <alignment horizontal="right" vertical="top"/>
      <protection/>
    </xf>
    <xf numFmtId="4" fontId="4" fillId="47" borderId="76" xfId="0" applyNumberFormat="1" applyFont="1" applyFill="1" applyBorder="1" applyAlignment="1">
      <alignment horizontal="right" vertical="top" wrapText="1"/>
    </xf>
    <xf numFmtId="4" fontId="0" fillId="47" borderId="25" xfId="0" applyNumberFormat="1" applyFont="1" applyFill="1" applyBorder="1" applyAlignment="1">
      <alignment horizontal="right" vertical="top"/>
    </xf>
    <xf numFmtId="0" fontId="0" fillId="0" borderId="16" xfId="0" applyFont="1" applyBorder="1" applyAlignment="1">
      <alignment vertical="top"/>
    </xf>
    <xf numFmtId="4" fontId="0" fillId="47" borderId="76" xfId="0" applyNumberFormat="1" applyFont="1" applyFill="1" applyBorder="1" applyAlignment="1">
      <alignment horizontal="right"/>
    </xf>
    <xf numFmtId="4" fontId="0" fillId="47" borderId="16" xfId="0" applyNumberFormat="1" applyFont="1" applyFill="1" applyBorder="1" applyAlignment="1">
      <alignment horizontal="right"/>
    </xf>
    <xf numFmtId="4" fontId="0" fillId="39" borderId="57" xfId="42" applyNumberFormat="1" applyFont="1" applyFill="1" applyBorder="1" applyAlignment="1">
      <alignment horizontal="right"/>
      <protection/>
    </xf>
    <xf numFmtId="4" fontId="4" fillId="14" borderId="87" xfId="0" applyNumberFormat="1" applyFont="1" applyFill="1" applyBorder="1" applyAlignment="1">
      <alignment horizontal="center" vertical="center"/>
    </xf>
    <xf numFmtId="4" fontId="4" fillId="14" borderId="87" xfId="0" applyNumberFormat="1" applyFont="1" applyFill="1" applyBorder="1" applyAlignment="1">
      <alignment horizontal="center" vertical="center" wrapText="1"/>
    </xf>
    <xf numFmtId="4" fontId="0" fillId="34" borderId="51" xfId="42" applyNumberFormat="1" applyFont="1" applyFill="1" applyBorder="1" applyAlignment="1">
      <alignment horizontal="right" vertical="top"/>
      <protection/>
    </xf>
    <xf numFmtId="4" fontId="0" fillId="34" borderId="76" xfId="42" applyNumberFormat="1" applyFont="1" applyFill="1" applyBorder="1" applyAlignment="1">
      <alignment horizontal="right" vertical="top"/>
      <protection/>
    </xf>
    <xf numFmtId="10" fontId="4" fillId="0" borderId="55" xfId="64" applyNumberFormat="1" applyFont="1" applyFill="1" applyBorder="1" applyAlignment="1">
      <alignment horizontal="center" vertical="center" wrapText="1"/>
      <protection/>
    </xf>
    <xf numFmtId="0" fontId="4" fillId="45" borderId="114" xfId="0" applyFont="1" applyFill="1" applyBorder="1" applyAlignment="1">
      <alignment horizontal="center" vertical="center"/>
    </xf>
    <xf numFmtId="177" fontId="4" fillId="45" borderId="115" xfId="44" applyNumberFormat="1" applyFont="1" applyFill="1" applyBorder="1" applyAlignment="1" applyProtection="1">
      <alignment horizontal="right" vertical="center" wrapText="1"/>
      <protection/>
    </xf>
    <xf numFmtId="177" fontId="0" fillId="0" borderId="116" xfId="0" applyNumberFormat="1" applyFont="1" applyFill="1" applyBorder="1" applyAlignment="1">
      <alignment horizontal="center" vertical="center" wrapText="1"/>
    </xf>
    <xf numFmtId="10" fontId="4" fillId="44" borderId="116" xfId="64" applyNumberFormat="1" applyFont="1" applyFill="1" applyBorder="1" applyAlignment="1">
      <alignment horizontal="center" vertical="center" wrapText="1"/>
      <protection/>
    </xf>
    <xf numFmtId="177" fontId="4" fillId="45" borderId="16" xfId="44" applyNumberFormat="1" applyFont="1" applyFill="1" applyBorder="1" applyAlignment="1" applyProtection="1">
      <alignment horizontal="right" vertical="center" wrapText="1"/>
      <protection/>
    </xf>
    <xf numFmtId="10" fontId="4" fillId="53" borderId="16" xfId="64" applyNumberFormat="1" applyFont="1" applyFill="1" applyBorder="1" applyAlignment="1">
      <alignment horizontal="center" vertical="center" wrapText="1"/>
      <protection/>
    </xf>
    <xf numFmtId="10" fontId="31" fillId="0" borderId="16" xfId="42" applyNumberFormat="1" applyFont="1" applyFill="1" applyBorder="1" applyAlignment="1">
      <alignment vertical="center"/>
      <protection/>
    </xf>
    <xf numFmtId="3" fontId="30" fillId="0" borderId="16" xfId="0" applyNumberFormat="1" applyFont="1" applyFill="1" applyBorder="1" applyAlignment="1">
      <alignment vertical="center"/>
    </xf>
    <xf numFmtId="10" fontId="31" fillId="54" borderId="16" xfId="42" applyNumberFormat="1" applyFont="1" applyFill="1" applyBorder="1" applyAlignment="1">
      <alignment vertical="center"/>
      <protection/>
    </xf>
    <xf numFmtId="0" fontId="4" fillId="0" borderId="1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32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4" fillId="47" borderId="67" xfId="0" applyFont="1" applyFill="1" applyBorder="1" applyAlignment="1">
      <alignment vertical="top" wrapText="1"/>
    </xf>
    <xf numFmtId="0" fontId="4" fillId="47" borderId="118" xfId="0" applyFont="1" applyFill="1" applyBorder="1" applyAlignment="1">
      <alignment vertical="top"/>
    </xf>
    <xf numFmtId="0" fontId="4" fillId="47" borderId="119" xfId="0" applyFont="1" applyFill="1" applyBorder="1" applyAlignment="1">
      <alignment vertical="top"/>
    </xf>
    <xf numFmtId="0" fontId="4" fillId="42" borderId="67" xfId="0" applyFont="1" applyFill="1" applyBorder="1" applyAlignment="1">
      <alignment horizontal="left" vertical="top" wrapText="1"/>
    </xf>
    <xf numFmtId="0" fontId="4" fillId="42" borderId="118" xfId="0" applyFont="1" applyFill="1" applyBorder="1" applyAlignment="1">
      <alignment horizontal="left" vertical="top" wrapText="1"/>
    </xf>
    <xf numFmtId="0" fontId="4" fillId="42" borderId="119" xfId="0" applyFont="1" applyFill="1" applyBorder="1" applyAlignment="1">
      <alignment horizontal="left" vertical="top" wrapText="1"/>
    </xf>
    <xf numFmtId="0" fontId="4" fillId="0" borderId="120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9" borderId="28" xfId="42" applyFont="1" applyFill="1" applyBorder="1" applyAlignment="1">
      <alignment horizontal="left"/>
      <protection/>
    </xf>
    <xf numFmtId="0" fontId="0" fillId="39" borderId="32" xfId="42" applyFont="1" applyFill="1" applyBorder="1" applyAlignment="1">
      <alignment horizontal="left"/>
      <protection/>
    </xf>
    <xf numFmtId="0" fontId="0" fillId="0" borderId="28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28" xfId="0" applyFont="1" applyFill="1" applyBorder="1" applyAlignment="1">
      <alignment horizontal="left" vertical="top"/>
    </xf>
    <xf numFmtId="0" fontId="0" fillId="0" borderId="32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/>
    </xf>
    <xf numFmtId="0" fontId="0" fillId="0" borderId="35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0" fontId="0" fillId="0" borderId="34" xfId="0" applyFont="1" applyFill="1" applyBorder="1" applyAlignment="1">
      <alignment horizontal="left" vertical="top"/>
    </xf>
    <xf numFmtId="0" fontId="75" fillId="42" borderId="90" xfId="0" applyFont="1" applyFill="1" applyBorder="1" applyAlignment="1">
      <alignment vertical="top"/>
    </xf>
    <xf numFmtId="0" fontId="75" fillId="42" borderId="91" xfId="0" applyFont="1" applyFill="1" applyBorder="1" applyAlignment="1">
      <alignment vertical="top"/>
    </xf>
    <xf numFmtId="0" fontId="75" fillId="42" borderId="88" xfId="0" applyFont="1" applyFill="1" applyBorder="1" applyAlignment="1">
      <alignment vertical="top"/>
    </xf>
    <xf numFmtId="0" fontId="4" fillId="33" borderId="67" xfId="42" applyFont="1" applyFill="1" applyBorder="1" applyAlignment="1">
      <alignment horizontal="left"/>
      <protection/>
    </xf>
    <xf numFmtId="0" fontId="4" fillId="33" borderId="118" xfId="42" applyFont="1" applyFill="1" applyBorder="1" applyAlignment="1">
      <alignment horizontal="left"/>
      <protection/>
    </xf>
    <xf numFmtId="0" fontId="0" fillId="0" borderId="122" xfId="0" applyFont="1" applyFill="1" applyBorder="1" applyAlignment="1">
      <alignment horizontal="left" vertical="top"/>
    </xf>
    <xf numFmtId="0" fontId="0" fillId="0" borderId="118" xfId="0" applyFont="1" applyFill="1" applyBorder="1" applyAlignment="1">
      <alignment horizontal="left" vertical="top"/>
    </xf>
    <xf numFmtId="0" fontId="0" fillId="0" borderId="123" xfId="0" applyFont="1" applyFill="1" applyBorder="1" applyAlignment="1">
      <alignment horizontal="left" vertical="top"/>
    </xf>
    <xf numFmtId="0" fontId="0" fillId="0" borderId="64" xfId="0" applyFont="1" applyFill="1" applyBorder="1" applyAlignment="1">
      <alignment horizontal="left" vertical="top"/>
    </xf>
    <xf numFmtId="0" fontId="0" fillId="0" borderId="68" xfId="0" applyFont="1" applyFill="1" applyBorder="1" applyAlignment="1">
      <alignment horizontal="left" vertical="top"/>
    </xf>
    <xf numFmtId="0" fontId="0" fillId="0" borderId="75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vertical="top"/>
    </xf>
    <xf numFmtId="0" fontId="0" fillId="0" borderId="124" xfId="0" applyFont="1" applyFill="1" applyBorder="1" applyAlignment="1">
      <alignment horizontal="left" vertical="top"/>
    </xf>
    <xf numFmtId="0" fontId="0" fillId="0" borderId="102" xfId="0" applyFont="1" applyFill="1" applyBorder="1" applyAlignment="1">
      <alignment horizontal="left" vertical="top"/>
    </xf>
    <xf numFmtId="0" fontId="4" fillId="47" borderId="94" xfId="0" applyFont="1" applyFill="1" applyBorder="1" applyAlignment="1">
      <alignment vertical="top" wrapText="1"/>
    </xf>
    <xf numFmtId="0" fontId="4" fillId="47" borderId="49" xfId="0" applyFont="1" applyFill="1" applyBorder="1" applyAlignment="1">
      <alignment vertical="top"/>
    </xf>
    <xf numFmtId="0" fontId="0" fillId="0" borderId="82" xfId="0" applyFont="1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/>
    </xf>
    <xf numFmtId="0" fontId="4" fillId="42" borderId="90" xfId="0" applyFont="1" applyFill="1" applyBorder="1" applyAlignment="1">
      <alignment horizontal="left" vertical="top"/>
    </xf>
    <xf numFmtId="0" fontId="4" fillId="47" borderId="91" xfId="0" applyFont="1" applyFill="1" applyBorder="1" applyAlignment="1">
      <alignment horizontal="left" vertical="top"/>
    </xf>
    <xf numFmtId="0" fontId="4" fillId="47" borderId="88" xfId="0" applyFont="1" applyFill="1" applyBorder="1" applyAlignment="1">
      <alignment horizontal="left" vertical="top"/>
    </xf>
    <xf numFmtId="0" fontId="4" fillId="47" borderId="118" xfId="0" applyFont="1" applyFill="1" applyBorder="1" applyAlignment="1">
      <alignment vertical="top" wrapText="1"/>
    </xf>
    <xf numFmtId="0" fontId="4" fillId="47" borderId="119" xfId="0" applyFont="1" applyFill="1" applyBorder="1" applyAlignment="1">
      <alignment vertical="top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48" borderId="28" xfId="0" applyFont="1" applyFill="1" applyBorder="1" applyAlignment="1">
      <alignment vertical="top"/>
    </xf>
    <xf numFmtId="0" fontId="0" fillId="48" borderId="32" xfId="0" applyFont="1" applyFill="1" applyBorder="1" applyAlignment="1">
      <alignment vertical="top"/>
    </xf>
    <xf numFmtId="0" fontId="0" fillId="48" borderId="27" xfId="0" applyFont="1" applyFill="1" applyBorder="1" applyAlignment="1">
      <alignment vertical="top"/>
    </xf>
    <xf numFmtId="0" fontId="0" fillId="0" borderId="82" xfId="0" applyFont="1" applyFill="1" applyBorder="1" applyAlignment="1">
      <alignment horizontal="left" vertical="top"/>
    </xf>
    <xf numFmtId="0" fontId="0" fillId="0" borderId="125" xfId="0" applyFont="1" applyFill="1" applyBorder="1" applyAlignment="1">
      <alignment horizontal="left" vertical="top"/>
    </xf>
    <xf numFmtId="0" fontId="0" fillId="0" borderId="82" xfId="0" applyFont="1" applyBorder="1" applyAlignment="1">
      <alignment horizontal="left" vertical="top"/>
    </xf>
    <xf numFmtId="0" fontId="0" fillId="0" borderId="102" xfId="0" applyFont="1" applyBorder="1" applyAlignment="1">
      <alignment horizontal="left" vertical="top"/>
    </xf>
    <xf numFmtId="0" fontId="0" fillId="0" borderId="125" xfId="0" applyFont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0" fillId="0" borderId="28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75" fillId="42" borderId="58" xfId="0" applyFont="1" applyFill="1" applyBorder="1" applyAlignment="1">
      <alignment vertical="top"/>
    </xf>
    <xf numFmtId="0" fontId="75" fillId="42" borderId="26" xfId="0" applyFont="1" applyFill="1" applyBorder="1" applyAlignment="1">
      <alignment vertical="top"/>
    </xf>
    <xf numFmtId="0" fontId="75" fillId="42" borderId="113" xfId="0" applyFont="1" applyFill="1" applyBorder="1" applyAlignment="1">
      <alignment vertical="top"/>
    </xf>
    <xf numFmtId="0" fontId="0" fillId="0" borderId="16" xfId="0" applyFont="1" applyBorder="1" applyAlignment="1">
      <alignment vertical="top"/>
    </xf>
    <xf numFmtId="0" fontId="4" fillId="48" borderId="35" xfId="0" applyFont="1" applyFill="1" applyBorder="1" applyAlignment="1">
      <alignment horizontal="left" vertical="top" wrapText="1"/>
    </xf>
    <xf numFmtId="0" fontId="4" fillId="48" borderId="26" xfId="0" applyFont="1" applyFill="1" applyBorder="1" applyAlignment="1">
      <alignment horizontal="left" vertical="top" wrapText="1"/>
    </xf>
    <xf numFmtId="0" fontId="4" fillId="48" borderId="34" xfId="0" applyFont="1" applyFill="1" applyBorder="1" applyAlignment="1">
      <alignment horizontal="left" vertical="top" wrapText="1"/>
    </xf>
    <xf numFmtId="0" fontId="0" fillId="48" borderId="35" xfId="0" applyFont="1" applyFill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4" fillId="47" borderId="41" xfId="0" applyFont="1" applyFill="1" applyBorder="1" applyAlignment="1">
      <alignment horizontal="left" vertical="top" wrapText="1"/>
    </xf>
    <xf numFmtId="0" fontId="0" fillId="47" borderId="49" xfId="0" applyFont="1" applyFill="1" applyBorder="1" applyAlignment="1">
      <alignment horizontal="left" vertical="top" wrapText="1"/>
    </xf>
    <xf numFmtId="0" fontId="0" fillId="47" borderId="44" xfId="0" applyFont="1" applyFill="1" applyBorder="1" applyAlignment="1">
      <alignment horizontal="left" vertical="top" wrapText="1"/>
    </xf>
    <xf numFmtId="0" fontId="0" fillId="0" borderId="58" xfId="0" applyFont="1" applyFill="1" applyBorder="1" applyAlignment="1">
      <alignment horizontal="left" vertical="top"/>
    </xf>
    <xf numFmtId="0" fontId="4" fillId="47" borderId="60" xfId="0" applyFont="1" applyFill="1" applyBorder="1" applyAlignment="1">
      <alignment vertical="top" wrapText="1"/>
    </xf>
    <xf numFmtId="0" fontId="4" fillId="47" borderId="57" xfId="0" applyFont="1" applyFill="1" applyBorder="1" applyAlignment="1">
      <alignment vertical="top"/>
    </xf>
    <xf numFmtId="0" fontId="4" fillId="47" borderId="51" xfId="0" applyFont="1" applyFill="1" applyBorder="1" applyAlignment="1">
      <alignment vertical="top"/>
    </xf>
    <xf numFmtId="0" fontId="75" fillId="42" borderId="22" xfId="0" applyFont="1" applyFill="1" applyBorder="1" applyAlignment="1">
      <alignment vertical="top" wrapText="1"/>
    </xf>
    <xf numFmtId="0" fontId="75" fillId="42" borderId="22" xfId="0" applyFont="1" applyFill="1" applyBorder="1" applyAlignment="1">
      <alignment vertical="top"/>
    </xf>
    <xf numFmtId="0" fontId="75" fillId="42" borderId="90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0" fillId="0" borderId="64" xfId="0" applyFont="1" applyFill="1" applyBorder="1" applyAlignment="1">
      <alignment vertical="top"/>
    </xf>
    <xf numFmtId="0" fontId="0" fillId="0" borderId="68" xfId="0" applyFont="1" applyFill="1" applyBorder="1" applyAlignment="1">
      <alignment vertical="top"/>
    </xf>
    <xf numFmtId="0" fontId="0" fillId="0" borderId="75" xfId="0" applyFont="1" applyFill="1" applyBorder="1" applyAlignment="1">
      <alignment vertical="top"/>
    </xf>
    <xf numFmtId="0" fontId="0" fillId="0" borderId="16" xfId="0" applyFont="1" applyFill="1" applyBorder="1" applyAlignment="1">
      <alignment horizontal="left" vertical="top"/>
    </xf>
    <xf numFmtId="0" fontId="75" fillId="42" borderId="90" xfId="0" applyFont="1" applyFill="1" applyBorder="1" applyAlignment="1">
      <alignment horizontal="left" vertical="top"/>
    </xf>
    <xf numFmtId="0" fontId="75" fillId="47" borderId="91" xfId="0" applyFont="1" applyFill="1" applyBorder="1" applyAlignment="1">
      <alignment horizontal="left" vertical="top"/>
    </xf>
    <xf numFmtId="0" fontId="75" fillId="47" borderId="88" xfId="0" applyFont="1" applyFill="1" applyBorder="1" applyAlignment="1">
      <alignment horizontal="left" vertical="top"/>
    </xf>
    <xf numFmtId="0" fontId="0" fillId="0" borderId="16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48" borderId="28" xfId="0" applyFont="1" applyFill="1" applyBorder="1" applyAlignment="1">
      <alignment horizontal="left" vertical="top"/>
    </xf>
    <xf numFmtId="0" fontId="0" fillId="48" borderId="32" xfId="0" applyFont="1" applyFill="1" applyBorder="1" applyAlignment="1">
      <alignment horizontal="left" vertical="top"/>
    </xf>
    <xf numFmtId="0" fontId="0" fillId="48" borderId="27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0" fillId="39" borderId="126" xfId="42" applyFont="1" applyFill="1" applyBorder="1" applyAlignment="1">
      <alignment horizontal="left"/>
      <protection/>
    </xf>
    <xf numFmtId="0" fontId="4" fillId="42" borderId="28" xfId="0" applyFont="1" applyFill="1" applyBorder="1" applyAlignment="1">
      <alignment vertical="center" wrapText="1"/>
    </xf>
    <xf numFmtId="0" fontId="4" fillId="42" borderId="32" xfId="0" applyFont="1" applyFill="1" applyBorder="1" applyAlignment="1">
      <alignment vertical="center"/>
    </xf>
    <xf numFmtId="0" fontId="4" fillId="42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4" fillId="42" borderId="118" xfId="0" applyFont="1" applyFill="1" applyBorder="1" applyAlignment="1">
      <alignment horizontal="left" vertical="top"/>
    </xf>
    <xf numFmtId="0" fontId="4" fillId="42" borderId="119" xfId="0" applyFont="1" applyFill="1" applyBorder="1" applyAlignment="1">
      <alignment horizontal="left" vertical="top"/>
    </xf>
    <xf numFmtId="0" fontId="72" fillId="35" borderId="60" xfId="0" applyFont="1" applyFill="1" applyBorder="1" applyAlignment="1">
      <alignment vertical="top"/>
    </xf>
    <xf numFmtId="0" fontId="72" fillId="35" borderId="57" xfId="0" applyFont="1" applyFill="1" applyBorder="1" applyAlignment="1">
      <alignment vertical="top"/>
    </xf>
    <xf numFmtId="0" fontId="72" fillId="35" borderId="51" xfId="0" applyFont="1" applyFill="1" applyBorder="1" applyAlignment="1">
      <alignment vertical="top"/>
    </xf>
    <xf numFmtId="0" fontId="75" fillId="42" borderId="82" xfId="0" applyFont="1" applyFill="1" applyBorder="1" applyAlignment="1">
      <alignment horizontal="left" vertical="top"/>
    </xf>
    <xf numFmtId="0" fontId="75" fillId="42" borderId="102" xfId="0" applyFont="1" applyFill="1" applyBorder="1" applyAlignment="1">
      <alignment horizontal="left" vertical="top"/>
    </xf>
    <xf numFmtId="0" fontId="75" fillId="42" borderId="125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0" fontId="0" fillId="0" borderId="60" xfId="0" applyFont="1" applyBorder="1" applyAlignment="1">
      <alignment vertical="top"/>
    </xf>
    <xf numFmtId="0" fontId="0" fillId="0" borderId="57" xfId="0" applyFont="1" applyBorder="1" applyAlignment="1">
      <alignment vertical="top"/>
    </xf>
    <xf numFmtId="0" fontId="4" fillId="0" borderId="64" xfId="0" applyFont="1" applyFill="1" applyBorder="1" applyAlignment="1">
      <alignment vertical="top"/>
    </xf>
    <xf numFmtId="0" fontId="4" fillId="0" borderId="68" xfId="0" applyFont="1" applyFill="1" applyBorder="1" applyAlignment="1">
      <alignment vertical="top"/>
    </xf>
    <xf numFmtId="0" fontId="0" fillId="39" borderId="86" xfId="42" applyFont="1" applyFill="1" applyBorder="1" applyAlignment="1">
      <alignment horizontal="left"/>
      <protection/>
    </xf>
    <xf numFmtId="0" fontId="0" fillId="39" borderId="91" xfId="42" applyFont="1" applyFill="1" applyBorder="1" applyAlignment="1">
      <alignment horizontal="left"/>
      <protection/>
    </xf>
    <xf numFmtId="0" fontId="0" fillId="39" borderId="103" xfId="42" applyFont="1" applyFill="1" applyBorder="1" applyAlignment="1">
      <alignment horizontal="left"/>
      <protection/>
    </xf>
    <xf numFmtId="0" fontId="0" fillId="0" borderId="58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75" fillId="42" borderId="16" xfId="0" applyFont="1" applyFill="1" applyBorder="1" applyAlignment="1">
      <alignment horizontal="left" vertical="top"/>
    </xf>
    <xf numFmtId="0" fontId="75" fillId="47" borderId="16" xfId="0" applyFont="1" applyFill="1" applyBorder="1" applyAlignment="1">
      <alignment horizontal="left" vertical="top"/>
    </xf>
    <xf numFmtId="0" fontId="0" fillId="48" borderId="64" xfId="0" applyFont="1" applyFill="1" applyBorder="1" applyAlignment="1">
      <alignment horizontal="left" vertical="top"/>
    </xf>
    <xf numFmtId="0" fontId="0" fillId="48" borderId="68" xfId="0" applyFont="1" applyFill="1" applyBorder="1" applyAlignment="1">
      <alignment horizontal="left" vertical="top"/>
    </xf>
    <xf numFmtId="0" fontId="0" fillId="48" borderId="75" xfId="0" applyFont="1" applyFill="1" applyBorder="1" applyAlignment="1">
      <alignment horizontal="left" vertical="top"/>
    </xf>
    <xf numFmtId="0" fontId="0" fillId="0" borderId="35" xfId="0" applyFont="1" applyFill="1" applyBorder="1" applyAlignment="1">
      <alignment vertical="top"/>
    </xf>
    <xf numFmtId="0" fontId="4" fillId="33" borderId="60" xfId="0" applyFont="1" applyFill="1" applyBorder="1" applyAlignment="1">
      <alignment horizontal="left" vertical="top"/>
    </xf>
    <xf numFmtId="0" fontId="4" fillId="33" borderId="57" xfId="0" applyFont="1" applyFill="1" applyBorder="1" applyAlignment="1">
      <alignment horizontal="left" vertical="top"/>
    </xf>
    <xf numFmtId="0" fontId="4" fillId="33" borderId="51" xfId="0" applyFont="1" applyFill="1" applyBorder="1" applyAlignment="1">
      <alignment horizontal="left" vertical="top"/>
    </xf>
    <xf numFmtId="0" fontId="4" fillId="47" borderId="28" xfId="0" applyFont="1" applyFill="1" applyBorder="1" applyAlignment="1">
      <alignment horizontal="left" vertical="center" wrapText="1"/>
    </xf>
    <xf numFmtId="0" fontId="4" fillId="47" borderId="32" xfId="0" applyFont="1" applyFill="1" applyBorder="1" applyAlignment="1">
      <alignment horizontal="left" vertical="center"/>
    </xf>
    <xf numFmtId="0" fontId="4" fillId="47" borderId="27" xfId="0" applyFont="1" applyFill="1" applyBorder="1" applyAlignment="1">
      <alignment horizontal="left" vertical="center"/>
    </xf>
    <xf numFmtId="0" fontId="0" fillId="0" borderId="64" xfId="0" applyFont="1" applyBorder="1" applyAlignment="1">
      <alignment horizontal="left" vertical="top"/>
    </xf>
    <xf numFmtId="0" fontId="0" fillId="0" borderId="68" xfId="0" applyFont="1" applyBorder="1" applyAlignment="1">
      <alignment horizontal="left" vertical="top"/>
    </xf>
    <xf numFmtId="0" fontId="72" fillId="35" borderId="60" xfId="0" applyFont="1" applyFill="1" applyBorder="1" applyAlignment="1">
      <alignment vertical="center" wrapText="1"/>
    </xf>
    <xf numFmtId="0" fontId="72" fillId="35" borderId="57" xfId="0" applyFont="1" applyFill="1" applyBorder="1" applyAlignment="1">
      <alignment vertical="center"/>
    </xf>
    <xf numFmtId="0" fontId="72" fillId="35" borderId="51" xfId="0" applyFont="1" applyFill="1" applyBorder="1" applyAlignment="1">
      <alignment vertical="center"/>
    </xf>
    <xf numFmtId="0" fontId="0" fillId="0" borderId="68" xfId="0" applyFont="1" applyBorder="1" applyAlignment="1">
      <alignment vertical="top"/>
    </xf>
    <xf numFmtId="0" fontId="0" fillId="0" borderId="84" xfId="0" applyFont="1" applyBorder="1" applyAlignment="1">
      <alignment horizontal="left" vertical="top"/>
    </xf>
    <xf numFmtId="0" fontId="72" fillId="35" borderId="127" xfId="0" applyFont="1" applyFill="1" applyBorder="1" applyAlignment="1">
      <alignment vertical="top"/>
    </xf>
    <xf numFmtId="0" fontId="72" fillId="35" borderId="128" xfId="0" applyFont="1" applyFill="1" applyBorder="1" applyAlignment="1">
      <alignment vertical="top"/>
    </xf>
    <xf numFmtId="0" fontId="72" fillId="35" borderId="129" xfId="0" applyFont="1" applyFill="1" applyBorder="1" applyAlignment="1">
      <alignment vertical="top"/>
    </xf>
    <xf numFmtId="0" fontId="4" fillId="47" borderId="90" xfId="0" applyFont="1" applyFill="1" applyBorder="1" applyAlignment="1">
      <alignment horizontal="left" vertical="top" wrapText="1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30" xfId="0" applyFont="1" applyBorder="1" applyAlignment="1">
      <alignment horizontal="center"/>
    </xf>
    <xf numFmtId="0" fontId="4" fillId="0" borderId="28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64" xfId="0" applyFont="1" applyFill="1" applyBorder="1" applyAlignment="1">
      <alignment horizontal="left"/>
    </xf>
    <xf numFmtId="0" fontId="0" fillId="0" borderId="68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 vertical="top" wrapText="1"/>
    </xf>
    <xf numFmtId="0" fontId="0" fillId="0" borderId="68" xfId="0" applyFont="1" applyFill="1" applyBorder="1" applyAlignment="1">
      <alignment horizontal="left" vertical="top" wrapText="1"/>
    </xf>
    <xf numFmtId="0" fontId="4" fillId="47" borderId="28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2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82" xfId="0" applyFont="1" applyFill="1" applyBorder="1" applyAlignment="1">
      <alignment horizontal="left" vertical="top" wrapText="1"/>
    </xf>
    <xf numFmtId="0" fontId="0" fillId="0" borderId="102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47" borderId="32" xfId="0" applyFont="1" applyFill="1" applyBorder="1" applyAlignment="1">
      <alignment horizontal="left"/>
    </xf>
    <xf numFmtId="0" fontId="0" fillId="0" borderId="82" xfId="0" applyFont="1" applyBorder="1" applyAlignment="1">
      <alignment vertical="top"/>
    </xf>
    <xf numFmtId="0" fontId="0" fillId="0" borderId="102" xfId="0" applyFont="1" applyBorder="1" applyAlignment="1">
      <alignment vertical="top"/>
    </xf>
    <xf numFmtId="0" fontId="0" fillId="0" borderId="64" xfId="0" applyFont="1" applyBorder="1" applyAlignment="1">
      <alignment vertical="top"/>
    </xf>
    <xf numFmtId="0" fontId="0" fillId="0" borderId="125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27" fillId="0" borderId="120" xfId="0" applyFont="1" applyFill="1" applyBorder="1" applyAlignment="1">
      <alignment horizontal="center" vertical="center" wrapText="1"/>
    </xf>
    <xf numFmtId="0" fontId="27" fillId="0" borderId="131" xfId="0" applyFont="1" applyFill="1" applyBorder="1" applyAlignment="1">
      <alignment horizontal="center" vertical="center" wrapText="1"/>
    </xf>
    <xf numFmtId="0" fontId="27" fillId="0" borderId="12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top"/>
    </xf>
    <xf numFmtId="0" fontId="12" fillId="0" borderId="26" xfId="0" applyFont="1" applyFill="1" applyBorder="1" applyAlignment="1">
      <alignment horizontal="left" vertical="top"/>
    </xf>
    <xf numFmtId="0" fontId="12" fillId="0" borderId="34" xfId="0" applyFont="1" applyFill="1" applyBorder="1" applyAlignment="1">
      <alignment horizontal="left" vertical="top"/>
    </xf>
    <xf numFmtId="0" fontId="9" fillId="35" borderId="35" xfId="0" applyFont="1" applyFill="1" applyBorder="1" applyAlignment="1">
      <alignment vertical="top"/>
    </xf>
    <xf numFmtId="0" fontId="9" fillId="35" borderId="26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132" xfId="0" applyFont="1" applyBorder="1" applyAlignment="1">
      <alignment horizontal="center"/>
    </xf>
    <xf numFmtId="0" fontId="4" fillId="0" borderId="133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2" fillId="0" borderId="35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12" fillId="0" borderId="34" xfId="0" applyFont="1" applyBorder="1" applyAlignment="1">
      <alignment vertical="top"/>
    </xf>
    <xf numFmtId="0" fontId="12" fillId="0" borderId="3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0" fillId="0" borderId="3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8" fillId="0" borderId="35" xfId="0" applyFont="1" applyFill="1" applyBorder="1" applyAlignment="1">
      <alignment horizontal="left" vertical="top"/>
    </xf>
    <xf numFmtId="0" fontId="14" fillId="0" borderId="26" xfId="0" applyFont="1" applyFill="1" applyBorder="1" applyAlignment="1">
      <alignment horizontal="left" vertical="top"/>
    </xf>
    <xf numFmtId="0" fontId="14" fillId="0" borderId="34" xfId="0" applyFont="1" applyFill="1" applyBorder="1" applyAlignment="1">
      <alignment horizontal="left" vertical="top"/>
    </xf>
    <xf numFmtId="0" fontId="11" fillId="0" borderId="35" xfId="0" applyFont="1" applyFill="1" applyBorder="1" applyAlignment="1">
      <alignment vertical="top"/>
    </xf>
    <xf numFmtId="0" fontId="11" fillId="0" borderId="26" xfId="0" applyFont="1" applyFill="1" applyBorder="1" applyAlignment="1">
      <alignment vertical="top"/>
    </xf>
    <xf numFmtId="0" fontId="11" fillId="0" borderId="34" xfId="0" applyFont="1" applyFill="1" applyBorder="1" applyAlignment="1">
      <alignment vertical="top"/>
    </xf>
    <xf numFmtId="0" fontId="4" fillId="0" borderId="3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1" fillId="0" borderId="35" xfId="0" applyFont="1" applyBorder="1" applyAlignment="1">
      <alignment vertical="top"/>
    </xf>
    <xf numFmtId="0" fontId="11" fillId="0" borderId="26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33" borderId="35" xfId="0" applyFont="1" applyFill="1" applyBorder="1" applyAlignment="1">
      <alignment vertical="top"/>
    </xf>
    <xf numFmtId="0" fontId="11" fillId="33" borderId="26" xfId="0" applyFont="1" applyFill="1" applyBorder="1" applyAlignment="1">
      <alignment vertical="top"/>
    </xf>
    <xf numFmtId="0" fontId="11" fillId="33" borderId="34" xfId="0" applyFont="1" applyFill="1" applyBorder="1" applyAlignment="1">
      <alignment vertical="top"/>
    </xf>
    <xf numFmtId="0" fontId="10" fillId="0" borderId="3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34" xfId="0" applyFont="1" applyBorder="1" applyAlignment="1">
      <alignment vertical="top"/>
    </xf>
    <xf numFmtId="0" fontId="0" fillId="0" borderId="26" xfId="0" applyFont="1" applyBorder="1" applyAlignment="1">
      <alignment/>
    </xf>
    <xf numFmtId="0" fontId="0" fillId="0" borderId="34" xfId="0" applyFont="1" applyBorder="1" applyAlignment="1">
      <alignment/>
    </xf>
    <xf numFmtId="0" fontId="12" fillId="0" borderId="35" xfId="0" applyFont="1" applyBorder="1" applyAlignment="1">
      <alignment horizontal="left" vertical="top" wrapText="1"/>
    </xf>
    <xf numFmtId="0" fontId="9" fillId="35" borderId="34" xfId="0" applyFont="1" applyFill="1" applyBorder="1" applyAlignment="1">
      <alignment vertical="top"/>
    </xf>
    <xf numFmtId="0" fontId="5" fillId="0" borderId="0" xfId="45" applyFont="1" applyBorder="1" applyAlignment="1">
      <alignment horizontal="center" vertical="top"/>
      <protection/>
    </xf>
    <xf numFmtId="0" fontId="5" fillId="0" borderId="120" xfId="0" applyFont="1" applyBorder="1" applyAlignment="1">
      <alignment horizontal="center"/>
    </xf>
    <xf numFmtId="0" fontId="5" fillId="0" borderId="1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3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4" fontId="0" fillId="47" borderId="0" xfId="0" applyNumberFormat="1" applyFont="1" applyFill="1" applyAlignment="1">
      <alignment horizontal="center"/>
    </xf>
    <xf numFmtId="0" fontId="0" fillId="47" borderId="0" xfId="0" applyFont="1" applyFill="1" applyAlignment="1">
      <alignment horizontal="center"/>
    </xf>
    <xf numFmtId="0" fontId="10" fillId="0" borderId="35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left" vertical="top"/>
    </xf>
    <xf numFmtId="0" fontId="10" fillId="0" borderId="34" xfId="0" applyFont="1" applyFill="1" applyBorder="1" applyAlignment="1">
      <alignment horizontal="left" vertical="top"/>
    </xf>
    <xf numFmtId="0" fontId="0" fillId="0" borderId="4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71" fontId="0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27" fillId="43" borderId="16" xfId="60" applyFont="1" applyFill="1" applyBorder="1" applyAlignment="1">
      <alignment horizontal="center" vertical="center" wrapText="1"/>
      <protection/>
    </xf>
    <xf numFmtId="49" fontId="4" fillId="0" borderId="91" xfId="60" applyNumberFormat="1" applyFont="1" applyBorder="1" applyAlignment="1">
      <alignment horizontal="center" vertical="center" wrapText="1"/>
      <protection/>
    </xf>
    <xf numFmtId="0" fontId="27" fillId="43" borderId="35" xfId="60" applyFont="1" applyFill="1" applyBorder="1" applyAlignment="1">
      <alignment horizontal="center" vertical="center" wrapText="1"/>
      <protection/>
    </xf>
    <xf numFmtId="0" fontId="27" fillId="43" borderId="34" xfId="60" applyFont="1" applyFill="1" applyBorder="1" applyAlignment="1">
      <alignment horizontal="center" vertical="center" wrapText="1"/>
      <protection/>
    </xf>
    <xf numFmtId="4" fontId="27" fillId="43" borderId="16" xfId="42" applyNumberFormat="1" applyFont="1" applyFill="1" applyBorder="1" applyAlignment="1">
      <alignment horizontal="center" vertical="center" wrapText="1"/>
      <protection/>
    </xf>
    <xf numFmtId="10" fontId="27" fillId="43" borderId="16" xfId="60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rihodi -stara tab." xfId="45"/>
    <cellStyle name="Comma_rashodi-2010.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/>
    <dxf>
      <fill>
        <patternFill patternType="solid">
          <fgColor indexed="60"/>
          <bgColor indexed="10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C6C6C"/>
      <rgbColor rgb="00C8C8C8"/>
      <rgbColor rgb="00FCFCF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буџета по програмској класификацији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25"/>
          <c:y val="0.0455"/>
          <c:w val="0.15025"/>
          <c:h val="0.22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'[1]Програмска'!$A$604:$A$618</c:f>
              <c:strCache>
                <c:ptCount val="15"/>
                <c:pt idx="0">
                  <c:v>Програм 1.  Локални развој и просторно планирање</c:v>
                </c:pt>
                <c:pt idx="1">
                  <c:v>Програм 2.  Комунална делатност</c:v>
                </c:pt>
                <c:pt idx="2">
                  <c:v>Програм 3.  Локални економски развој</c:v>
                </c:pt>
                <c:pt idx="3">
                  <c:v>Програм 4.  Развој туризма</c:v>
                </c:pt>
                <c:pt idx="4">
                  <c:v>Програм 5.  Развој пољопривреде</c:v>
                </c:pt>
                <c:pt idx="5">
                  <c:v>Програм 6.  Заштита животне средине</c:v>
                </c:pt>
                <c:pt idx="6">
                  <c:v>Програм 7.  Путна инфраструктура</c:v>
                </c:pt>
                <c:pt idx="7">
                  <c:v>Програм 8.  Предшколско васпитање</c:v>
                </c:pt>
                <c:pt idx="8">
                  <c:v>Програм 9.  Основно образовање</c:v>
                </c:pt>
                <c:pt idx="9">
                  <c:v>Програм 10. Средње образовање</c:v>
                </c:pt>
                <c:pt idx="10">
                  <c:v>Програм 11.  Социјална  и дечја заштита</c:v>
                </c:pt>
                <c:pt idx="11">
                  <c:v>Програм 12.  Примарна здравствена заштита</c:v>
                </c:pt>
                <c:pt idx="12">
                  <c:v>Програм 13.  Развој културе</c:v>
                </c:pt>
                <c:pt idx="13">
                  <c:v>Програм 14.  Развој спорта и омладине</c:v>
                </c:pt>
                <c:pt idx="14">
                  <c:v>Програм 15.  Локална самоуправа</c:v>
                </c:pt>
              </c:strCache>
            </c:strRef>
          </c:cat>
          <c:val>
            <c:numRef>
              <c:f>'[1]Програмска'!$B$604:$B$618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975"/>
          <c:y val="0"/>
          <c:w val="0.32125"/>
          <c:h val="0.9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6C6C6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буџета по функционалној класификацији</a:t>
            </a:r>
          </a:p>
        </c:rich>
      </c:tx>
      <c:layout>
        <c:manualLayout>
          <c:xMode val="factor"/>
          <c:yMode val="factor"/>
          <c:x val="0.006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165"/>
          <c:w val="0.01675"/>
          <c:h val="0.04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('[1]Расх по функц. '!$A$4:$B$4,'[1]Расх по функц. '!$A$14:$B$14,'[1]Расх по функц. '!$A$31:$B$31,'[1]Расх по функц. '!$A$38:$B$38,'[1]Расх по функц. '!$A$78:$B$78,'[1]Расх по функц. '!$A$85:$B$85,'[1]Расх по функц. '!$A$92:$B$92,'[1]Расх по функц. '!$A$110:$B$110,'[1]Расх по функц. '!$A$117:$B$117)</c:f>
              <c:strCache>
                <c:ptCount val="9"/>
                <c:pt idx="0">
                  <c:v>0</c:v>
                </c:pt>
                <c:pt idx="1">
                  <c:v>СОЦИЈАЛНА ЗАШТИТА</c:v>
                </c:pt>
                <c:pt idx="2">
                  <c:v>100</c:v>
                </c:pt>
                <c:pt idx="3">
                  <c:v>ОПШТЕ ЈАВНЕ УСЛУГЕ</c:v>
                </c:pt>
                <c:pt idx="4">
                  <c:v>300</c:v>
                </c:pt>
                <c:pt idx="5">
                  <c:v>ЈАВНИ РЕД И БЕЗБЕДНОСТ</c:v>
                </c:pt>
                <c:pt idx="6">
                  <c:v>400</c:v>
                </c:pt>
                <c:pt idx="7">
                  <c:v>ЕКОНОМСКИ ПОСЛОВИ</c:v>
                </c:pt>
                <c:pt idx="8">
                  <c:v>500</c:v>
                </c:pt>
              </c:strCache>
            </c:strRef>
          </c:cat>
          <c:val>
            <c:numRef>
              <c:f>('[1]Расх по функц. '!$C$4,'[1]Расх по функц. '!$C$14,'[1]Расх по функц. '!$C$31,'[1]Расх по функц. '!$C$38,'[1]Расх по функц. '!$C$78,'[1]Расх по функц. '!$C$85,'[1]Расх по функц. '!$C$92,'[1]Расх по функц. '!$C$110,'[1]Расх по функц. '!$C$117)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525"/>
          <c:y val="0.02925"/>
          <c:w val="0.3265"/>
          <c:h val="0.5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CFCF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428</xdr:row>
      <xdr:rowOff>0</xdr:rowOff>
    </xdr:from>
    <xdr:to>
      <xdr:col>10</xdr:col>
      <xdr:colOff>0</xdr:colOff>
      <xdr:row>428</xdr:row>
      <xdr:rowOff>0</xdr:rowOff>
    </xdr:to>
    <xdr:sp>
      <xdr:nvSpPr>
        <xdr:cNvPr id="1" name="Line 6"/>
        <xdr:cNvSpPr>
          <a:spLocks/>
        </xdr:cNvSpPr>
      </xdr:nvSpPr>
      <xdr:spPr>
        <a:xfrm flipH="1" flipV="1">
          <a:off x="0" y="74018775"/>
          <a:ext cx="6229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428</xdr:row>
      <xdr:rowOff>0</xdr:rowOff>
    </xdr:from>
    <xdr:to>
      <xdr:col>10</xdr:col>
      <xdr:colOff>0</xdr:colOff>
      <xdr:row>428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74018775"/>
          <a:ext cx="6229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428</xdr:row>
      <xdr:rowOff>0</xdr:rowOff>
    </xdr:from>
    <xdr:to>
      <xdr:col>10</xdr:col>
      <xdr:colOff>0</xdr:colOff>
      <xdr:row>428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74018775"/>
          <a:ext cx="6229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428</xdr:row>
      <xdr:rowOff>0</xdr:rowOff>
    </xdr:from>
    <xdr:to>
      <xdr:col>10</xdr:col>
      <xdr:colOff>0</xdr:colOff>
      <xdr:row>428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74018775"/>
          <a:ext cx="6229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10782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10782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10782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10782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10782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10782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10782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10782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10782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10782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10782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466725</xdr:colOff>
      <xdr:row>154</xdr:row>
      <xdr:rowOff>57150</xdr:rowOff>
    </xdr:from>
    <xdr:ext cx="190500" cy="257175"/>
    <xdr:sp>
      <xdr:nvSpPr>
        <xdr:cNvPr id="12" name="TextBox 12"/>
        <xdr:cNvSpPr txBox="1">
          <a:spLocks noChangeArrowheads="1"/>
        </xdr:cNvSpPr>
      </xdr:nvSpPr>
      <xdr:spPr>
        <a:xfrm>
          <a:off x="6886575" y="2132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614</xdr:row>
      <xdr:rowOff>19050</xdr:rowOff>
    </xdr:from>
    <xdr:to>
      <xdr:col>7</xdr:col>
      <xdr:colOff>66675</xdr:colOff>
      <xdr:row>646</xdr:row>
      <xdr:rowOff>152400</xdr:rowOff>
    </xdr:to>
    <xdr:graphicFrame>
      <xdr:nvGraphicFramePr>
        <xdr:cNvPr id="1" name="Chart 2"/>
        <xdr:cNvGraphicFramePr/>
      </xdr:nvGraphicFramePr>
      <xdr:xfrm>
        <a:off x="57150" y="13011150"/>
        <a:ext cx="79438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</xdr:row>
      <xdr:rowOff>266700</xdr:rowOff>
    </xdr:from>
    <xdr:to>
      <xdr:col>16</xdr:col>
      <xdr:colOff>114300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8515350" y="457200"/>
        <a:ext cx="57150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.2.2.47\finansija\Users\Finansija1\AppData\Local\Microsoft\Windows\Temporary%20Internet%20Files\Content.Outlook\B3NK28NV\SKGO-PROG.BUD&#381;ET\Model%20odlu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lter4\finansija\finansija_group\Predmeti%202013\1,2,3,4,5\odluka%20budzet2013\LP_Tabel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КОРИСНИЦИМА"/>
      <sheetName val="По основ. нам."/>
      <sheetName val="Рачун финансирања"/>
      <sheetName val="Приџ,прим vs Расх,изд"/>
      <sheetName val="Оптшти део - (6)"/>
      <sheetName val="Капитални расходи"/>
      <sheetName val="Програмска"/>
      <sheetName val="Расх по функц. "/>
      <sheetName val="Класификације"/>
    </sheetNames>
    <sheetDataSet>
      <sheetData sheetId="1">
        <row r="86">
          <cell r="F86">
            <v>0</v>
          </cell>
        </row>
      </sheetData>
      <sheetData sheetId="6">
        <row r="598">
          <cell r="G598">
            <v>0</v>
          </cell>
        </row>
        <row r="604">
          <cell r="A604" t="str">
            <v>Програм 1.  Локални развој и просторно планирање</v>
          </cell>
          <cell r="B604">
            <v>0</v>
          </cell>
        </row>
        <row r="605">
          <cell r="A605" t="str">
            <v>Програм 2.  Комунална делатност</v>
          </cell>
          <cell r="B605">
            <v>0</v>
          </cell>
        </row>
        <row r="606">
          <cell r="A606" t="str">
            <v>Програм 3.  Локални економски развој</v>
          </cell>
          <cell r="B606">
            <v>0</v>
          </cell>
        </row>
        <row r="607">
          <cell r="A607" t="str">
            <v>Програм 4.  Развој туризма</v>
          </cell>
          <cell r="B607">
            <v>0</v>
          </cell>
        </row>
        <row r="608">
          <cell r="A608" t="str">
            <v>Програм 5.  Развој пољопривреде</v>
          </cell>
          <cell r="B608">
            <v>0</v>
          </cell>
        </row>
        <row r="609">
          <cell r="A609" t="str">
            <v>Програм 6.  Заштита животне средине</v>
          </cell>
          <cell r="B609">
            <v>0</v>
          </cell>
        </row>
        <row r="610">
          <cell r="A610" t="str">
            <v>Програм 7.  Путна инфраструктура</v>
          </cell>
          <cell r="B610">
            <v>0</v>
          </cell>
        </row>
        <row r="611">
          <cell r="A611" t="str">
            <v>Програм 8.  Предшколско васпитање</v>
          </cell>
          <cell r="B611">
            <v>0</v>
          </cell>
        </row>
        <row r="612">
          <cell r="A612" t="str">
            <v>Програм 9.  Основно образовање</v>
          </cell>
          <cell r="B612">
            <v>0</v>
          </cell>
        </row>
        <row r="613">
          <cell r="A613" t="str">
            <v>Програм 10. Средње образовање</v>
          </cell>
          <cell r="B613">
            <v>0</v>
          </cell>
        </row>
        <row r="614">
          <cell r="A614" t="str">
            <v>Програм 11.  Социјална  и дечја заштита</v>
          </cell>
          <cell r="B614">
            <v>0</v>
          </cell>
        </row>
        <row r="615">
          <cell r="A615" t="str">
            <v>Програм 12.  Примарна здравствена заштита</v>
          </cell>
          <cell r="B615">
            <v>0</v>
          </cell>
        </row>
        <row r="616">
          <cell r="A616" t="str">
            <v>Програм 13.  Развој културе</v>
          </cell>
          <cell r="B616">
            <v>0</v>
          </cell>
        </row>
        <row r="617">
          <cell r="A617" t="str">
            <v>Програм 14.  Развој спорта и омладине</v>
          </cell>
          <cell r="B617">
            <v>0</v>
          </cell>
        </row>
        <row r="618">
          <cell r="A618" t="str">
            <v>Програм 15.  Локална самоуправа</v>
          </cell>
          <cell r="B618">
            <v>0</v>
          </cell>
        </row>
      </sheetData>
      <sheetData sheetId="7">
        <row r="4">
          <cell r="A4" t="str">
            <v>000</v>
          </cell>
          <cell r="B4" t="str">
            <v>СОЦИЈАЛНА ЗАШТИТА</v>
          </cell>
          <cell r="C4">
            <v>0</v>
          </cell>
        </row>
        <row r="14">
          <cell r="A14" t="str">
            <v>100</v>
          </cell>
          <cell r="B14" t="str">
            <v>ОПШТЕ ЈАВНЕ УСЛУГЕ</v>
          </cell>
          <cell r="C14">
            <v>0</v>
          </cell>
        </row>
        <row r="31">
          <cell r="A31" t="str">
            <v>300</v>
          </cell>
          <cell r="B31" t="str">
            <v>ЈАВНИ РЕД И БЕЗБЕДНОСТ</v>
          </cell>
          <cell r="C31">
            <v>0</v>
          </cell>
        </row>
        <row r="38">
          <cell r="A38" t="str">
            <v>400</v>
          </cell>
          <cell r="B38" t="str">
            <v>ЕКОНОМСКИ ПОСЛОВИ</v>
          </cell>
          <cell r="C38">
            <v>0</v>
          </cell>
        </row>
        <row r="78">
          <cell r="A78" t="str">
            <v>500</v>
          </cell>
          <cell r="B78" t="str">
            <v>ЗАШТИТА ЖИВОТНЕ СРЕДИНЕ</v>
          </cell>
          <cell r="C78">
            <v>0</v>
          </cell>
        </row>
        <row r="85">
          <cell r="A85" t="str">
            <v>600</v>
          </cell>
          <cell r="B85" t="str">
            <v>ПОСЛОВИ СТАНОВАЊА И ЗАЈЕДНИЦЕ</v>
          </cell>
          <cell r="C85">
            <v>0</v>
          </cell>
        </row>
        <row r="92">
          <cell r="A92">
            <v>700</v>
          </cell>
          <cell r="B92" t="str">
            <v>ЗДРАВСТВО</v>
          </cell>
          <cell r="C92">
            <v>0</v>
          </cell>
        </row>
        <row r="110">
          <cell r="A110" t="str">
            <v>800</v>
          </cell>
          <cell r="B110" t="str">
            <v>РЕКРЕАЦИЈА, СПОРТ, КУЛТУРА И ВЕРЕ</v>
          </cell>
          <cell r="C110">
            <v>0</v>
          </cell>
        </row>
        <row r="117">
          <cell r="A117" t="str">
            <v>900</v>
          </cell>
          <cell r="B117" t="str">
            <v>ОБРАЗОВАЊЕ</v>
          </cell>
          <cell r="C117">
            <v>0</v>
          </cell>
        </row>
        <row r="139">
          <cell r="F1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_3-Obracun"/>
    </sheetNames>
    <definedNames>
      <definedName name="Sheet1.Izvoz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70"/>
  <sheetViews>
    <sheetView tabSelected="1" zoomScale="89" zoomScaleNormal="89" zoomScalePageLayoutView="0" workbookViewId="0" topLeftCell="A1">
      <pane xSplit="10" ySplit="6" topLeftCell="M235" activePane="bottomRight" state="frozen"/>
      <selection pane="topLeft" activeCell="B1" sqref="B1"/>
      <selection pane="topRight" activeCell="J1" sqref="J1"/>
      <selection pane="bottomLeft" activeCell="B7" sqref="B7"/>
      <selection pane="bottomRight" activeCell="R5" sqref="R5"/>
    </sheetView>
  </sheetViews>
  <sheetFormatPr defaultColWidth="8.8515625" defaultRowHeight="12.75"/>
  <cols>
    <col min="1" max="1" width="2.8515625" style="355" hidden="1" customWidth="1"/>
    <col min="2" max="2" width="3.57421875" style="431" customWidth="1"/>
    <col min="3" max="3" width="6.57421875" style="431" customWidth="1"/>
    <col min="4" max="4" width="5.421875" style="353" customWidth="1"/>
    <col min="5" max="5" width="10.7109375" style="431" customWidth="1"/>
    <col min="6" max="6" width="6.57421875" style="353" customWidth="1"/>
    <col min="7" max="7" width="6.00390625" style="353" customWidth="1"/>
    <col min="8" max="8" width="7.00390625" style="355" customWidth="1"/>
    <col min="9" max="9" width="20.28125" style="355" customWidth="1"/>
    <col min="10" max="10" width="27.28125" style="355" customWidth="1"/>
    <col min="11" max="11" width="15.28125" style="406" hidden="1" customWidth="1"/>
    <col min="12" max="12" width="14.57421875" style="406" hidden="1" customWidth="1"/>
    <col min="13" max="13" width="15.421875" style="362" customWidth="1"/>
    <col min="14" max="14" width="13.28125" style="355" customWidth="1"/>
    <col min="15" max="15" width="15.421875" style="355" customWidth="1"/>
    <col min="16" max="17" width="14.8515625" style="355" customWidth="1"/>
    <col min="18" max="18" width="11.57421875" style="355" customWidth="1"/>
    <col min="19" max="19" width="11.140625" style="355" customWidth="1"/>
    <col min="20" max="20" width="15.57421875" style="355" hidden="1" customWidth="1"/>
    <col min="21" max="23" width="16.00390625" style="366" customWidth="1"/>
    <col min="24" max="26" width="16.00390625" style="355" customWidth="1"/>
    <col min="27" max="27" width="14.8515625" style="355" customWidth="1"/>
    <col min="28" max="32" width="8.8515625" style="355" customWidth="1"/>
    <col min="33" max="16384" width="8.8515625" style="355" customWidth="1"/>
  </cols>
  <sheetData>
    <row r="1" spans="2:3" ht="12.75">
      <c r="B1" s="44" t="s">
        <v>135</v>
      </c>
      <c r="C1" s="45"/>
    </row>
    <row r="2" spans="2:16" ht="12.75">
      <c r="B2" s="46" t="s">
        <v>136</v>
      </c>
      <c r="I2" s="1364" t="s">
        <v>1543</v>
      </c>
      <c r="J2" s="1364"/>
      <c r="K2" s="1364"/>
      <c r="L2" s="1364"/>
      <c r="M2" s="1364"/>
      <c r="N2" s="1364"/>
      <c r="O2" s="1364"/>
      <c r="P2" s="1364"/>
    </row>
    <row r="3" spans="6:16" ht="12.75">
      <c r="F3" s="47"/>
      <c r="G3" s="47"/>
      <c r="H3" s="47"/>
      <c r="I3" s="48"/>
      <c r="J3" s="613"/>
      <c r="K3" s="953"/>
      <c r="L3" s="953"/>
      <c r="M3" s="613"/>
      <c r="N3" s="613"/>
      <c r="O3" s="613"/>
      <c r="P3" s="613"/>
    </row>
    <row r="4" spans="6:23" ht="27.75" customHeight="1" hidden="1">
      <c r="F4" s="47"/>
      <c r="G4" s="47"/>
      <c r="H4" s="47"/>
      <c r="I4" s="336"/>
      <c r="J4" s="184"/>
      <c r="K4" s="953"/>
      <c r="L4" s="953"/>
      <c r="M4" s="1341"/>
      <c r="N4" s="1342"/>
      <c r="O4" s="1342"/>
      <c r="P4" s="1342"/>
      <c r="Q4" s="1342"/>
      <c r="R4" s="1342"/>
      <c r="S4" s="1342"/>
      <c r="T4" s="1342"/>
      <c r="U4" s="1342"/>
      <c r="V4" s="355"/>
      <c r="W4" s="355"/>
    </row>
    <row r="5" spans="2:22" ht="21.75" customHeight="1" thickBot="1">
      <c r="B5" s="49"/>
      <c r="C5" s="432"/>
      <c r="D5" s="50"/>
      <c r="E5" s="49"/>
      <c r="F5" s="433"/>
      <c r="G5" s="433"/>
      <c r="H5" s="434"/>
      <c r="I5" s="434"/>
      <c r="J5" s="434"/>
      <c r="K5" s="954"/>
      <c r="L5" s="954"/>
      <c r="M5" s="409"/>
      <c r="N5" s="383"/>
      <c r="O5" s="383"/>
      <c r="P5" s="383"/>
      <c r="S5" s="383"/>
      <c r="T5" s="383"/>
      <c r="U5" s="824"/>
      <c r="V5" s="737"/>
    </row>
    <row r="6" spans="2:23" ht="81" customHeight="1" thickBot="1" thickTop="1">
      <c r="B6" s="70" t="s">
        <v>131</v>
      </c>
      <c r="C6" s="71" t="s">
        <v>132</v>
      </c>
      <c r="D6" s="71" t="s">
        <v>133</v>
      </c>
      <c r="E6" s="284" t="s">
        <v>289</v>
      </c>
      <c r="F6" s="71" t="s">
        <v>288</v>
      </c>
      <c r="G6" s="72" t="s">
        <v>134</v>
      </c>
      <c r="H6" s="1343" t="s">
        <v>77</v>
      </c>
      <c r="I6" s="1343"/>
      <c r="J6" s="1343"/>
      <c r="K6" s="1170" t="s">
        <v>1582</v>
      </c>
      <c r="L6" s="1171" t="s">
        <v>1583</v>
      </c>
      <c r="M6" s="1184" t="s">
        <v>1582</v>
      </c>
      <c r="N6" s="174" t="s">
        <v>1340</v>
      </c>
      <c r="O6" s="174" t="s">
        <v>1229</v>
      </c>
      <c r="P6" s="174" t="s">
        <v>1230</v>
      </c>
      <c r="Q6" s="174" t="s">
        <v>1231</v>
      </c>
      <c r="R6" s="174" t="s">
        <v>1232</v>
      </c>
      <c r="S6" s="174" t="s">
        <v>1233</v>
      </c>
      <c r="T6" s="384" t="s">
        <v>1195</v>
      </c>
      <c r="U6" s="873" t="s">
        <v>1343</v>
      </c>
      <c r="V6" s="873" t="s">
        <v>1394</v>
      </c>
      <c r="W6" s="873" t="s">
        <v>1542</v>
      </c>
    </row>
    <row r="7" spans="2:23" s="509" customFormat="1" ht="12.75">
      <c r="B7" s="503">
        <v>1</v>
      </c>
      <c r="C7" s="504"/>
      <c r="D7" s="505"/>
      <c r="E7" s="506"/>
      <c r="F7" s="505"/>
      <c r="G7" s="505"/>
      <c r="H7" s="1337" t="s">
        <v>78</v>
      </c>
      <c r="I7" s="1338"/>
      <c r="J7" s="1339"/>
      <c r="K7" s="955">
        <f>K8+K26</f>
        <v>10385000</v>
      </c>
      <c r="L7" s="955">
        <f>L8+L26</f>
        <v>6400469.159999998</v>
      </c>
      <c r="M7" s="955">
        <f>M8+M26</f>
        <v>11809000</v>
      </c>
      <c r="N7" s="517">
        <f aca="true" t="shared" si="0" ref="N7:S7">N8+N26</f>
        <v>0</v>
      </c>
      <c r="O7" s="517">
        <f t="shared" si="0"/>
        <v>0</v>
      </c>
      <c r="P7" s="517">
        <f t="shared" si="0"/>
        <v>0</v>
      </c>
      <c r="Q7" s="517">
        <f t="shared" si="0"/>
        <v>0</v>
      </c>
      <c r="R7" s="517">
        <f t="shared" si="0"/>
        <v>0</v>
      </c>
      <c r="S7" s="517">
        <f t="shared" si="0"/>
        <v>0</v>
      </c>
      <c r="T7" s="518">
        <f>SUM(N7:S7)</f>
        <v>0</v>
      </c>
      <c r="U7" s="874">
        <f>SUM($M7:$S7)</f>
        <v>11809000</v>
      </c>
      <c r="V7" s="874">
        <v>11809000</v>
      </c>
      <c r="W7" s="875">
        <v>11809000</v>
      </c>
    </row>
    <row r="8" spans="2:23" ht="12.75">
      <c r="B8" s="287"/>
      <c r="C8" s="288"/>
      <c r="D8" s="435"/>
      <c r="E8" s="630" t="s">
        <v>1212</v>
      </c>
      <c r="F8" s="435"/>
      <c r="G8" s="436"/>
      <c r="H8" s="1278" t="s">
        <v>1211</v>
      </c>
      <c r="I8" s="1279"/>
      <c r="J8" s="1279"/>
      <c r="K8" s="1001">
        <f>K9</f>
        <v>10185000</v>
      </c>
      <c r="L8" s="1001">
        <f>L9</f>
        <v>6400469.159999998</v>
      </c>
      <c r="M8" s="1001">
        <f>M9</f>
        <v>11609000</v>
      </c>
      <c r="N8" s="289">
        <f aca="true" t="shared" si="1" ref="N8:S8">N9</f>
        <v>0</v>
      </c>
      <c r="O8" s="289">
        <f t="shared" si="1"/>
        <v>0</v>
      </c>
      <c r="P8" s="289">
        <f t="shared" si="1"/>
        <v>0</v>
      </c>
      <c r="Q8" s="289">
        <f t="shared" si="1"/>
        <v>0</v>
      </c>
      <c r="R8" s="289">
        <f t="shared" si="1"/>
        <v>0</v>
      </c>
      <c r="S8" s="289">
        <f t="shared" si="1"/>
        <v>0</v>
      </c>
      <c r="T8" s="339">
        <f aca="true" t="shared" si="2" ref="T8:T74">SUM(N8:S8)</f>
        <v>0</v>
      </c>
      <c r="U8" s="674">
        <f>SUM(M8:S8)</f>
        <v>11609000</v>
      </c>
      <c r="V8" s="674">
        <v>11609000</v>
      </c>
      <c r="W8" s="638">
        <v>11609000</v>
      </c>
    </row>
    <row r="9" spans="2:23" ht="14.25" customHeight="1">
      <c r="B9" s="287"/>
      <c r="C9" s="288"/>
      <c r="D9" s="435"/>
      <c r="E9" s="352" t="s">
        <v>1213</v>
      </c>
      <c r="F9" s="435"/>
      <c r="G9" s="436"/>
      <c r="H9" s="1194" t="s">
        <v>1214</v>
      </c>
      <c r="I9" s="1296"/>
      <c r="J9" s="1296"/>
      <c r="K9" s="1129">
        <f aca="true" t="shared" si="3" ref="K9:S9">K10</f>
        <v>10185000</v>
      </c>
      <c r="L9" s="1129">
        <f t="shared" si="3"/>
        <v>6400469.159999998</v>
      </c>
      <c r="M9" s="1129">
        <f t="shared" si="3"/>
        <v>11609000</v>
      </c>
      <c r="N9" s="293">
        <f t="shared" si="3"/>
        <v>0</v>
      </c>
      <c r="O9" s="293">
        <f t="shared" si="3"/>
        <v>0</v>
      </c>
      <c r="P9" s="293">
        <f t="shared" si="3"/>
        <v>0</v>
      </c>
      <c r="Q9" s="293">
        <f t="shared" si="3"/>
        <v>0</v>
      </c>
      <c r="R9" s="293">
        <f t="shared" si="3"/>
        <v>0</v>
      </c>
      <c r="S9" s="293">
        <f t="shared" si="3"/>
        <v>0</v>
      </c>
      <c r="T9" s="340">
        <f t="shared" si="2"/>
        <v>0</v>
      </c>
      <c r="U9" s="674">
        <f>SUM(M9:S9)</f>
        <v>11609000</v>
      </c>
      <c r="V9" s="674">
        <v>11609000</v>
      </c>
      <c r="W9" s="674">
        <v>11609000</v>
      </c>
    </row>
    <row r="10" spans="2:23" ht="24.75" customHeight="1">
      <c r="B10" s="437"/>
      <c r="C10" s="438"/>
      <c r="D10" s="56">
        <v>110</v>
      </c>
      <c r="E10" s="58"/>
      <c r="F10" s="439"/>
      <c r="G10" s="440"/>
      <c r="H10" s="1344" t="s">
        <v>1234</v>
      </c>
      <c r="I10" s="1186"/>
      <c r="J10" s="1186"/>
      <c r="K10" s="877">
        <f>SUM(K11:K25)</f>
        <v>10185000</v>
      </c>
      <c r="L10" s="877">
        <f>SUM(L11:L25)</f>
        <v>6400469.159999998</v>
      </c>
      <c r="M10" s="877">
        <f>SUM(M11:M25)</f>
        <v>11609000</v>
      </c>
      <c r="N10" s="636">
        <f aca="true" t="shared" si="4" ref="N10:S10">SUM(N11:N25)</f>
        <v>0</v>
      </c>
      <c r="O10" s="636">
        <f t="shared" si="4"/>
        <v>0</v>
      </c>
      <c r="P10" s="636">
        <f t="shared" si="4"/>
        <v>0</v>
      </c>
      <c r="Q10" s="636">
        <f t="shared" si="4"/>
        <v>0</v>
      </c>
      <c r="R10" s="636">
        <f t="shared" si="4"/>
        <v>0</v>
      </c>
      <c r="S10" s="636">
        <f t="shared" si="4"/>
        <v>0</v>
      </c>
      <c r="T10" s="637">
        <f t="shared" si="2"/>
        <v>0</v>
      </c>
      <c r="U10" s="876">
        <f>SUM(M10:S10)</f>
        <v>11609000</v>
      </c>
      <c r="V10" s="876">
        <v>11609000</v>
      </c>
      <c r="W10" s="876">
        <v>11609000</v>
      </c>
    </row>
    <row r="11" spans="2:23" s="362" customFormat="1" ht="12.75">
      <c r="B11" s="356"/>
      <c r="C11" s="363"/>
      <c r="D11" s="358"/>
      <c r="E11" s="363"/>
      <c r="F11" s="374">
        <v>1</v>
      </c>
      <c r="G11" s="441">
        <v>411</v>
      </c>
      <c r="H11" s="1248" t="s">
        <v>27</v>
      </c>
      <c r="I11" s="1249"/>
      <c r="J11" s="1250"/>
      <c r="K11" s="966">
        <v>2114000</v>
      </c>
      <c r="L11" s="966">
        <v>1505694.74</v>
      </c>
      <c r="M11" s="966">
        <v>2176000</v>
      </c>
      <c r="N11" s="417">
        <v>0</v>
      </c>
      <c r="O11" s="417">
        <v>0</v>
      </c>
      <c r="P11" s="417">
        <v>0</v>
      </c>
      <c r="Q11" s="420">
        <v>0</v>
      </c>
      <c r="R11" s="420">
        <v>0</v>
      </c>
      <c r="S11" s="420">
        <v>0</v>
      </c>
      <c r="T11" s="420">
        <f t="shared" si="2"/>
        <v>0</v>
      </c>
      <c r="U11" s="628">
        <f>SUM(M11:S11)</f>
        <v>2176000</v>
      </c>
      <c r="V11" s="628">
        <v>2176000</v>
      </c>
      <c r="W11" s="628">
        <v>2176000</v>
      </c>
    </row>
    <row r="12" spans="2:23" s="362" customFormat="1" ht="12.75">
      <c r="B12" s="356"/>
      <c r="C12" s="363"/>
      <c r="D12" s="358"/>
      <c r="E12" s="363"/>
      <c r="F12" s="374">
        <v>2</v>
      </c>
      <c r="G12" s="441">
        <v>412</v>
      </c>
      <c r="H12" s="1248" t="s">
        <v>79</v>
      </c>
      <c r="I12" s="1249"/>
      <c r="J12" s="1250"/>
      <c r="K12" s="958">
        <v>376000</v>
      </c>
      <c r="L12" s="958">
        <v>250698.19</v>
      </c>
      <c r="M12" s="958">
        <v>387000</v>
      </c>
      <c r="N12" s="417">
        <v>0</v>
      </c>
      <c r="O12" s="417">
        <v>0</v>
      </c>
      <c r="P12" s="417">
        <v>0</v>
      </c>
      <c r="Q12" s="420">
        <v>0</v>
      </c>
      <c r="R12" s="420">
        <v>0</v>
      </c>
      <c r="S12" s="420">
        <v>0</v>
      </c>
      <c r="T12" s="420">
        <f t="shared" si="2"/>
        <v>0</v>
      </c>
      <c r="U12" s="628">
        <v>373000</v>
      </c>
      <c r="V12" s="628">
        <v>373000</v>
      </c>
      <c r="W12" s="628">
        <v>373000</v>
      </c>
    </row>
    <row r="13" spans="2:23" s="362" customFormat="1" ht="12.75">
      <c r="B13" s="356"/>
      <c r="C13" s="363"/>
      <c r="D13" s="358"/>
      <c r="E13" s="363"/>
      <c r="F13" s="374">
        <v>3</v>
      </c>
      <c r="G13" s="441">
        <v>414</v>
      </c>
      <c r="H13" s="1202" t="s">
        <v>206</v>
      </c>
      <c r="I13" s="1203"/>
      <c r="J13" s="1204"/>
      <c r="K13" s="958">
        <v>110000</v>
      </c>
      <c r="L13" s="958">
        <v>0</v>
      </c>
      <c r="M13" s="958">
        <v>110000</v>
      </c>
      <c r="N13" s="417">
        <v>0</v>
      </c>
      <c r="O13" s="417">
        <v>0</v>
      </c>
      <c r="P13" s="417">
        <v>0</v>
      </c>
      <c r="Q13" s="420">
        <v>0</v>
      </c>
      <c r="R13" s="420">
        <v>0</v>
      </c>
      <c r="S13" s="420">
        <v>0</v>
      </c>
      <c r="T13" s="420">
        <f t="shared" si="2"/>
        <v>0</v>
      </c>
      <c r="U13" s="628">
        <f aca="true" t="shared" si="5" ref="U13:U40">SUM(M13:S13)</f>
        <v>110000</v>
      </c>
      <c r="V13" s="628">
        <v>110000</v>
      </c>
      <c r="W13" s="628">
        <v>110000</v>
      </c>
    </row>
    <row r="14" spans="2:23" s="362" customFormat="1" ht="12.75">
      <c r="B14" s="356"/>
      <c r="C14" s="363"/>
      <c r="D14" s="358"/>
      <c r="E14" s="363"/>
      <c r="F14" s="374">
        <v>4</v>
      </c>
      <c r="G14" s="441">
        <v>415</v>
      </c>
      <c r="H14" s="1248" t="s">
        <v>31</v>
      </c>
      <c r="I14" s="1249"/>
      <c r="J14" s="1250"/>
      <c r="K14" s="958">
        <v>130000</v>
      </c>
      <c r="L14" s="958">
        <v>76724.45</v>
      </c>
      <c r="M14" s="958">
        <v>130000</v>
      </c>
      <c r="N14" s="417">
        <v>0</v>
      </c>
      <c r="O14" s="417">
        <v>0</v>
      </c>
      <c r="P14" s="417">
        <v>0</v>
      </c>
      <c r="Q14" s="420">
        <v>0</v>
      </c>
      <c r="R14" s="420">
        <v>0</v>
      </c>
      <c r="S14" s="420">
        <v>0</v>
      </c>
      <c r="T14" s="420">
        <f t="shared" si="2"/>
        <v>0</v>
      </c>
      <c r="U14" s="628">
        <f t="shared" si="5"/>
        <v>130000</v>
      </c>
      <c r="V14" s="628">
        <v>130000</v>
      </c>
      <c r="W14" s="628">
        <v>130000</v>
      </c>
    </row>
    <row r="15" spans="2:23" s="362" customFormat="1" ht="12.75">
      <c r="B15" s="356"/>
      <c r="C15" s="363"/>
      <c r="D15" s="358"/>
      <c r="E15" s="363"/>
      <c r="F15" s="374">
        <v>5</v>
      </c>
      <c r="G15" s="441">
        <v>421</v>
      </c>
      <c r="H15" s="1202" t="s">
        <v>33</v>
      </c>
      <c r="I15" s="1203"/>
      <c r="J15" s="1204"/>
      <c r="K15" s="958">
        <v>45000</v>
      </c>
      <c r="L15" s="958">
        <v>10132.79</v>
      </c>
      <c r="M15" s="958">
        <v>45000</v>
      </c>
      <c r="N15" s="417">
        <v>0</v>
      </c>
      <c r="O15" s="417">
        <v>0</v>
      </c>
      <c r="P15" s="417">
        <v>0</v>
      </c>
      <c r="Q15" s="420">
        <v>0</v>
      </c>
      <c r="R15" s="420">
        <v>0</v>
      </c>
      <c r="S15" s="420">
        <v>0</v>
      </c>
      <c r="T15" s="420">
        <f t="shared" si="2"/>
        <v>0</v>
      </c>
      <c r="U15" s="628">
        <f t="shared" si="5"/>
        <v>45000</v>
      </c>
      <c r="V15" s="628">
        <v>45000</v>
      </c>
      <c r="W15" s="628">
        <v>45000</v>
      </c>
    </row>
    <row r="16" spans="2:23" s="362" customFormat="1" ht="12.75">
      <c r="B16" s="356"/>
      <c r="C16" s="363"/>
      <c r="D16" s="358"/>
      <c r="E16" s="363"/>
      <c r="F16" s="374">
        <v>6</v>
      </c>
      <c r="G16" s="441">
        <v>422</v>
      </c>
      <c r="H16" s="1202" t="s">
        <v>34</v>
      </c>
      <c r="I16" s="1203"/>
      <c r="J16" s="1204"/>
      <c r="K16" s="958">
        <v>20000</v>
      </c>
      <c r="L16" s="958">
        <v>0</v>
      </c>
      <c r="M16" s="958">
        <v>20000</v>
      </c>
      <c r="N16" s="417">
        <v>0</v>
      </c>
      <c r="O16" s="417">
        <v>0</v>
      </c>
      <c r="P16" s="417">
        <v>0</v>
      </c>
      <c r="Q16" s="420">
        <v>0</v>
      </c>
      <c r="R16" s="420">
        <v>0</v>
      </c>
      <c r="S16" s="420">
        <v>0</v>
      </c>
      <c r="T16" s="420">
        <f t="shared" si="2"/>
        <v>0</v>
      </c>
      <c r="U16" s="628">
        <f t="shared" si="5"/>
        <v>20000</v>
      </c>
      <c r="V16" s="628">
        <v>20000</v>
      </c>
      <c r="W16" s="628">
        <v>20000</v>
      </c>
    </row>
    <row r="17" spans="2:23" s="362" customFormat="1" ht="12.75">
      <c r="B17" s="356"/>
      <c r="C17" s="363"/>
      <c r="D17" s="358"/>
      <c r="E17" s="363"/>
      <c r="F17" s="374">
        <v>7</v>
      </c>
      <c r="G17" s="451">
        <v>423</v>
      </c>
      <c r="H17" s="1188" t="s">
        <v>1395</v>
      </c>
      <c r="I17" s="1189"/>
      <c r="J17" s="1190"/>
      <c r="K17" s="775">
        <v>3150000</v>
      </c>
      <c r="L17" s="775">
        <v>2068569.6999999997</v>
      </c>
      <c r="M17" s="775">
        <v>3500000</v>
      </c>
      <c r="N17" s="417">
        <v>0</v>
      </c>
      <c r="O17" s="417">
        <v>0</v>
      </c>
      <c r="P17" s="417">
        <v>0</v>
      </c>
      <c r="Q17" s="420">
        <v>0</v>
      </c>
      <c r="R17" s="420">
        <v>0</v>
      </c>
      <c r="S17" s="420">
        <v>0</v>
      </c>
      <c r="T17" s="420">
        <f t="shared" si="2"/>
        <v>0</v>
      </c>
      <c r="U17" s="628">
        <f t="shared" si="5"/>
        <v>3500000</v>
      </c>
      <c r="V17" s="628">
        <v>3500000</v>
      </c>
      <c r="W17" s="628">
        <v>3500000</v>
      </c>
    </row>
    <row r="18" spans="2:23" s="362" customFormat="1" ht="12.75">
      <c r="B18" s="356"/>
      <c r="C18" s="363"/>
      <c r="D18" s="358"/>
      <c r="E18" s="363"/>
      <c r="F18" s="374">
        <v>8</v>
      </c>
      <c r="G18" s="451">
        <v>423</v>
      </c>
      <c r="H18" s="1205" t="s">
        <v>1455</v>
      </c>
      <c r="I18" s="1206"/>
      <c r="J18" s="1207"/>
      <c r="K18" s="775">
        <v>350000</v>
      </c>
      <c r="L18" s="775">
        <v>178301.90000000002</v>
      </c>
      <c r="M18" s="775">
        <v>350000</v>
      </c>
      <c r="N18" s="417">
        <v>0</v>
      </c>
      <c r="O18" s="417">
        <v>0</v>
      </c>
      <c r="P18" s="417">
        <v>0</v>
      </c>
      <c r="Q18" s="420">
        <v>0</v>
      </c>
      <c r="R18" s="420">
        <v>0</v>
      </c>
      <c r="S18" s="420">
        <v>0</v>
      </c>
      <c r="T18" s="420">
        <f t="shared" si="2"/>
        <v>0</v>
      </c>
      <c r="U18" s="628">
        <f t="shared" si="5"/>
        <v>350000</v>
      </c>
      <c r="V18" s="628">
        <v>350000</v>
      </c>
      <c r="W18" s="628">
        <v>350000</v>
      </c>
    </row>
    <row r="19" spans="2:23" s="362" customFormat="1" ht="12.75">
      <c r="B19" s="356"/>
      <c r="C19" s="363"/>
      <c r="D19" s="358"/>
      <c r="E19" s="363"/>
      <c r="F19" s="374">
        <v>9</v>
      </c>
      <c r="G19" s="441">
        <v>423</v>
      </c>
      <c r="H19" s="1202" t="s">
        <v>1396</v>
      </c>
      <c r="I19" s="1203"/>
      <c r="J19" s="1204"/>
      <c r="K19" s="958">
        <v>750000</v>
      </c>
      <c r="L19" s="958">
        <v>577281.35</v>
      </c>
      <c r="M19" s="958">
        <v>700000</v>
      </c>
      <c r="N19" s="417">
        <v>0</v>
      </c>
      <c r="O19" s="417">
        <v>0</v>
      </c>
      <c r="P19" s="417">
        <v>0</v>
      </c>
      <c r="Q19" s="420">
        <v>0</v>
      </c>
      <c r="R19" s="420">
        <v>0</v>
      </c>
      <c r="S19" s="420">
        <v>0</v>
      </c>
      <c r="T19" s="420">
        <f t="shared" si="2"/>
        <v>0</v>
      </c>
      <c r="U19" s="628">
        <f t="shared" si="5"/>
        <v>700000</v>
      </c>
      <c r="V19" s="628">
        <v>700000</v>
      </c>
      <c r="W19" s="628">
        <v>700000</v>
      </c>
    </row>
    <row r="20" spans="2:23" s="362" customFormat="1" ht="12.75">
      <c r="B20" s="356"/>
      <c r="C20" s="363"/>
      <c r="D20" s="358"/>
      <c r="E20" s="363"/>
      <c r="F20" s="374">
        <v>10</v>
      </c>
      <c r="G20" s="441">
        <v>423</v>
      </c>
      <c r="H20" s="1202" t="s">
        <v>35</v>
      </c>
      <c r="I20" s="1203"/>
      <c r="J20" s="1204"/>
      <c r="K20" s="958">
        <v>500000</v>
      </c>
      <c r="L20" s="958">
        <v>257041.26</v>
      </c>
      <c r="M20" s="958">
        <v>400000</v>
      </c>
      <c r="N20" s="417">
        <v>0</v>
      </c>
      <c r="O20" s="417">
        <v>0</v>
      </c>
      <c r="P20" s="417">
        <v>0</v>
      </c>
      <c r="Q20" s="420">
        <v>0</v>
      </c>
      <c r="R20" s="420">
        <v>0</v>
      </c>
      <c r="S20" s="420">
        <v>0</v>
      </c>
      <c r="T20" s="420">
        <f t="shared" si="2"/>
        <v>0</v>
      </c>
      <c r="U20" s="628">
        <f t="shared" si="5"/>
        <v>400000</v>
      </c>
      <c r="V20" s="628">
        <v>400000</v>
      </c>
      <c r="W20" s="628">
        <v>400000</v>
      </c>
    </row>
    <row r="21" spans="2:23" s="362" customFormat="1" ht="12.75">
      <c r="B21" s="356"/>
      <c r="C21" s="363"/>
      <c r="D21" s="358"/>
      <c r="E21" s="363"/>
      <c r="F21" s="374">
        <v>11</v>
      </c>
      <c r="G21" s="441">
        <v>423</v>
      </c>
      <c r="H21" s="386" t="s">
        <v>1551</v>
      </c>
      <c r="I21" s="442"/>
      <c r="J21" s="445"/>
      <c r="K21" s="958">
        <v>2000000</v>
      </c>
      <c r="L21" s="958">
        <v>1197521.2799999998</v>
      </c>
      <c r="M21" s="775">
        <v>2830000</v>
      </c>
      <c r="N21" s="417">
        <v>0</v>
      </c>
      <c r="O21" s="417">
        <v>0</v>
      </c>
      <c r="P21" s="417">
        <v>0</v>
      </c>
      <c r="Q21" s="420">
        <v>0</v>
      </c>
      <c r="R21" s="420">
        <v>0</v>
      </c>
      <c r="S21" s="420">
        <v>0</v>
      </c>
      <c r="T21" s="420">
        <f t="shared" si="2"/>
        <v>0</v>
      </c>
      <c r="U21" s="628">
        <f t="shared" si="5"/>
        <v>2830000</v>
      </c>
      <c r="V21" s="628">
        <v>2830000</v>
      </c>
      <c r="W21" s="628">
        <v>2830000</v>
      </c>
    </row>
    <row r="22" spans="2:23" s="362" customFormat="1" ht="12.75">
      <c r="B22" s="356"/>
      <c r="C22" s="363"/>
      <c r="D22" s="358"/>
      <c r="E22" s="363"/>
      <c r="F22" s="374" t="s">
        <v>1568</v>
      </c>
      <c r="G22" s="441">
        <v>426</v>
      </c>
      <c r="H22" s="386" t="s">
        <v>1569</v>
      </c>
      <c r="I22" s="442"/>
      <c r="J22" s="445"/>
      <c r="K22" s="958">
        <v>0</v>
      </c>
      <c r="L22" s="958">
        <v>0</v>
      </c>
      <c r="M22" s="775">
        <v>430000</v>
      </c>
      <c r="N22" s="417">
        <v>0</v>
      </c>
      <c r="O22" s="417">
        <v>0</v>
      </c>
      <c r="P22" s="417">
        <v>0</v>
      </c>
      <c r="Q22" s="420">
        <v>0</v>
      </c>
      <c r="R22" s="420">
        <v>0</v>
      </c>
      <c r="S22" s="420">
        <v>0</v>
      </c>
      <c r="T22" s="420">
        <f t="shared" si="2"/>
        <v>0</v>
      </c>
      <c r="U22" s="628">
        <f t="shared" si="5"/>
        <v>430000</v>
      </c>
      <c r="V22" s="628">
        <v>430000</v>
      </c>
      <c r="W22" s="628">
        <v>430000</v>
      </c>
    </row>
    <row r="23" spans="2:23" s="362" customFormat="1" ht="12.75">
      <c r="B23" s="356"/>
      <c r="C23" s="363"/>
      <c r="D23" s="358"/>
      <c r="E23" s="363"/>
      <c r="F23" s="374">
        <v>12</v>
      </c>
      <c r="G23" s="441">
        <v>426</v>
      </c>
      <c r="H23" s="1202" t="s">
        <v>38</v>
      </c>
      <c r="I23" s="1203"/>
      <c r="J23" s="1204"/>
      <c r="K23" s="958">
        <v>150000</v>
      </c>
      <c r="L23" s="958">
        <v>34914</v>
      </c>
      <c r="M23" s="958">
        <v>150000</v>
      </c>
      <c r="N23" s="417">
        <v>0</v>
      </c>
      <c r="O23" s="417">
        <v>0</v>
      </c>
      <c r="P23" s="417">
        <v>0</v>
      </c>
      <c r="Q23" s="420">
        <v>0</v>
      </c>
      <c r="R23" s="420">
        <v>0</v>
      </c>
      <c r="S23" s="420">
        <v>0</v>
      </c>
      <c r="T23" s="420">
        <f t="shared" si="2"/>
        <v>0</v>
      </c>
      <c r="U23" s="628">
        <f t="shared" si="5"/>
        <v>150000</v>
      </c>
      <c r="V23" s="628">
        <v>150000</v>
      </c>
      <c r="W23" s="628">
        <v>150000</v>
      </c>
    </row>
    <row r="24" spans="2:23" s="362" customFormat="1" ht="12.75">
      <c r="B24" s="356"/>
      <c r="C24" s="363"/>
      <c r="D24" s="358"/>
      <c r="E24" s="363"/>
      <c r="F24" s="374">
        <v>13</v>
      </c>
      <c r="G24" s="441">
        <v>465</v>
      </c>
      <c r="H24" s="1202" t="s">
        <v>216</v>
      </c>
      <c r="I24" s="1203"/>
      <c r="J24" s="1204"/>
      <c r="K24" s="958">
        <v>130000</v>
      </c>
      <c r="L24" s="958">
        <v>20095.91</v>
      </c>
      <c r="M24" s="959">
        <v>21000</v>
      </c>
      <c r="N24" s="417">
        <v>0</v>
      </c>
      <c r="O24" s="417">
        <v>0</v>
      </c>
      <c r="P24" s="417">
        <v>0</v>
      </c>
      <c r="Q24" s="420">
        <v>0</v>
      </c>
      <c r="R24" s="420">
        <v>0</v>
      </c>
      <c r="S24" s="420">
        <v>0</v>
      </c>
      <c r="T24" s="420">
        <f t="shared" si="2"/>
        <v>0</v>
      </c>
      <c r="U24" s="628">
        <f t="shared" si="5"/>
        <v>21000</v>
      </c>
      <c r="V24" s="628">
        <v>21000</v>
      </c>
      <c r="W24" s="628">
        <v>21000</v>
      </c>
    </row>
    <row r="25" spans="2:23" s="362" customFormat="1" ht="12.75">
      <c r="B25" s="356"/>
      <c r="C25" s="363"/>
      <c r="D25" s="358"/>
      <c r="E25" s="363"/>
      <c r="F25" s="374">
        <v>14</v>
      </c>
      <c r="G25" s="441">
        <v>481</v>
      </c>
      <c r="H25" s="1242" t="s">
        <v>80</v>
      </c>
      <c r="I25" s="1243"/>
      <c r="J25" s="1244"/>
      <c r="K25" s="959">
        <v>360000</v>
      </c>
      <c r="L25" s="959">
        <v>223493.58999999997</v>
      </c>
      <c r="M25" s="1165">
        <v>360000</v>
      </c>
      <c r="N25" s="410">
        <v>0</v>
      </c>
      <c r="O25" s="417">
        <v>0</v>
      </c>
      <c r="P25" s="417">
        <v>0</v>
      </c>
      <c r="Q25" s="420">
        <v>0</v>
      </c>
      <c r="R25" s="420">
        <v>0</v>
      </c>
      <c r="S25" s="420">
        <v>0</v>
      </c>
      <c r="T25" s="420">
        <f t="shared" si="2"/>
        <v>0</v>
      </c>
      <c r="U25" s="628">
        <f t="shared" si="5"/>
        <v>360000</v>
      </c>
      <c r="V25" s="628">
        <v>360000</v>
      </c>
      <c r="W25" s="628">
        <v>360000</v>
      </c>
    </row>
    <row r="26" spans="2:23" ht="12.75">
      <c r="B26" s="287"/>
      <c r="C26" s="288"/>
      <c r="D26" s="435"/>
      <c r="E26" s="630" t="s">
        <v>290</v>
      </c>
      <c r="F26" s="631"/>
      <c r="G26" s="632"/>
      <c r="H26" s="1278" t="s">
        <v>1274</v>
      </c>
      <c r="I26" s="1279"/>
      <c r="J26" s="1279"/>
      <c r="K26" s="1001">
        <f aca="true" t="shared" si="6" ref="K26:S27">K27</f>
        <v>200000</v>
      </c>
      <c r="L26" s="1001">
        <f t="shared" si="6"/>
        <v>0</v>
      </c>
      <c r="M26" s="1001">
        <f t="shared" si="6"/>
        <v>200000</v>
      </c>
      <c r="N26" s="289">
        <f t="shared" si="6"/>
        <v>0</v>
      </c>
      <c r="O26" s="289">
        <f t="shared" si="6"/>
        <v>0</v>
      </c>
      <c r="P26" s="289">
        <f t="shared" si="6"/>
        <v>0</v>
      </c>
      <c r="Q26" s="289">
        <f t="shared" si="6"/>
        <v>0</v>
      </c>
      <c r="R26" s="289">
        <f t="shared" si="6"/>
        <v>0</v>
      </c>
      <c r="S26" s="289">
        <f t="shared" si="6"/>
        <v>0</v>
      </c>
      <c r="T26" s="339">
        <f t="shared" si="2"/>
        <v>0</v>
      </c>
      <c r="U26" s="674">
        <f t="shared" si="5"/>
        <v>200000</v>
      </c>
      <c r="V26" s="674">
        <v>200000</v>
      </c>
      <c r="W26" s="638">
        <v>200000</v>
      </c>
    </row>
    <row r="27" spans="2:23" s="362" customFormat="1" ht="12.75">
      <c r="B27" s="287"/>
      <c r="C27" s="288"/>
      <c r="D27" s="435"/>
      <c r="E27" s="630" t="s">
        <v>869</v>
      </c>
      <c r="F27" s="352"/>
      <c r="G27" s="619"/>
      <c r="H27" s="1191" t="s">
        <v>1276</v>
      </c>
      <c r="I27" s="1192"/>
      <c r="J27" s="1192"/>
      <c r="K27" s="1129">
        <f t="shared" si="6"/>
        <v>200000</v>
      </c>
      <c r="L27" s="1129">
        <f t="shared" si="6"/>
        <v>0</v>
      </c>
      <c r="M27" s="1129">
        <f t="shared" si="6"/>
        <v>200000</v>
      </c>
      <c r="N27" s="293">
        <f aca="true" t="shared" si="7" ref="N27:S27">N28</f>
        <v>0</v>
      </c>
      <c r="O27" s="293">
        <f t="shared" si="7"/>
        <v>0</v>
      </c>
      <c r="P27" s="293">
        <f t="shared" si="7"/>
        <v>0</v>
      </c>
      <c r="Q27" s="293">
        <f t="shared" si="7"/>
        <v>0</v>
      </c>
      <c r="R27" s="293">
        <f t="shared" si="7"/>
        <v>0</v>
      </c>
      <c r="S27" s="293">
        <f t="shared" si="7"/>
        <v>0</v>
      </c>
      <c r="T27" s="857">
        <f t="shared" si="2"/>
        <v>0</v>
      </c>
      <c r="U27" s="674">
        <f t="shared" si="5"/>
        <v>200000</v>
      </c>
      <c r="V27" s="674">
        <v>200000</v>
      </c>
      <c r="W27" s="674">
        <v>200000</v>
      </c>
    </row>
    <row r="28" spans="2:23" s="362" customFormat="1" ht="12.75">
      <c r="B28" s="356"/>
      <c r="C28" s="363"/>
      <c r="D28" s="56">
        <v>130</v>
      </c>
      <c r="E28" s="182"/>
      <c r="F28" s="363"/>
      <c r="G28" s="359"/>
      <c r="H28" s="1185" t="s">
        <v>90</v>
      </c>
      <c r="I28" s="1186"/>
      <c r="J28" s="1187"/>
      <c r="K28" s="780">
        <f aca="true" t="shared" si="8" ref="K28:S28">K29</f>
        <v>200000</v>
      </c>
      <c r="L28" s="780">
        <f t="shared" si="8"/>
        <v>0</v>
      </c>
      <c r="M28" s="780">
        <f t="shared" si="8"/>
        <v>200000</v>
      </c>
      <c r="N28" s="183">
        <f t="shared" si="8"/>
        <v>0</v>
      </c>
      <c r="O28" s="183">
        <f t="shared" si="8"/>
        <v>0</v>
      </c>
      <c r="P28" s="183">
        <f t="shared" si="8"/>
        <v>0</v>
      </c>
      <c r="Q28" s="183">
        <f t="shared" si="8"/>
        <v>0</v>
      </c>
      <c r="R28" s="183">
        <f t="shared" si="8"/>
        <v>0</v>
      </c>
      <c r="S28" s="183">
        <f t="shared" si="8"/>
        <v>0</v>
      </c>
      <c r="T28" s="341">
        <f t="shared" si="2"/>
        <v>0</v>
      </c>
      <c r="U28" s="381">
        <f t="shared" si="5"/>
        <v>200000</v>
      </c>
      <c r="V28" s="381">
        <v>200000</v>
      </c>
      <c r="W28" s="877">
        <v>200000</v>
      </c>
    </row>
    <row r="29" spans="2:23" s="362" customFormat="1" ht="13.5" thickBot="1">
      <c r="B29" s="375"/>
      <c r="C29" s="368"/>
      <c r="D29" s="369"/>
      <c r="E29" s="368"/>
      <c r="F29" s="357" t="s">
        <v>1552</v>
      </c>
      <c r="G29" s="625">
        <v>481</v>
      </c>
      <c r="H29" s="1205" t="s">
        <v>1574</v>
      </c>
      <c r="I29" s="1206"/>
      <c r="J29" s="1207"/>
      <c r="K29" s="378">
        <v>200000</v>
      </c>
      <c r="L29" s="378">
        <v>0</v>
      </c>
      <c r="M29" s="378">
        <v>200000</v>
      </c>
      <c r="N29" s="448">
        <v>0</v>
      </c>
      <c r="O29" s="448">
        <v>0</v>
      </c>
      <c r="P29" s="448">
        <v>0</v>
      </c>
      <c r="Q29" s="421">
        <v>0</v>
      </c>
      <c r="R29" s="420">
        <v>0</v>
      </c>
      <c r="S29" s="421">
        <v>0</v>
      </c>
      <c r="T29" s="421">
        <f t="shared" si="2"/>
        <v>0</v>
      </c>
      <c r="U29" s="628">
        <f t="shared" si="5"/>
        <v>200000</v>
      </c>
      <c r="V29" s="628">
        <v>200000</v>
      </c>
      <c r="W29" s="628">
        <v>200000</v>
      </c>
    </row>
    <row r="30" spans="2:23" s="509" customFormat="1" ht="12.75" customHeight="1">
      <c r="B30" s="503" t="s">
        <v>831</v>
      </c>
      <c r="C30" s="504"/>
      <c r="D30" s="505"/>
      <c r="E30" s="506"/>
      <c r="F30" s="505"/>
      <c r="G30" s="538"/>
      <c r="H30" s="1337" t="s">
        <v>1209</v>
      </c>
      <c r="I30" s="1338"/>
      <c r="J30" s="1339"/>
      <c r="K30" s="955">
        <f>K31</f>
        <v>1611000</v>
      </c>
      <c r="L30" s="955">
        <f>L31</f>
        <v>953222.61</v>
      </c>
      <c r="M30" s="955">
        <f>M31</f>
        <v>1482000</v>
      </c>
      <c r="N30" s="517">
        <f aca="true" t="shared" si="9" ref="N30:S30">N31</f>
        <v>0</v>
      </c>
      <c r="O30" s="517">
        <f t="shared" si="9"/>
        <v>0</v>
      </c>
      <c r="P30" s="517">
        <f t="shared" si="9"/>
        <v>0</v>
      </c>
      <c r="Q30" s="517">
        <f t="shared" si="9"/>
        <v>0</v>
      </c>
      <c r="R30" s="517">
        <f t="shared" si="9"/>
        <v>0</v>
      </c>
      <c r="S30" s="517">
        <f t="shared" si="9"/>
        <v>0</v>
      </c>
      <c r="T30" s="518">
        <f t="shared" si="2"/>
        <v>0</v>
      </c>
      <c r="U30" s="874">
        <f t="shared" si="5"/>
        <v>1482000</v>
      </c>
      <c r="V30" s="874">
        <v>1482000</v>
      </c>
      <c r="W30" s="875">
        <v>1482000</v>
      </c>
    </row>
    <row r="31" spans="2:23" ht="12.75">
      <c r="B31" s="287"/>
      <c r="C31" s="288"/>
      <c r="D31" s="435"/>
      <c r="E31" s="630" t="s">
        <v>290</v>
      </c>
      <c r="F31" s="631"/>
      <c r="G31" s="632"/>
      <c r="H31" s="1278" t="s">
        <v>1274</v>
      </c>
      <c r="I31" s="1279"/>
      <c r="J31" s="1279"/>
      <c r="K31" s="1001">
        <f aca="true" t="shared" si="10" ref="K31:S31">K32</f>
        <v>1611000</v>
      </c>
      <c r="L31" s="1001">
        <f t="shared" si="10"/>
        <v>953222.61</v>
      </c>
      <c r="M31" s="1001">
        <f t="shared" si="10"/>
        <v>1482000</v>
      </c>
      <c r="N31" s="289">
        <f t="shared" si="10"/>
        <v>0</v>
      </c>
      <c r="O31" s="289">
        <f t="shared" si="10"/>
        <v>0</v>
      </c>
      <c r="P31" s="289">
        <f t="shared" si="10"/>
        <v>0</v>
      </c>
      <c r="Q31" s="289">
        <f t="shared" si="10"/>
        <v>0</v>
      </c>
      <c r="R31" s="289">
        <f t="shared" si="10"/>
        <v>0</v>
      </c>
      <c r="S31" s="289">
        <f t="shared" si="10"/>
        <v>0</v>
      </c>
      <c r="T31" s="339">
        <f t="shared" si="2"/>
        <v>0</v>
      </c>
      <c r="U31" s="674">
        <f t="shared" si="5"/>
        <v>1482000</v>
      </c>
      <c r="V31" s="674">
        <v>1482000</v>
      </c>
      <c r="W31" s="638">
        <v>1482000</v>
      </c>
    </row>
    <row r="32" spans="2:23" ht="14.25" customHeight="1">
      <c r="B32" s="287"/>
      <c r="C32" s="288"/>
      <c r="D32" s="435"/>
      <c r="E32" s="352" t="s">
        <v>867</v>
      </c>
      <c r="F32" s="435"/>
      <c r="G32" s="436"/>
      <c r="H32" s="1194" t="s">
        <v>1275</v>
      </c>
      <c r="I32" s="1296"/>
      <c r="J32" s="1297"/>
      <c r="K32" s="957">
        <f aca="true" t="shared" si="11" ref="K32:S32">K33</f>
        <v>1611000</v>
      </c>
      <c r="L32" s="957">
        <f t="shared" si="11"/>
        <v>953222.61</v>
      </c>
      <c r="M32" s="957">
        <f t="shared" si="11"/>
        <v>1482000</v>
      </c>
      <c r="N32" s="293">
        <f t="shared" si="11"/>
        <v>0</v>
      </c>
      <c r="O32" s="293">
        <f t="shared" si="11"/>
        <v>0</v>
      </c>
      <c r="P32" s="293">
        <f t="shared" si="11"/>
        <v>0</v>
      </c>
      <c r="Q32" s="293">
        <f t="shared" si="11"/>
        <v>0</v>
      </c>
      <c r="R32" s="293">
        <f t="shared" si="11"/>
        <v>0</v>
      </c>
      <c r="S32" s="293">
        <f t="shared" si="11"/>
        <v>0</v>
      </c>
      <c r="T32" s="340">
        <f t="shared" si="2"/>
        <v>0</v>
      </c>
      <c r="U32" s="674">
        <f t="shared" si="5"/>
        <v>1482000</v>
      </c>
      <c r="V32" s="674">
        <v>1482000</v>
      </c>
      <c r="W32" s="674">
        <v>1482000</v>
      </c>
    </row>
    <row r="33" spans="2:23" s="23" customFormat="1" ht="12.75">
      <c r="B33" s="561"/>
      <c r="C33" s="562"/>
      <c r="D33" s="56">
        <v>330</v>
      </c>
      <c r="E33" s="58"/>
      <c r="F33" s="563"/>
      <c r="G33" s="564"/>
      <c r="H33" s="1185" t="s">
        <v>1187</v>
      </c>
      <c r="I33" s="1186"/>
      <c r="J33" s="1187"/>
      <c r="K33" s="798">
        <f>SUM(K34:K39)</f>
        <v>1611000</v>
      </c>
      <c r="L33" s="798">
        <f>SUM(L34:L39)</f>
        <v>953222.61</v>
      </c>
      <c r="M33" s="798">
        <f>SUM(M34:M39)</f>
        <v>1482000</v>
      </c>
      <c r="N33" s="565">
        <f aca="true" t="shared" si="12" ref="N33:S33">SUM(N34:N39)</f>
        <v>0</v>
      </c>
      <c r="O33" s="565">
        <f t="shared" si="12"/>
        <v>0</v>
      </c>
      <c r="P33" s="565">
        <f t="shared" si="12"/>
        <v>0</v>
      </c>
      <c r="Q33" s="565">
        <f t="shared" si="12"/>
        <v>0</v>
      </c>
      <c r="R33" s="565">
        <f t="shared" si="12"/>
        <v>0</v>
      </c>
      <c r="S33" s="565">
        <f t="shared" si="12"/>
        <v>0</v>
      </c>
      <c r="T33" s="180">
        <f t="shared" si="2"/>
        <v>0</v>
      </c>
      <c r="U33" s="876">
        <f t="shared" si="5"/>
        <v>1482000</v>
      </c>
      <c r="V33" s="876">
        <v>1482000</v>
      </c>
      <c r="W33" s="878">
        <v>1482000</v>
      </c>
    </row>
    <row r="34" spans="2:23" s="362" customFormat="1" ht="12.75">
      <c r="B34" s="356"/>
      <c r="C34" s="363"/>
      <c r="D34" s="358"/>
      <c r="E34" s="363"/>
      <c r="F34" s="543">
        <v>16</v>
      </c>
      <c r="G34" s="544">
        <v>411</v>
      </c>
      <c r="H34" s="1248" t="s">
        <v>27</v>
      </c>
      <c r="I34" s="1249"/>
      <c r="J34" s="1249"/>
      <c r="K34" s="999">
        <v>1128000</v>
      </c>
      <c r="L34" s="999">
        <v>784687.5299999999</v>
      </c>
      <c r="M34" s="999">
        <v>1128000</v>
      </c>
      <c r="N34" s="411">
        <v>0</v>
      </c>
      <c r="O34" s="417">
        <v>0</v>
      </c>
      <c r="P34" s="417">
        <v>0</v>
      </c>
      <c r="Q34" s="420">
        <v>0</v>
      </c>
      <c r="R34" s="420">
        <v>0</v>
      </c>
      <c r="S34" s="420">
        <v>0</v>
      </c>
      <c r="T34" s="420">
        <f t="shared" si="2"/>
        <v>0</v>
      </c>
      <c r="U34" s="628">
        <f t="shared" si="5"/>
        <v>1128000</v>
      </c>
      <c r="V34" s="628">
        <v>1128000</v>
      </c>
      <c r="W34" s="628">
        <v>1128000</v>
      </c>
    </row>
    <row r="35" spans="2:23" s="362" customFormat="1" ht="12.75">
      <c r="B35" s="356"/>
      <c r="C35" s="492"/>
      <c r="D35" s="580"/>
      <c r="E35" s="668"/>
      <c r="F35" s="543">
        <v>17</v>
      </c>
      <c r="G35" s="659">
        <v>412</v>
      </c>
      <c r="H35" s="1335" t="s">
        <v>79</v>
      </c>
      <c r="I35" s="1335"/>
      <c r="J35" s="1335"/>
      <c r="K35" s="999">
        <v>202000</v>
      </c>
      <c r="L35" s="999">
        <v>130650.44</v>
      </c>
      <c r="M35" s="999">
        <v>202000</v>
      </c>
      <c r="N35" s="411">
        <v>0</v>
      </c>
      <c r="O35" s="545">
        <v>0</v>
      </c>
      <c r="P35" s="545">
        <v>0</v>
      </c>
      <c r="Q35" s="458">
        <v>0</v>
      </c>
      <c r="R35" s="458">
        <v>0</v>
      </c>
      <c r="S35" s="420">
        <v>0</v>
      </c>
      <c r="T35" s="420">
        <f t="shared" si="2"/>
        <v>0</v>
      </c>
      <c r="U35" s="628">
        <f t="shared" si="5"/>
        <v>202000</v>
      </c>
      <c r="V35" s="628">
        <v>202000</v>
      </c>
      <c r="W35" s="628">
        <v>202000</v>
      </c>
    </row>
    <row r="36" spans="2:23" s="362" customFormat="1" ht="12.75">
      <c r="B36" s="667"/>
      <c r="C36" s="494"/>
      <c r="D36" s="546"/>
      <c r="E36" s="494"/>
      <c r="F36" s="543">
        <v>18</v>
      </c>
      <c r="G36" s="539">
        <v>415</v>
      </c>
      <c r="H36" s="1315" t="s">
        <v>31</v>
      </c>
      <c r="I36" s="1315"/>
      <c r="J36" s="1315"/>
      <c r="K36" s="963">
        <v>72000</v>
      </c>
      <c r="L36" s="963">
        <v>27027.67</v>
      </c>
      <c r="M36" s="963">
        <v>72000</v>
      </c>
      <c r="N36" s="411">
        <v>0</v>
      </c>
      <c r="O36" s="464">
        <v>0</v>
      </c>
      <c r="P36" s="464">
        <v>0</v>
      </c>
      <c r="Q36" s="665">
        <v>0</v>
      </c>
      <c r="R36" s="665">
        <v>0</v>
      </c>
      <c r="S36" s="664">
        <v>0</v>
      </c>
      <c r="T36" s="421">
        <f t="shared" si="2"/>
        <v>0</v>
      </c>
      <c r="U36" s="628">
        <f t="shared" si="5"/>
        <v>72000</v>
      </c>
      <c r="V36" s="628">
        <v>72000</v>
      </c>
      <c r="W36" s="628">
        <v>72000</v>
      </c>
    </row>
    <row r="37" spans="2:23" s="362" customFormat="1" ht="12.75">
      <c r="B37" s="667"/>
      <c r="C37" s="494"/>
      <c r="D37" s="546"/>
      <c r="E37" s="494"/>
      <c r="F37" s="543">
        <v>19</v>
      </c>
      <c r="G37" s="539">
        <v>421</v>
      </c>
      <c r="H37" s="1315" t="s">
        <v>33</v>
      </c>
      <c r="I37" s="1315"/>
      <c r="J37" s="1315"/>
      <c r="K37" s="963">
        <v>1000</v>
      </c>
      <c r="L37" s="963">
        <v>98.38000000000001</v>
      </c>
      <c r="M37" s="963">
        <v>1000</v>
      </c>
      <c r="N37" s="411">
        <v>0</v>
      </c>
      <c r="O37" s="464">
        <v>0</v>
      </c>
      <c r="P37" s="464">
        <v>0</v>
      </c>
      <c r="Q37" s="464">
        <v>0</v>
      </c>
      <c r="R37" s="464">
        <v>0</v>
      </c>
      <c r="S37" s="464">
        <v>0</v>
      </c>
      <c r="T37" s="429">
        <f t="shared" si="2"/>
        <v>0</v>
      </c>
      <c r="U37" s="628">
        <f t="shared" si="5"/>
        <v>1000</v>
      </c>
      <c r="V37" s="628">
        <v>1000</v>
      </c>
      <c r="W37" s="628">
        <v>1000</v>
      </c>
    </row>
    <row r="38" spans="2:23" s="362" customFormat="1" ht="12.75">
      <c r="B38" s="667"/>
      <c r="C38" s="494"/>
      <c r="D38" s="546"/>
      <c r="E38" s="494"/>
      <c r="F38" s="543">
        <v>20</v>
      </c>
      <c r="G38" s="539">
        <v>426</v>
      </c>
      <c r="H38" s="1315" t="s">
        <v>38</v>
      </c>
      <c r="I38" s="1315"/>
      <c r="J38" s="1315"/>
      <c r="K38" s="964">
        <v>68000</v>
      </c>
      <c r="L38" s="964">
        <v>0</v>
      </c>
      <c r="M38" s="964">
        <v>68000</v>
      </c>
      <c r="N38" s="411">
        <v>0</v>
      </c>
      <c r="O38" s="464">
        <v>0</v>
      </c>
      <c r="P38" s="464">
        <v>0</v>
      </c>
      <c r="Q38" s="464">
        <v>0</v>
      </c>
      <c r="R38" s="464">
        <v>0</v>
      </c>
      <c r="S38" s="464">
        <v>0</v>
      </c>
      <c r="T38" s="429">
        <f t="shared" si="2"/>
        <v>0</v>
      </c>
      <c r="U38" s="628">
        <f t="shared" si="5"/>
        <v>68000</v>
      </c>
      <c r="V38" s="628">
        <v>68000</v>
      </c>
      <c r="W38" s="628">
        <v>68000</v>
      </c>
    </row>
    <row r="39" spans="2:23" s="362" customFormat="1" ht="13.5" thickBot="1">
      <c r="B39" s="375"/>
      <c r="C39" s="540"/>
      <c r="D39" s="626"/>
      <c r="E39" s="669"/>
      <c r="F39" s="543">
        <v>21</v>
      </c>
      <c r="G39" s="670">
        <v>465</v>
      </c>
      <c r="H39" s="1336" t="s">
        <v>216</v>
      </c>
      <c r="I39" s="1336"/>
      <c r="J39" s="1336"/>
      <c r="K39" s="964">
        <v>140000</v>
      </c>
      <c r="L39" s="964">
        <v>10758.59</v>
      </c>
      <c r="M39" s="964">
        <v>11000</v>
      </c>
      <c r="N39" s="411">
        <v>0</v>
      </c>
      <c r="O39" s="411">
        <v>0</v>
      </c>
      <c r="P39" s="429">
        <v>0</v>
      </c>
      <c r="Q39" s="464">
        <v>0</v>
      </c>
      <c r="R39" s="464">
        <v>0</v>
      </c>
      <c r="S39" s="464">
        <v>0</v>
      </c>
      <c r="T39" s="429">
        <f t="shared" si="2"/>
        <v>0</v>
      </c>
      <c r="U39" s="628">
        <f t="shared" si="5"/>
        <v>11000</v>
      </c>
      <c r="V39" s="628">
        <v>11000</v>
      </c>
      <c r="W39" s="628">
        <v>11000</v>
      </c>
    </row>
    <row r="40" spans="2:23" s="509" customFormat="1" ht="12.75" customHeight="1">
      <c r="B40" s="503" t="s">
        <v>336</v>
      </c>
      <c r="C40" s="504"/>
      <c r="D40" s="538"/>
      <c r="E40" s="548"/>
      <c r="F40" s="538"/>
      <c r="G40" s="660"/>
      <c r="H40" s="1332" t="s">
        <v>81</v>
      </c>
      <c r="I40" s="1333"/>
      <c r="J40" s="1334"/>
      <c r="K40" s="965">
        <f>K41</f>
        <v>15740000</v>
      </c>
      <c r="L40" s="965">
        <f>L41</f>
        <v>7532745.609999999</v>
      </c>
      <c r="M40" s="965">
        <f>M41</f>
        <v>12069000</v>
      </c>
      <c r="N40" s="515">
        <f aca="true" t="shared" si="13" ref="N40:S40">N41</f>
        <v>0</v>
      </c>
      <c r="O40" s="515">
        <f t="shared" si="13"/>
        <v>0</v>
      </c>
      <c r="P40" s="515">
        <f t="shared" si="13"/>
        <v>0</v>
      </c>
      <c r="Q40" s="515">
        <f t="shared" si="13"/>
        <v>0</v>
      </c>
      <c r="R40" s="515">
        <f t="shared" si="13"/>
        <v>0</v>
      </c>
      <c r="S40" s="515">
        <f t="shared" si="13"/>
        <v>0</v>
      </c>
      <c r="T40" s="516">
        <f t="shared" si="2"/>
        <v>0</v>
      </c>
      <c r="U40" s="879">
        <f t="shared" si="5"/>
        <v>12069000</v>
      </c>
      <c r="V40" s="879">
        <v>12069000</v>
      </c>
      <c r="W40" s="880">
        <v>12069000</v>
      </c>
    </row>
    <row r="41" spans="2:23" ht="12.75">
      <c r="B41" s="287"/>
      <c r="C41" s="288"/>
      <c r="D41" s="435"/>
      <c r="E41" s="630" t="s">
        <v>1212</v>
      </c>
      <c r="F41" s="631"/>
      <c r="G41" s="632"/>
      <c r="H41" s="1278" t="s">
        <v>1211</v>
      </c>
      <c r="I41" s="1279"/>
      <c r="J41" s="1280"/>
      <c r="K41" s="956">
        <f aca="true" t="shared" si="14" ref="K41:S41">K42</f>
        <v>15740000</v>
      </c>
      <c r="L41" s="956">
        <f t="shared" si="14"/>
        <v>7532745.609999999</v>
      </c>
      <c r="M41" s="956">
        <f t="shared" si="14"/>
        <v>12069000</v>
      </c>
      <c r="N41" s="289">
        <f t="shared" si="14"/>
        <v>0</v>
      </c>
      <c r="O41" s="289">
        <f t="shared" si="14"/>
        <v>0</v>
      </c>
      <c r="P41" s="289">
        <f t="shared" si="14"/>
        <v>0</v>
      </c>
      <c r="Q41" s="289">
        <f t="shared" si="14"/>
        <v>0</v>
      </c>
      <c r="R41" s="289">
        <f t="shared" si="14"/>
        <v>0</v>
      </c>
      <c r="S41" s="289">
        <f t="shared" si="14"/>
        <v>0</v>
      </c>
      <c r="T41" s="339">
        <f t="shared" si="2"/>
        <v>0</v>
      </c>
      <c r="U41" s="674">
        <f aca="true" t="shared" si="15" ref="U41:U58">SUM(M41:S41)</f>
        <v>12069000</v>
      </c>
      <c r="V41" s="674">
        <v>12069000</v>
      </c>
      <c r="W41" s="638">
        <v>12069000</v>
      </c>
    </row>
    <row r="42" spans="2:23" ht="13.5" customHeight="1">
      <c r="B42" s="287"/>
      <c r="C42" s="288"/>
      <c r="D42" s="435"/>
      <c r="E42" s="352" t="s">
        <v>1218</v>
      </c>
      <c r="F42" s="435"/>
      <c r="G42" s="436"/>
      <c r="H42" s="1194" t="s">
        <v>1217</v>
      </c>
      <c r="I42" s="1296"/>
      <c r="J42" s="1297"/>
      <c r="K42" s="957">
        <f aca="true" t="shared" si="16" ref="K42:S42">K43</f>
        <v>15740000</v>
      </c>
      <c r="L42" s="957">
        <f t="shared" si="16"/>
        <v>7532745.609999999</v>
      </c>
      <c r="M42" s="957">
        <f t="shared" si="16"/>
        <v>12069000</v>
      </c>
      <c r="N42" s="293">
        <f t="shared" si="16"/>
        <v>0</v>
      </c>
      <c r="O42" s="293">
        <f t="shared" si="16"/>
        <v>0</v>
      </c>
      <c r="P42" s="293">
        <f t="shared" si="16"/>
        <v>0</v>
      </c>
      <c r="Q42" s="293">
        <f t="shared" si="16"/>
        <v>0</v>
      </c>
      <c r="R42" s="293">
        <f t="shared" si="16"/>
        <v>0</v>
      </c>
      <c r="S42" s="293">
        <f t="shared" si="16"/>
        <v>0</v>
      </c>
      <c r="T42" s="340">
        <f t="shared" si="2"/>
        <v>0</v>
      </c>
      <c r="U42" s="674">
        <f t="shared" si="15"/>
        <v>12069000</v>
      </c>
      <c r="V42" s="674">
        <v>12069000</v>
      </c>
      <c r="W42" s="674">
        <v>12069000</v>
      </c>
    </row>
    <row r="43" spans="2:23" s="609" customFormat="1" ht="26.25" customHeight="1">
      <c r="B43" s="604"/>
      <c r="C43" s="605"/>
      <c r="D43" s="666">
        <v>110</v>
      </c>
      <c r="E43" s="606"/>
      <c r="F43" s="607"/>
      <c r="G43" s="608"/>
      <c r="H43" s="1286" t="s">
        <v>1210</v>
      </c>
      <c r="I43" s="1287"/>
      <c r="J43" s="1288"/>
      <c r="K43" s="610">
        <f>SUM(K44:K57)</f>
        <v>15740000</v>
      </c>
      <c r="L43" s="610">
        <f>SUM(L44:L57)</f>
        <v>7532745.609999999</v>
      </c>
      <c r="M43" s="610">
        <f>SUM(M44:M57)</f>
        <v>12069000</v>
      </c>
      <c r="N43" s="610">
        <f aca="true" t="shared" si="17" ref="N43:S43">SUM(N44:N57)</f>
        <v>0</v>
      </c>
      <c r="O43" s="610">
        <f t="shared" si="17"/>
        <v>0</v>
      </c>
      <c r="P43" s="610">
        <f t="shared" si="17"/>
        <v>0</v>
      </c>
      <c r="Q43" s="610">
        <f t="shared" si="17"/>
        <v>0</v>
      </c>
      <c r="R43" s="610">
        <f t="shared" si="17"/>
        <v>0</v>
      </c>
      <c r="S43" s="610">
        <f t="shared" si="17"/>
        <v>0</v>
      </c>
      <c r="T43" s="858">
        <f t="shared" si="2"/>
        <v>0</v>
      </c>
      <c r="U43" s="876">
        <f t="shared" si="15"/>
        <v>12069000</v>
      </c>
      <c r="V43" s="876">
        <v>12069000</v>
      </c>
      <c r="W43" s="881">
        <v>12069000</v>
      </c>
    </row>
    <row r="44" spans="2:23" s="362" customFormat="1" ht="12.75">
      <c r="B44" s="356"/>
      <c r="C44" s="363"/>
      <c r="D44" s="358"/>
      <c r="E44" s="363"/>
      <c r="F44" s="374">
        <v>22</v>
      </c>
      <c r="G44" s="441">
        <v>411</v>
      </c>
      <c r="H44" s="1248" t="s">
        <v>27</v>
      </c>
      <c r="I44" s="1249"/>
      <c r="J44" s="1250"/>
      <c r="K44" s="966">
        <v>3020000</v>
      </c>
      <c r="L44" s="966">
        <v>2111235.3699999996</v>
      </c>
      <c r="M44" s="966">
        <v>3020000</v>
      </c>
      <c r="N44" s="448">
        <v>0</v>
      </c>
      <c r="O44" s="417">
        <v>0</v>
      </c>
      <c r="P44" s="417">
        <v>0</v>
      </c>
      <c r="Q44" s="420">
        <v>0</v>
      </c>
      <c r="R44" s="420">
        <v>0</v>
      </c>
      <c r="S44" s="420">
        <v>0</v>
      </c>
      <c r="T44" s="420">
        <f t="shared" si="2"/>
        <v>0</v>
      </c>
      <c r="U44" s="628">
        <f t="shared" si="15"/>
        <v>3020000</v>
      </c>
      <c r="V44" s="628">
        <v>3020000</v>
      </c>
      <c r="W44" s="628">
        <v>3020000</v>
      </c>
    </row>
    <row r="45" spans="2:23" s="362" customFormat="1" ht="12.75">
      <c r="B45" s="356"/>
      <c r="C45" s="363"/>
      <c r="D45" s="358"/>
      <c r="E45" s="363"/>
      <c r="F45" s="374">
        <v>23</v>
      </c>
      <c r="G45" s="441">
        <v>412</v>
      </c>
      <c r="H45" s="1248" t="s">
        <v>79</v>
      </c>
      <c r="I45" s="1249"/>
      <c r="J45" s="1250"/>
      <c r="K45" s="966">
        <v>534000</v>
      </c>
      <c r="L45" s="966">
        <v>351520.69000000006</v>
      </c>
      <c r="M45" s="966">
        <v>534000</v>
      </c>
      <c r="N45" s="448">
        <v>0</v>
      </c>
      <c r="O45" s="417">
        <v>0</v>
      </c>
      <c r="P45" s="417">
        <v>0</v>
      </c>
      <c r="Q45" s="420">
        <v>0</v>
      </c>
      <c r="R45" s="420">
        <v>0</v>
      </c>
      <c r="S45" s="420">
        <v>0</v>
      </c>
      <c r="T45" s="420">
        <f t="shared" si="2"/>
        <v>0</v>
      </c>
      <c r="U45" s="628">
        <f t="shared" si="15"/>
        <v>534000</v>
      </c>
      <c r="V45" s="628">
        <v>534000</v>
      </c>
      <c r="W45" s="628">
        <v>534000</v>
      </c>
    </row>
    <row r="46" spans="2:23" s="362" customFormat="1" ht="12.75">
      <c r="B46" s="356"/>
      <c r="C46" s="363"/>
      <c r="D46" s="358"/>
      <c r="E46" s="363"/>
      <c r="F46" s="374">
        <v>24</v>
      </c>
      <c r="G46" s="441">
        <v>414</v>
      </c>
      <c r="H46" s="1202" t="s">
        <v>206</v>
      </c>
      <c r="I46" s="1203"/>
      <c r="J46" s="1204"/>
      <c r="K46" s="966">
        <v>50000</v>
      </c>
      <c r="L46" s="966">
        <v>0</v>
      </c>
      <c r="M46" s="966">
        <v>50000</v>
      </c>
      <c r="N46" s="448">
        <v>0</v>
      </c>
      <c r="O46" s="417">
        <v>0</v>
      </c>
      <c r="P46" s="417">
        <v>0</v>
      </c>
      <c r="Q46" s="420">
        <v>0</v>
      </c>
      <c r="R46" s="420">
        <v>0</v>
      </c>
      <c r="S46" s="420">
        <v>0</v>
      </c>
      <c r="T46" s="420">
        <f t="shared" si="2"/>
        <v>0</v>
      </c>
      <c r="U46" s="628">
        <f t="shared" si="15"/>
        <v>50000</v>
      </c>
      <c r="V46" s="628">
        <v>50000</v>
      </c>
      <c r="W46" s="628">
        <v>50000</v>
      </c>
    </row>
    <row r="47" spans="2:23" s="362" customFormat="1" ht="12.75">
      <c r="B47" s="356"/>
      <c r="C47" s="363"/>
      <c r="D47" s="358"/>
      <c r="E47" s="363"/>
      <c r="F47" s="374">
        <v>25</v>
      </c>
      <c r="G47" s="441">
        <v>415</v>
      </c>
      <c r="H47" s="1202" t="s">
        <v>31</v>
      </c>
      <c r="I47" s="1203"/>
      <c r="J47" s="1204"/>
      <c r="K47" s="966">
        <v>120000</v>
      </c>
      <c r="L47" s="966">
        <v>59372.19000000001</v>
      </c>
      <c r="M47" s="966">
        <v>120000</v>
      </c>
      <c r="N47" s="448">
        <v>0</v>
      </c>
      <c r="O47" s="417">
        <v>0</v>
      </c>
      <c r="P47" s="417">
        <v>0</v>
      </c>
      <c r="Q47" s="420">
        <v>0</v>
      </c>
      <c r="R47" s="420">
        <v>0</v>
      </c>
      <c r="S47" s="420">
        <v>0</v>
      </c>
      <c r="T47" s="420">
        <f t="shared" si="2"/>
        <v>0</v>
      </c>
      <c r="U47" s="628">
        <f t="shared" si="15"/>
        <v>120000</v>
      </c>
      <c r="V47" s="628">
        <v>120000</v>
      </c>
      <c r="W47" s="628">
        <v>120000</v>
      </c>
    </row>
    <row r="48" spans="2:23" s="362" customFormat="1" ht="12.75">
      <c r="B48" s="356"/>
      <c r="C48" s="363"/>
      <c r="D48" s="358"/>
      <c r="E48" s="363"/>
      <c r="F48" s="374">
        <v>26</v>
      </c>
      <c r="G48" s="441">
        <v>421</v>
      </c>
      <c r="H48" s="1202" t="s">
        <v>33</v>
      </c>
      <c r="I48" s="1203"/>
      <c r="J48" s="1204"/>
      <c r="K48" s="966">
        <v>200000</v>
      </c>
      <c r="L48" s="966">
        <v>48226.399999999994</v>
      </c>
      <c r="M48" s="966">
        <v>200000</v>
      </c>
      <c r="N48" s="448">
        <v>0</v>
      </c>
      <c r="O48" s="417">
        <v>0</v>
      </c>
      <c r="P48" s="417">
        <v>0</v>
      </c>
      <c r="Q48" s="420">
        <v>0</v>
      </c>
      <c r="R48" s="420">
        <v>0</v>
      </c>
      <c r="S48" s="420">
        <v>0</v>
      </c>
      <c r="T48" s="420">
        <f t="shared" si="2"/>
        <v>0</v>
      </c>
      <c r="U48" s="628">
        <f t="shared" si="15"/>
        <v>200000</v>
      </c>
      <c r="V48" s="628">
        <v>200000</v>
      </c>
      <c r="W48" s="628">
        <v>200000</v>
      </c>
    </row>
    <row r="49" spans="2:23" s="362" customFormat="1" ht="12.75">
      <c r="B49" s="356"/>
      <c r="C49" s="363"/>
      <c r="D49" s="358"/>
      <c r="E49" s="363"/>
      <c r="F49" s="374">
        <v>27</v>
      </c>
      <c r="G49" s="441">
        <v>422</v>
      </c>
      <c r="H49" s="1202" t="s">
        <v>34</v>
      </c>
      <c r="I49" s="1203"/>
      <c r="J49" s="1204"/>
      <c r="K49" s="966">
        <v>60000</v>
      </c>
      <c r="L49" s="966">
        <v>0</v>
      </c>
      <c r="M49" s="966">
        <v>60000</v>
      </c>
      <c r="N49" s="448">
        <v>0</v>
      </c>
      <c r="O49" s="417">
        <v>0</v>
      </c>
      <c r="P49" s="417">
        <v>0</v>
      </c>
      <c r="Q49" s="420">
        <v>0</v>
      </c>
      <c r="R49" s="420">
        <v>0</v>
      </c>
      <c r="S49" s="420">
        <v>0</v>
      </c>
      <c r="T49" s="420">
        <f t="shared" si="2"/>
        <v>0</v>
      </c>
      <c r="U49" s="628">
        <f t="shared" si="15"/>
        <v>60000</v>
      </c>
      <c r="V49" s="628">
        <v>60000</v>
      </c>
      <c r="W49" s="628">
        <v>60000</v>
      </c>
    </row>
    <row r="50" spans="2:23" s="362" customFormat="1" ht="12.75">
      <c r="B50" s="356"/>
      <c r="C50" s="363"/>
      <c r="D50" s="358"/>
      <c r="E50" s="363"/>
      <c r="F50" s="374">
        <v>28</v>
      </c>
      <c r="G50" s="441">
        <v>423</v>
      </c>
      <c r="H50" s="1202" t="s">
        <v>1397</v>
      </c>
      <c r="I50" s="1203"/>
      <c r="J50" s="1204"/>
      <c r="K50" s="966">
        <v>6000000</v>
      </c>
      <c r="L50" s="966">
        <v>2790094.3100000005</v>
      </c>
      <c r="M50" s="966">
        <v>4000000</v>
      </c>
      <c r="N50" s="448">
        <v>0</v>
      </c>
      <c r="O50" s="417">
        <v>0</v>
      </c>
      <c r="P50" s="417">
        <v>0</v>
      </c>
      <c r="Q50" s="420">
        <v>0</v>
      </c>
      <c r="R50" s="420">
        <v>0</v>
      </c>
      <c r="S50" s="420">
        <v>0</v>
      </c>
      <c r="T50" s="420">
        <f t="shared" si="2"/>
        <v>0</v>
      </c>
      <c r="U50" s="628">
        <f t="shared" si="15"/>
        <v>4000000</v>
      </c>
      <c r="V50" s="628">
        <v>4000000</v>
      </c>
      <c r="W50" s="628">
        <v>4000000</v>
      </c>
    </row>
    <row r="51" spans="2:23" s="362" customFormat="1" ht="12.75">
      <c r="B51" s="356"/>
      <c r="C51" s="363"/>
      <c r="D51" s="358"/>
      <c r="E51" s="363"/>
      <c r="F51" s="374">
        <v>29</v>
      </c>
      <c r="G51" s="441">
        <v>423</v>
      </c>
      <c r="H51" s="1202" t="s">
        <v>35</v>
      </c>
      <c r="I51" s="1203"/>
      <c r="J51" s="1204"/>
      <c r="K51" s="966">
        <v>3000000</v>
      </c>
      <c r="L51" s="966">
        <v>1810321.4200000002</v>
      </c>
      <c r="M51" s="966">
        <v>3000000</v>
      </c>
      <c r="N51" s="448">
        <v>0</v>
      </c>
      <c r="O51" s="417">
        <v>0</v>
      </c>
      <c r="P51" s="417">
        <v>0</v>
      </c>
      <c r="Q51" s="420">
        <v>0</v>
      </c>
      <c r="R51" s="420">
        <v>0</v>
      </c>
      <c r="S51" s="420">
        <v>0</v>
      </c>
      <c r="T51" s="420">
        <f t="shared" si="2"/>
        <v>0</v>
      </c>
      <c r="U51" s="628">
        <f t="shared" si="15"/>
        <v>3000000</v>
      </c>
      <c r="V51" s="628">
        <v>3000000</v>
      </c>
      <c r="W51" s="628">
        <v>3000000</v>
      </c>
    </row>
    <row r="52" spans="2:23" s="362" customFormat="1" ht="12.75">
      <c r="B52" s="356"/>
      <c r="C52" s="363"/>
      <c r="D52" s="358"/>
      <c r="E52" s="363"/>
      <c r="F52" s="374">
        <v>30</v>
      </c>
      <c r="G52" s="441">
        <v>423</v>
      </c>
      <c r="H52" s="1248" t="s">
        <v>1398</v>
      </c>
      <c r="I52" s="1249"/>
      <c r="J52" s="1250"/>
      <c r="K52" s="966">
        <v>485000</v>
      </c>
      <c r="L52" s="966">
        <v>72000</v>
      </c>
      <c r="M52" s="966">
        <v>485000</v>
      </c>
      <c r="N52" s="448">
        <v>0</v>
      </c>
      <c r="O52" s="417">
        <v>0</v>
      </c>
      <c r="P52" s="417">
        <v>0</v>
      </c>
      <c r="Q52" s="420">
        <v>0</v>
      </c>
      <c r="R52" s="420">
        <v>0</v>
      </c>
      <c r="S52" s="420">
        <v>0</v>
      </c>
      <c r="T52" s="420">
        <f t="shared" si="2"/>
        <v>0</v>
      </c>
      <c r="U52" s="628">
        <f t="shared" si="15"/>
        <v>485000</v>
      </c>
      <c r="V52" s="628">
        <v>485000</v>
      </c>
      <c r="W52" s="628">
        <v>485000</v>
      </c>
    </row>
    <row r="53" spans="2:23" s="362" customFormat="1" ht="12.75">
      <c r="B53" s="356"/>
      <c r="C53" s="363"/>
      <c r="D53" s="358"/>
      <c r="E53" s="363"/>
      <c r="F53" s="374">
        <v>31</v>
      </c>
      <c r="G53" s="441">
        <v>423</v>
      </c>
      <c r="H53" s="1205" t="s">
        <v>1399</v>
      </c>
      <c r="I53" s="1206"/>
      <c r="J53" s="1207"/>
      <c r="K53" s="775">
        <v>1000</v>
      </c>
      <c r="L53" s="775">
        <v>0</v>
      </c>
      <c r="M53" s="775">
        <v>1000</v>
      </c>
      <c r="N53" s="448">
        <v>0</v>
      </c>
      <c r="O53" s="417">
        <v>0</v>
      </c>
      <c r="P53" s="417">
        <v>0</v>
      </c>
      <c r="Q53" s="420">
        <v>0</v>
      </c>
      <c r="R53" s="420">
        <v>0</v>
      </c>
      <c r="S53" s="420">
        <v>0</v>
      </c>
      <c r="T53" s="420">
        <f t="shared" si="2"/>
        <v>0</v>
      </c>
      <c r="U53" s="628">
        <f t="shared" si="15"/>
        <v>1000</v>
      </c>
      <c r="V53" s="628">
        <v>1000</v>
      </c>
      <c r="W53" s="628">
        <v>1000</v>
      </c>
    </row>
    <row r="54" spans="2:23" s="362" customFormat="1" ht="12.75">
      <c r="B54" s="356"/>
      <c r="C54" s="363"/>
      <c r="D54" s="358"/>
      <c r="E54" s="363"/>
      <c r="F54" s="374">
        <v>32</v>
      </c>
      <c r="G54" s="451">
        <v>424</v>
      </c>
      <c r="H54" s="1205" t="s">
        <v>36</v>
      </c>
      <c r="I54" s="1206"/>
      <c r="J54" s="1207"/>
      <c r="K54" s="980">
        <v>50000</v>
      </c>
      <c r="L54" s="980">
        <v>23900</v>
      </c>
      <c r="M54" s="980">
        <v>50000</v>
      </c>
      <c r="N54" s="448">
        <v>0</v>
      </c>
      <c r="O54" s="417">
        <v>0</v>
      </c>
      <c r="P54" s="417">
        <v>0</v>
      </c>
      <c r="Q54" s="420">
        <v>0</v>
      </c>
      <c r="R54" s="420">
        <v>0</v>
      </c>
      <c r="S54" s="420">
        <v>0</v>
      </c>
      <c r="T54" s="420">
        <f t="shared" si="2"/>
        <v>0</v>
      </c>
      <c r="U54" s="628">
        <f t="shared" si="15"/>
        <v>50000</v>
      </c>
      <c r="V54" s="628">
        <v>50000</v>
      </c>
      <c r="W54" s="628">
        <v>50000</v>
      </c>
    </row>
    <row r="55" spans="2:23" s="362" customFormat="1" ht="12.75">
      <c r="B55" s="579"/>
      <c r="C55" s="492"/>
      <c r="D55" s="580"/>
      <c r="E55" s="492"/>
      <c r="F55" s="374">
        <v>33</v>
      </c>
      <c r="G55" s="544">
        <v>426</v>
      </c>
      <c r="H55" s="1330" t="s">
        <v>38</v>
      </c>
      <c r="I55" s="1331"/>
      <c r="J55" s="1331"/>
      <c r="K55" s="999">
        <v>1800000</v>
      </c>
      <c r="L55" s="999">
        <v>237866.05000000002</v>
      </c>
      <c r="M55" s="999">
        <v>500000</v>
      </c>
      <c r="N55" s="411">
        <v>0</v>
      </c>
      <c r="O55" s="417">
        <v>0</v>
      </c>
      <c r="P55" s="417">
        <v>0</v>
      </c>
      <c r="Q55" s="420">
        <v>0</v>
      </c>
      <c r="R55" s="420">
        <v>0</v>
      </c>
      <c r="S55" s="420">
        <v>0</v>
      </c>
      <c r="T55" s="420">
        <f t="shared" si="2"/>
        <v>0</v>
      </c>
      <c r="U55" s="628">
        <f t="shared" si="15"/>
        <v>500000</v>
      </c>
      <c r="V55" s="628">
        <v>500000</v>
      </c>
      <c r="W55" s="628">
        <v>500000</v>
      </c>
    </row>
    <row r="56" spans="2:23" s="362" customFormat="1" ht="12.75">
      <c r="B56" s="494"/>
      <c r="C56" s="494"/>
      <c r="D56" s="546"/>
      <c r="E56" s="494"/>
      <c r="F56" s="374">
        <v>34</v>
      </c>
      <c r="G56" s="539">
        <v>465</v>
      </c>
      <c r="H56" s="1281" t="s">
        <v>216</v>
      </c>
      <c r="I56" s="1281"/>
      <c r="J56" s="1282"/>
      <c r="K56" s="1139">
        <v>400000</v>
      </c>
      <c r="L56" s="1139">
        <v>28209.18</v>
      </c>
      <c r="M56" s="1139">
        <v>29000</v>
      </c>
      <c r="N56" s="411">
        <v>0</v>
      </c>
      <c r="O56" s="417">
        <v>0</v>
      </c>
      <c r="P56" s="417">
        <v>0</v>
      </c>
      <c r="Q56" s="420">
        <v>0</v>
      </c>
      <c r="R56" s="420">
        <v>0</v>
      </c>
      <c r="S56" s="420">
        <v>0</v>
      </c>
      <c r="T56" s="420">
        <f t="shared" si="2"/>
        <v>0</v>
      </c>
      <c r="U56" s="628">
        <f t="shared" si="15"/>
        <v>29000</v>
      </c>
      <c r="V56" s="628">
        <v>29000</v>
      </c>
      <c r="W56" s="628">
        <v>29000</v>
      </c>
    </row>
    <row r="57" spans="2:23" s="362" customFormat="1" ht="13.5" thickBot="1">
      <c r="B57" s="494"/>
      <c r="C57" s="494"/>
      <c r="D57" s="546"/>
      <c r="E57" s="494"/>
      <c r="F57" s="374">
        <v>35</v>
      </c>
      <c r="G57" s="491">
        <v>482</v>
      </c>
      <c r="H57" s="1222" t="s">
        <v>82</v>
      </c>
      <c r="I57" s="1222"/>
      <c r="J57" s="1323"/>
      <c r="K57" s="555">
        <v>20000</v>
      </c>
      <c r="L57" s="555">
        <v>0</v>
      </c>
      <c r="M57" s="555">
        <v>20000</v>
      </c>
      <c r="N57" s="411">
        <v>0</v>
      </c>
      <c r="O57" s="417">
        <v>0</v>
      </c>
      <c r="P57" s="417">
        <v>0</v>
      </c>
      <c r="Q57" s="420">
        <v>0</v>
      </c>
      <c r="R57" s="420">
        <v>0</v>
      </c>
      <c r="S57" s="420">
        <v>0</v>
      </c>
      <c r="T57" s="420">
        <f t="shared" si="2"/>
        <v>0</v>
      </c>
      <c r="U57" s="628">
        <f t="shared" si="15"/>
        <v>20000</v>
      </c>
      <c r="V57" s="628">
        <v>20000</v>
      </c>
      <c r="W57" s="628">
        <v>20000</v>
      </c>
    </row>
    <row r="58" spans="2:23" s="509" customFormat="1" ht="12.75">
      <c r="B58" s="714" t="s">
        <v>337</v>
      </c>
      <c r="C58" s="715"/>
      <c r="D58" s="538"/>
      <c r="E58" s="548"/>
      <c r="F58" s="538"/>
      <c r="G58" s="538"/>
      <c r="H58" s="711" t="s">
        <v>86</v>
      </c>
      <c r="I58" s="712"/>
      <c r="J58" s="713"/>
      <c r="K58" s="955">
        <f aca="true" t="shared" si="18" ref="K58:M60">K59</f>
        <v>7234000</v>
      </c>
      <c r="L58" s="955">
        <f t="shared" si="18"/>
        <v>4089516.86</v>
      </c>
      <c r="M58" s="955">
        <f t="shared" si="18"/>
        <v>7149000</v>
      </c>
      <c r="N58" s="507">
        <f aca="true" t="shared" si="19" ref="N58:S58">N59</f>
        <v>0</v>
      </c>
      <c r="O58" s="507">
        <f t="shared" si="19"/>
        <v>0</v>
      </c>
      <c r="P58" s="507">
        <f t="shared" si="19"/>
        <v>0</v>
      </c>
      <c r="Q58" s="507">
        <f t="shared" si="19"/>
        <v>0</v>
      </c>
      <c r="R58" s="507">
        <f t="shared" si="19"/>
        <v>0</v>
      </c>
      <c r="S58" s="507">
        <f t="shared" si="19"/>
        <v>0</v>
      </c>
      <c r="T58" s="508">
        <f t="shared" si="2"/>
        <v>0</v>
      </c>
      <c r="U58" s="874">
        <f t="shared" si="15"/>
        <v>7149000</v>
      </c>
      <c r="V58" s="874">
        <v>7149000</v>
      </c>
      <c r="W58" s="875">
        <v>7149000</v>
      </c>
    </row>
    <row r="59" spans="2:23" ht="12.75">
      <c r="B59" s="287"/>
      <c r="C59" s="288"/>
      <c r="D59" s="435"/>
      <c r="E59" s="630" t="s">
        <v>1212</v>
      </c>
      <c r="F59" s="631"/>
      <c r="G59" s="632"/>
      <c r="H59" s="1278" t="s">
        <v>1211</v>
      </c>
      <c r="I59" s="1279"/>
      <c r="J59" s="1280"/>
      <c r="K59" s="956">
        <f t="shared" si="18"/>
        <v>7234000</v>
      </c>
      <c r="L59" s="956">
        <f t="shared" si="18"/>
        <v>4089516.86</v>
      </c>
      <c r="M59" s="956">
        <f t="shared" si="18"/>
        <v>7149000</v>
      </c>
      <c r="N59" s="289">
        <f aca="true" t="shared" si="20" ref="N59:S60">N60</f>
        <v>0</v>
      </c>
      <c r="O59" s="289">
        <f t="shared" si="20"/>
        <v>0</v>
      </c>
      <c r="P59" s="289">
        <f t="shared" si="20"/>
        <v>0</v>
      </c>
      <c r="Q59" s="289">
        <f t="shared" si="20"/>
        <v>0</v>
      </c>
      <c r="R59" s="289">
        <f t="shared" si="20"/>
        <v>0</v>
      </c>
      <c r="S59" s="339">
        <f t="shared" si="20"/>
        <v>0</v>
      </c>
      <c r="T59" s="339">
        <f t="shared" si="2"/>
        <v>0</v>
      </c>
      <c r="U59" s="674">
        <f>SUM(M59:S59)</f>
        <v>7149000</v>
      </c>
      <c r="V59" s="674">
        <v>7149000</v>
      </c>
      <c r="W59" s="638">
        <v>7149000</v>
      </c>
    </row>
    <row r="60" spans="2:23" ht="12.75" customHeight="1">
      <c r="B60" s="287"/>
      <c r="C60" s="288"/>
      <c r="D60" s="435"/>
      <c r="E60" s="352" t="s">
        <v>1218</v>
      </c>
      <c r="F60" s="435"/>
      <c r="G60" s="436"/>
      <c r="H60" s="1194" t="s">
        <v>1217</v>
      </c>
      <c r="I60" s="1296"/>
      <c r="J60" s="1297"/>
      <c r="K60" s="957">
        <f t="shared" si="18"/>
        <v>7234000</v>
      </c>
      <c r="L60" s="957">
        <f t="shared" si="18"/>
        <v>4089516.86</v>
      </c>
      <c r="M60" s="957">
        <f t="shared" si="18"/>
        <v>7149000</v>
      </c>
      <c r="N60" s="293">
        <f t="shared" si="20"/>
        <v>0</v>
      </c>
      <c r="O60" s="293">
        <f t="shared" si="20"/>
        <v>0</v>
      </c>
      <c r="P60" s="293">
        <f t="shared" si="20"/>
        <v>0</v>
      </c>
      <c r="Q60" s="293">
        <f t="shared" si="20"/>
        <v>0</v>
      </c>
      <c r="R60" s="293">
        <f t="shared" si="20"/>
        <v>0</v>
      </c>
      <c r="S60" s="340">
        <f t="shared" si="20"/>
        <v>0</v>
      </c>
      <c r="T60" s="340">
        <f t="shared" si="2"/>
        <v>0</v>
      </c>
      <c r="U60" s="674">
        <f>SUM(M60:S60)</f>
        <v>7149000</v>
      </c>
      <c r="V60" s="674">
        <v>7149000</v>
      </c>
      <c r="W60" s="674">
        <v>7149000</v>
      </c>
    </row>
    <row r="61" spans="2:23" s="609" customFormat="1" ht="27" customHeight="1">
      <c r="B61" s="604"/>
      <c r="C61" s="605"/>
      <c r="D61" s="666">
        <v>110</v>
      </c>
      <c r="E61" s="606"/>
      <c r="F61" s="607"/>
      <c r="G61" s="608"/>
      <c r="H61" s="1286" t="s">
        <v>1234</v>
      </c>
      <c r="I61" s="1287"/>
      <c r="J61" s="1288"/>
      <c r="K61" s="610">
        <f>SUM(K62:K74)</f>
        <v>7234000</v>
      </c>
      <c r="L61" s="610">
        <f>SUM(L62:L74)</f>
        <v>4089516.86</v>
      </c>
      <c r="M61" s="610">
        <f>SUM(M62:M74)</f>
        <v>7149000</v>
      </c>
      <c r="N61" s="610">
        <f aca="true" t="shared" si="21" ref="N61:T61">SUM(N62:N74)</f>
        <v>0</v>
      </c>
      <c r="O61" s="610">
        <f t="shared" si="21"/>
        <v>0</v>
      </c>
      <c r="P61" s="610">
        <f t="shared" si="21"/>
        <v>0</v>
      </c>
      <c r="Q61" s="610">
        <f t="shared" si="21"/>
        <v>0</v>
      </c>
      <c r="R61" s="610">
        <f t="shared" si="21"/>
        <v>0</v>
      </c>
      <c r="S61" s="610">
        <f t="shared" si="21"/>
        <v>0</v>
      </c>
      <c r="T61" s="610">
        <f t="shared" si="21"/>
        <v>0</v>
      </c>
      <c r="U61" s="610">
        <f>SUM(U62:U74)</f>
        <v>7149000</v>
      </c>
      <c r="V61" s="610">
        <v>7149000</v>
      </c>
      <c r="W61" s="610">
        <v>7149000</v>
      </c>
    </row>
    <row r="62" spans="2:23" s="362" customFormat="1" ht="12.75">
      <c r="B62" s="356"/>
      <c r="C62" s="363"/>
      <c r="D62" s="358"/>
      <c r="E62" s="363"/>
      <c r="F62" s="374">
        <v>36</v>
      </c>
      <c r="G62" s="441">
        <v>411</v>
      </c>
      <c r="H62" s="1237" t="s">
        <v>27</v>
      </c>
      <c r="I62" s="1238"/>
      <c r="J62" s="1239"/>
      <c r="K62" s="969">
        <v>3020000</v>
      </c>
      <c r="L62" s="969">
        <v>2124150.54</v>
      </c>
      <c r="M62" s="969">
        <v>3500000</v>
      </c>
      <c r="N62" s="448">
        <v>0</v>
      </c>
      <c r="O62" s="417">
        <v>0</v>
      </c>
      <c r="P62" s="417">
        <v>0</v>
      </c>
      <c r="Q62" s="420">
        <v>0</v>
      </c>
      <c r="R62" s="420">
        <v>0</v>
      </c>
      <c r="S62" s="420">
        <v>0</v>
      </c>
      <c r="T62" s="420">
        <f t="shared" si="2"/>
        <v>0</v>
      </c>
      <c r="U62" s="628">
        <f aca="true" t="shared" si="22" ref="U62:U75">SUM(M62:S62)</f>
        <v>3500000</v>
      </c>
      <c r="V62" s="628">
        <v>3500000</v>
      </c>
      <c r="W62" s="628">
        <v>3500000</v>
      </c>
    </row>
    <row r="63" spans="2:23" s="362" customFormat="1" ht="12.75">
      <c r="B63" s="356"/>
      <c r="C63" s="363"/>
      <c r="D63" s="358"/>
      <c r="E63" s="363"/>
      <c r="F63" s="374">
        <v>37</v>
      </c>
      <c r="G63" s="441">
        <v>412</v>
      </c>
      <c r="H63" s="1237" t="s">
        <v>79</v>
      </c>
      <c r="I63" s="1238"/>
      <c r="J63" s="1239"/>
      <c r="K63" s="969">
        <v>534000</v>
      </c>
      <c r="L63" s="969">
        <v>355290.58999999997</v>
      </c>
      <c r="M63" s="969">
        <v>610000</v>
      </c>
      <c r="N63" s="448">
        <v>0</v>
      </c>
      <c r="O63" s="417">
        <v>0</v>
      </c>
      <c r="P63" s="417">
        <v>0</v>
      </c>
      <c r="Q63" s="420">
        <v>0</v>
      </c>
      <c r="R63" s="420">
        <v>0</v>
      </c>
      <c r="S63" s="420">
        <v>0</v>
      </c>
      <c r="T63" s="420">
        <f t="shared" si="2"/>
        <v>0</v>
      </c>
      <c r="U63" s="628">
        <f t="shared" si="22"/>
        <v>610000</v>
      </c>
      <c r="V63" s="628">
        <v>610000</v>
      </c>
      <c r="W63" s="628">
        <v>610000</v>
      </c>
    </row>
    <row r="64" spans="2:23" s="362" customFormat="1" ht="12.75">
      <c r="B64" s="356"/>
      <c r="C64" s="363"/>
      <c r="D64" s="358"/>
      <c r="E64" s="363"/>
      <c r="F64" s="374">
        <v>38</v>
      </c>
      <c r="G64" s="441">
        <v>414</v>
      </c>
      <c r="H64" s="1283" t="s">
        <v>206</v>
      </c>
      <c r="I64" s="1284"/>
      <c r="J64" s="1285"/>
      <c r="K64" s="969">
        <v>50000</v>
      </c>
      <c r="L64" s="969">
        <v>0</v>
      </c>
      <c r="M64" s="969">
        <v>50000</v>
      </c>
      <c r="N64" s="448">
        <v>0</v>
      </c>
      <c r="O64" s="417">
        <v>0</v>
      </c>
      <c r="P64" s="417">
        <v>0</v>
      </c>
      <c r="Q64" s="420">
        <v>0</v>
      </c>
      <c r="R64" s="420">
        <v>0</v>
      </c>
      <c r="S64" s="420">
        <v>0</v>
      </c>
      <c r="T64" s="420">
        <f t="shared" si="2"/>
        <v>0</v>
      </c>
      <c r="U64" s="628">
        <f t="shared" si="22"/>
        <v>50000</v>
      </c>
      <c r="V64" s="628">
        <v>50000</v>
      </c>
      <c r="W64" s="628">
        <v>50000</v>
      </c>
    </row>
    <row r="65" spans="2:23" s="362" customFormat="1" ht="12.75">
      <c r="B65" s="356"/>
      <c r="C65" s="363"/>
      <c r="D65" s="358"/>
      <c r="E65" s="363"/>
      <c r="F65" s="374">
        <v>39</v>
      </c>
      <c r="G65" s="441">
        <v>415</v>
      </c>
      <c r="H65" s="1237" t="s">
        <v>31</v>
      </c>
      <c r="I65" s="1238"/>
      <c r="J65" s="1239"/>
      <c r="K65" s="969">
        <v>270000</v>
      </c>
      <c r="L65" s="969">
        <v>166241.07</v>
      </c>
      <c r="M65" s="969">
        <v>270000</v>
      </c>
      <c r="N65" s="448">
        <v>0</v>
      </c>
      <c r="O65" s="417">
        <v>0</v>
      </c>
      <c r="P65" s="417">
        <v>0</v>
      </c>
      <c r="Q65" s="420">
        <v>0</v>
      </c>
      <c r="R65" s="420">
        <v>0</v>
      </c>
      <c r="S65" s="420">
        <v>0</v>
      </c>
      <c r="T65" s="420">
        <f t="shared" si="2"/>
        <v>0</v>
      </c>
      <c r="U65" s="628">
        <f t="shared" si="22"/>
        <v>270000</v>
      </c>
      <c r="V65" s="628">
        <v>270000</v>
      </c>
      <c r="W65" s="628">
        <v>270000</v>
      </c>
    </row>
    <row r="66" spans="2:23" s="362" customFormat="1" ht="12.75">
      <c r="B66" s="356"/>
      <c r="C66" s="363"/>
      <c r="D66" s="358"/>
      <c r="E66" s="363"/>
      <c r="F66" s="374">
        <v>40</v>
      </c>
      <c r="G66" s="441">
        <v>421</v>
      </c>
      <c r="H66" s="1283" t="s">
        <v>33</v>
      </c>
      <c r="I66" s="1284"/>
      <c r="J66" s="1285"/>
      <c r="K66" s="969">
        <v>150000</v>
      </c>
      <c r="L66" s="969">
        <v>31992.02</v>
      </c>
      <c r="M66" s="969">
        <v>150000</v>
      </c>
      <c r="N66" s="448">
        <v>0</v>
      </c>
      <c r="O66" s="417">
        <v>0</v>
      </c>
      <c r="P66" s="417">
        <v>0</v>
      </c>
      <c r="Q66" s="420">
        <v>0</v>
      </c>
      <c r="R66" s="420">
        <v>0</v>
      </c>
      <c r="S66" s="420">
        <v>0</v>
      </c>
      <c r="T66" s="420">
        <f t="shared" si="2"/>
        <v>0</v>
      </c>
      <c r="U66" s="628">
        <f t="shared" si="22"/>
        <v>150000</v>
      </c>
      <c r="V66" s="628">
        <v>150000</v>
      </c>
      <c r="W66" s="628">
        <v>150000</v>
      </c>
    </row>
    <row r="67" spans="2:23" s="362" customFormat="1" ht="12.75">
      <c r="B67" s="356"/>
      <c r="C67" s="363"/>
      <c r="D67" s="358"/>
      <c r="E67" s="363"/>
      <c r="F67" s="374">
        <v>41</v>
      </c>
      <c r="G67" s="441">
        <v>422</v>
      </c>
      <c r="H67" s="1283" t="s">
        <v>34</v>
      </c>
      <c r="I67" s="1284"/>
      <c r="J67" s="1285"/>
      <c r="K67" s="969">
        <v>50000</v>
      </c>
      <c r="L67" s="969">
        <v>0</v>
      </c>
      <c r="M67" s="969">
        <v>50000</v>
      </c>
      <c r="N67" s="448">
        <v>0</v>
      </c>
      <c r="O67" s="417">
        <v>0</v>
      </c>
      <c r="P67" s="417">
        <v>0</v>
      </c>
      <c r="Q67" s="420">
        <v>0</v>
      </c>
      <c r="R67" s="420">
        <v>0</v>
      </c>
      <c r="S67" s="420">
        <v>0</v>
      </c>
      <c r="T67" s="420">
        <f t="shared" si="2"/>
        <v>0</v>
      </c>
      <c r="U67" s="628">
        <f t="shared" si="22"/>
        <v>50000</v>
      </c>
      <c r="V67" s="628">
        <v>50000</v>
      </c>
      <c r="W67" s="628">
        <v>50000</v>
      </c>
    </row>
    <row r="68" spans="2:23" s="362" customFormat="1" ht="12.75">
      <c r="B68" s="356"/>
      <c r="C68" s="363"/>
      <c r="D68" s="358"/>
      <c r="E68" s="363"/>
      <c r="F68" s="374">
        <v>42</v>
      </c>
      <c r="G68" s="441">
        <v>423</v>
      </c>
      <c r="H68" s="1283" t="s">
        <v>35</v>
      </c>
      <c r="I68" s="1284"/>
      <c r="J68" s="1285"/>
      <c r="K68" s="969">
        <v>400000</v>
      </c>
      <c r="L68" s="969">
        <v>219159.36000000002</v>
      </c>
      <c r="M68" s="969">
        <v>400000</v>
      </c>
      <c r="N68" s="448">
        <v>0</v>
      </c>
      <c r="O68" s="417">
        <v>0</v>
      </c>
      <c r="P68" s="417">
        <v>0</v>
      </c>
      <c r="Q68" s="420">
        <v>0</v>
      </c>
      <c r="R68" s="420">
        <v>0</v>
      </c>
      <c r="S68" s="420">
        <v>0</v>
      </c>
      <c r="T68" s="420">
        <f t="shared" si="2"/>
        <v>0</v>
      </c>
      <c r="U68" s="628">
        <f t="shared" si="22"/>
        <v>400000</v>
      </c>
      <c r="V68" s="628">
        <v>400000</v>
      </c>
      <c r="W68" s="628">
        <v>400000</v>
      </c>
    </row>
    <row r="69" spans="2:23" s="362" customFormat="1" ht="12.75">
      <c r="B69" s="356"/>
      <c r="C69" s="363"/>
      <c r="D69" s="358"/>
      <c r="E69" s="363"/>
      <c r="F69" s="374">
        <v>43</v>
      </c>
      <c r="G69" s="451">
        <v>423</v>
      </c>
      <c r="H69" s="1188" t="s">
        <v>1456</v>
      </c>
      <c r="I69" s="1189"/>
      <c r="J69" s="1190"/>
      <c r="K69" s="775">
        <v>1200000</v>
      </c>
      <c r="L69" s="775">
        <v>619037.7899999999</v>
      </c>
      <c r="M69" s="775">
        <v>900000</v>
      </c>
      <c r="N69" s="448">
        <v>0</v>
      </c>
      <c r="O69" s="417">
        <v>0</v>
      </c>
      <c r="P69" s="417">
        <v>0</v>
      </c>
      <c r="Q69" s="420">
        <v>0</v>
      </c>
      <c r="R69" s="420">
        <v>0</v>
      </c>
      <c r="S69" s="420">
        <v>0</v>
      </c>
      <c r="T69" s="420">
        <f t="shared" si="2"/>
        <v>0</v>
      </c>
      <c r="U69" s="628">
        <f t="shared" si="22"/>
        <v>900000</v>
      </c>
      <c r="V69" s="628">
        <v>900000</v>
      </c>
      <c r="W69" s="628">
        <v>900000</v>
      </c>
    </row>
    <row r="70" spans="2:23" s="362" customFormat="1" ht="12.75">
      <c r="B70" s="356"/>
      <c r="C70" s="363"/>
      <c r="D70" s="358"/>
      <c r="E70" s="363"/>
      <c r="F70" s="374">
        <v>44</v>
      </c>
      <c r="G70" s="441">
        <v>423</v>
      </c>
      <c r="H70" s="1237" t="s">
        <v>87</v>
      </c>
      <c r="I70" s="1238"/>
      <c r="J70" s="1239"/>
      <c r="K70" s="969">
        <v>100000</v>
      </c>
      <c r="L70" s="969">
        <v>0</v>
      </c>
      <c r="M70" s="969">
        <v>100000</v>
      </c>
      <c r="N70" s="448">
        <v>0</v>
      </c>
      <c r="O70" s="417">
        <v>0</v>
      </c>
      <c r="P70" s="417">
        <v>0</v>
      </c>
      <c r="Q70" s="420">
        <v>0</v>
      </c>
      <c r="R70" s="420">
        <v>0</v>
      </c>
      <c r="S70" s="420">
        <v>0</v>
      </c>
      <c r="T70" s="420">
        <f t="shared" si="2"/>
        <v>0</v>
      </c>
      <c r="U70" s="628">
        <f t="shared" si="22"/>
        <v>100000</v>
      </c>
      <c r="V70" s="628">
        <v>100000</v>
      </c>
      <c r="W70" s="628">
        <v>100000</v>
      </c>
    </row>
    <row r="71" spans="2:23" s="362" customFormat="1" ht="12.75">
      <c r="B71" s="356"/>
      <c r="C71" s="363"/>
      <c r="D71" s="358"/>
      <c r="E71" s="363"/>
      <c r="F71" s="374">
        <v>45</v>
      </c>
      <c r="G71" s="441">
        <v>423</v>
      </c>
      <c r="H71" s="1237" t="s">
        <v>1397</v>
      </c>
      <c r="I71" s="1238"/>
      <c r="J71" s="1239"/>
      <c r="K71" s="969">
        <v>530000</v>
      </c>
      <c r="L71" s="969">
        <v>121855.27</v>
      </c>
      <c r="M71" s="969">
        <v>530000</v>
      </c>
      <c r="N71" s="448">
        <v>0</v>
      </c>
      <c r="O71" s="417">
        <v>0</v>
      </c>
      <c r="P71" s="417">
        <v>0</v>
      </c>
      <c r="Q71" s="420">
        <v>0</v>
      </c>
      <c r="R71" s="420">
        <v>0</v>
      </c>
      <c r="S71" s="420">
        <v>0</v>
      </c>
      <c r="T71" s="420">
        <f t="shared" si="2"/>
        <v>0</v>
      </c>
      <c r="U71" s="628">
        <f t="shared" si="22"/>
        <v>530000</v>
      </c>
      <c r="V71" s="628">
        <v>530000</v>
      </c>
      <c r="W71" s="628">
        <v>530000</v>
      </c>
    </row>
    <row r="72" spans="2:23" s="362" customFormat="1" ht="12.75">
      <c r="B72" s="356"/>
      <c r="C72" s="363"/>
      <c r="D72" s="358"/>
      <c r="E72" s="363"/>
      <c r="F72" s="374">
        <v>46</v>
      </c>
      <c r="G72" s="544">
        <v>426</v>
      </c>
      <c r="H72" s="1320" t="s">
        <v>38</v>
      </c>
      <c r="I72" s="1321"/>
      <c r="J72" s="1322"/>
      <c r="K72" s="970">
        <v>360000</v>
      </c>
      <c r="L72" s="970">
        <v>223347.10000000003</v>
      </c>
      <c r="M72" s="970">
        <v>360000</v>
      </c>
      <c r="N72" s="448">
        <v>0</v>
      </c>
      <c r="O72" s="417">
        <v>0</v>
      </c>
      <c r="P72" s="417">
        <v>0</v>
      </c>
      <c r="Q72" s="420">
        <v>0</v>
      </c>
      <c r="R72" s="420">
        <v>0</v>
      </c>
      <c r="S72" s="420">
        <v>0</v>
      </c>
      <c r="T72" s="420">
        <f t="shared" si="2"/>
        <v>0</v>
      </c>
      <c r="U72" s="628">
        <f t="shared" si="22"/>
        <v>360000</v>
      </c>
      <c r="V72" s="628">
        <v>360000</v>
      </c>
      <c r="W72" s="628">
        <v>360000</v>
      </c>
    </row>
    <row r="73" spans="2:23" s="362" customFormat="1" ht="12.75">
      <c r="B73" s="356"/>
      <c r="C73" s="363"/>
      <c r="D73" s="358"/>
      <c r="E73" s="363"/>
      <c r="F73" s="451">
        <v>47</v>
      </c>
      <c r="G73" s="539">
        <v>465</v>
      </c>
      <c r="H73" s="1126" t="s">
        <v>216</v>
      </c>
      <c r="I73" s="1127"/>
      <c r="J73" s="1127"/>
      <c r="K73" s="1124">
        <v>370000</v>
      </c>
      <c r="L73" s="1124">
        <v>28443.12</v>
      </c>
      <c r="M73" s="1124">
        <v>29000</v>
      </c>
      <c r="N73" s="411">
        <v>0</v>
      </c>
      <c r="O73" s="410">
        <v>0</v>
      </c>
      <c r="P73" s="410">
        <v>0</v>
      </c>
      <c r="Q73" s="423">
        <v>0</v>
      </c>
      <c r="R73" s="458">
        <v>0</v>
      </c>
      <c r="S73" s="423">
        <v>0</v>
      </c>
      <c r="T73" s="423">
        <f t="shared" si="2"/>
        <v>0</v>
      </c>
      <c r="U73" s="628">
        <f t="shared" si="22"/>
        <v>29000</v>
      </c>
      <c r="V73" s="628">
        <v>29000</v>
      </c>
      <c r="W73" s="628">
        <v>29000</v>
      </c>
    </row>
    <row r="74" spans="2:23" s="362" customFormat="1" ht="12.75">
      <c r="B74" s="356"/>
      <c r="C74" s="363"/>
      <c r="D74" s="358"/>
      <c r="E74" s="363"/>
      <c r="F74" s="451" t="s">
        <v>1564</v>
      </c>
      <c r="G74" s="539">
        <v>472</v>
      </c>
      <c r="H74" s="1126" t="s">
        <v>1565</v>
      </c>
      <c r="I74" s="1127"/>
      <c r="J74" s="1127"/>
      <c r="K74" s="1124">
        <v>200000</v>
      </c>
      <c r="L74" s="1124">
        <v>200000</v>
      </c>
      <c r="M74" s="1124">
        <v>200000</v>
      </c>
      <c r="N74" s="411">
        <v>0</v>
      </c>
      <c r="O74" s="410">
        <v>0</v>
      </c>
      <c r="P74" s="410">
        <v>0</v>
      </c>
      <c r="Q74" s="423">
        <v>0</v>
      </c>
      <c r="R74" s="678">
        <v>0</v>
      </c>
      <c r="S74" s="423">
        <v>0</v>
      </c>
      <c r="T74" s="423">
        <f t="shared" si="2"/>
        <v>0</v>
      </c>
      <c r="U74" s="628">
        <f t="shared" si="22"/>
        <v>200000</v>
      </c>
      <c r="V74" s="628">
        <v>200000</v>
      </c>
      <c r="W74" s="628">
        <v>200000</v>
      </c>
    </row>
    <row r="75" spans="2:23" s="509" customFormat="1" ht="12.75">
      <c r="B75" s="510" t="s">
        <v>1196</v>
      </c>
      <c r="C75" s="511"/>
      <c r="D75" s="512"/>
      <c r="E75" s="513"/>
      <c r="F75" s="512"/>
      <c r="G75" s="1125"/>
      <c r="H75" s="1298" t="s">
        <v>89</v>
      </c>
      <c r="I75" s="1299"/>
      <c r="J75" s="1300"/>
      <c r="K75" s="955">
        <f aca="true" t="shared" si="23" ref="K75:S75">K76+K137+K146+K151+K198+K212+K252+K270+K287+K302+K330+K341+K345+K363+K377+K399+K428+K437+K455+K468+K481+K494+K505</f>
        <v>492871676</v>
      </c>
      <c r="L75" s="955">
        <f t="shared" si="23"/>
        <v>269265076.54999995</v>
      </c>
      <c r="M75" s="955">
        <f t="shared" si="23"/>
        <v>412147763</v>
      </c>
      <c r="N75" s="514">
        <f t="shared" si="23"/>
        <v>205000</v>
      </c>
      <c r="O75" s="514">
        <f t="shared" si="23"/>
        <v>12551595</v>
      </c>
      <c r="P75" s="514">
        <f t="shared" si="23"/>
        <v>60684696.879999995</v>
      </c>
      <c r="Q75" s="514">
        <f t="shared" si="23"/>
        <v>218195981.22</v>
      </c>
      <c r="R75" s="514">
        <f t="shared" si="23"/>
        <v>90000</v>
      </c>
      <c r="S75" s="514">
        <f t="shared" si="23"/>
        <v>505000</v>
      </c>
      <c r="T75" s="859">
        <f aca="true" t="shared" si="24" ref="T75:T138">SUM(N75:S75)</f>
        <v>292232273.1</v>
      </c>
      <c r="U75" s="875">
        <f t="shared" si="22"/>
        <v>704380036.1</v>
      </c>
      <c r="V75" s="875">
        <v>704380036.1</v>
      </c>
      <c r="W75" s="875">
        <v>704380036.1</v>
      </c>
    </row>
    <row r="76" spans="2:23" ht="12.75">
      <c r="B76" s="287"/>
      <c r="C76" s="288"/>
      <c r="D76" s="435"/>
      <c r="E76" s="630" t="s">
        <v>290</v>
      </c>
      <c r="F76" s="631"/>
      <c r="G76" s="632"/>
      <c r="H76" s="1278" t="s">
        <v>1274</v>
      </c>
      <c r="I76" s="1279"/>
      <c r="J76" s="1279"/>
      <c r="K76" s="1001">
        <f aca="true" t="shared" si="25" ref="K76:S76">K77+K110+K124+K131+K134+K119</f>
        <v>94030000</v>
      </c>
      <c r="L76" s="1001">
        <f t="shared" si="25"/>
        <v>51985474.43</v>
      </c>
      <c r="M76" s="1001">
        <f t="shared" si="25"/>
        <v>91580000</v>
      </c>
      <c r="N76" s="289">
        <f t="shared" si="25"/>
        <v>0</v>
      </c>
      <c r="O76" s="289">
        <f t="shared" si="25"/>
        <v>10000000</v>
      </c>
      <c r="P76" s="289">
        <f t="shared" si="25"/>
        <v>6624500</v>
      </c>
      <c r="Q76" s="289">
        <f t="shared" si="25"/>
        <v>10748375.1</v>
      </c>
      <c r="R76" s="289">
        <f t="shared" si="25"/>
        <v>90000</v>
      </c>
      <c r="S76" s="289">
        <f t="shared" si="25"/>
        <v>0</v>
      </c>
      <c r="T76" s="339">
        <f t="shared" si="24"/>
        <v>27462875.1</v>
      </c>
      <c r="U76" s="638">
        <f>U77+U110+U124+U131+U134+U119</f>
        <v>119042875.1</v>
      </c>
      <c r="V76" s="638">
        <v>119042875.1</v>
      </c>
      <c r="W76" s="638">
        <v>119042875.1</v>
      </c>
    </row>
    <row r="77" spans="2:23" ht="13.5" customHeight="1">
      <c r="B77" s="287"/>
      <c r="C77" s="288"/>
      <c r="D77" s="435"/>
      <c r="E77" s="352" t="s">
        <v>292</v>
      </c>
      <c r="F77" s="435"/>
      <c r="G77" s="436"/>
      <c r="H77" s="1194" t="s">
        <v>327</v>
      </c>
      <c r="I77" s="1296"/>
      <c r="J77" s="1297"/>
      <c r="K77" s="957">
        <f aca="true" t="shared" si="26" ref="K77:S77">K78</f>
        <v>78780000</v>
      </c>
      <c r="L77" s="957">
        <f t="shared" si="26"/>
        <v>48185665.21</v>
      </c>
      <c r="M77" s="957">
        <f t="shared" si="26"/>
        <v>78230000</v>
      </c>
      <c r="N77" s="293">
        <f t="shared" si="26"/>
        <v>0</v>
      </c>
      <c r="O77" s="293">
        <f t="shared" si="26"/>
        <v>0</v>
      </c>
      <c r="P77" s="293">
        <f t="shared" si="26"/>
        <v>2457000</v>
      </c>
      <c r="Q77" s="293">
        <f t="shared" si="26"/>
        <v>2000000</v>
      </c>
      <c r="R77" s="293">
        <f t="shared" si="26"/>
        <v>0</v>
      </c>
      <c r="S77" s="293">
        <f t="shared" si="26"/>
        <v>0</v>
      </c>
      <c r="T77" s="340">
        <f t="shared" si="24"/>
        <v>4457000</v>
      </c>
      <c r="U77" s="674">
        <f>T77+M77</f>
        <v>82687000</v>
      </c>
      <c r="V77" s="674">
        <v>82687000</v>
      </c>
      <c r="W77" s="674">
        <v>82687000</v>
      </c>
    </row>
    <row r="78" spans="2:23" s="23" customFormat="1" ht="12.75">
      <c r="B78" s="561"/>
      <c r="C78" s="562"/>
      <c r="D78" s="56">
        <v>130</v>
      </c>
      <c r="E78" s="58"/>
      <c r="F78" s="563"/>
      <c r="G78" s="564"/>
      <c r="H78" s="1185" t="s">
        <v>90</v>
      </c>
      <c r="I78" s="1186"/>
      <c r="J78" s="753"/>
      <c r="K78" s="554">
        <f>SUM(K79:K109)</f>
        <v>78780000</v>
      </c>
      <c r="L78" s="554">
        <f>SUM(L79:L109)</f>
        <v>48185665.21</v>
      </c>
      <c r="M78" s="554">
        <f>SUM(M79:M109)</f>
        <v>78230000</v>
      </c>
      <c r="N78" s="69">
        <f aca="true" t="shared" si="27" ref="N78:S78">SUM(N79:N109)</f>
        <v>0</v>
      </c>
      <c r="O78" s="69">
        <f t="shared" si="27"/>
        <v>0</v>
      </c>
      <c r="P78" s="69">
        <f t="shared" si="27"/>
        <v>2457000</v>
      </c>
      <c r="Q78" s="69">
        <f t="shared" si="27"/>
        <v>2000000</v>
      </c>
      <c r="R78" s="69">
        <f t="shared" si="27"/>
        <v>0</v>
      </c>
      <c r="S78" s="69">
        <f t="shared" si="27"/>
        <v>0</v>
      </c>
      <c r="T78" s="343">
        <f t="shared" si="24"/>
        <v>4457000</v>
      </c>
      <c r="U78" s="876">
        <f>SUM(U79:U109)</f>
        <v>82687000</v>
      </c>
      <c r="V78" s="876">
        <v>82687000</v>
      </c>
      <c r="W78" s="876">
        <v>82687000</v>
      </c>
    </row>
    <row r="79" spans="2:23" s="362" customFormat="1" ht="12.75">
      <c r="B79" s="356"/>
      <c r="C79" s="363"/>
      <c r="D79" s="358"/>
      <c r="E79" s="363"/>
      <c r="F79" s="374">
        <v>48</v>
      </c>
      <c r="G79" s="441">
        <v>411</v>
      </c>
      <c r="H79" s="1248" t="s">
        <v>27</v>
      </c>
      <c r="I79" s="1249"/>
      <c r="J79" s="1250"/>
      <c r="K79" s="966">
        <v>29800000</v>
      </c>
      <c r="L79" s="966">
        <v>20845650.73</v>
      </c>
      <c r="M79" s="378">
        <v>32000000</v>
      </c>
      <c r="N79" s="448">
        <v>0</v>
      </c>
      <c r="O79" s="417">
        <v>0</v>
      </c>
      <c r="P79" s="417">
        <v>0</v>
      </c>
      <c r="Q79" s="420">
        <v>0</v>
      </c>
      <c r="R79" s="420">
        <v>0</v>
      </c>
      <c r="S79" s="420">
        <v>0</v>
      </c>
      <c r="T79" s="420">
        <f t="shared" si="24"/>
        <v>0</v>
      </c>
      <c r="U79" s="628">
        <f aca="true" t="shared" si="28" ref="U79:U109">T79+M79</f>
        <v>32000000</v>
      </c>
      <c r="V79" s="628">
        <v>32000000</v>
      </c>
      <c r="W79" s="628">
        <v>32000000</v>
      </c>
    </row>
    <row r="80" spans="2:23" s="362" customFormat="1" ht="12.75">
      <c r="B80" s="356"/>
      <c r="C80" s="363"/>
      <c r="D80" s="358"/>
      <c r="E80" s="363"/>
      <c r="F80" s="374">
        <v>49</v>
      </c>
      <c r="G80" s="441">
        <v>412</v>
      </c>
      <c r="H80" s="1188" t="s">
        <v>79</v>
      </c>
      <c r="I80" s="1189"/>
      <c r="J80" s="1190"/>
      <c r="K80" s="378">
        <v>5390000</v>
      </c>
      <c r="L80" s="378">
        <v>3472098.5999999996</v>
      </c>
      <c r="M80" s="378">
        <v>5800000</v>
      </c>
      <c r="N80" s="448">
        <v>0</v>
      </c>
      <c r="O80" s="417">
        <v>0</v>
      </c>
      <c r="P80" s="417">
        <v>0</v>
      </c>
      <c r="Q80" s="420">
        <v>0</v>
      </c>
      <c r="R80" s="420">
        <v>0</v>
      </c>
      <c r="S80" s="420">
        <v>0</v>
      </c>
      <c r="T80" s="420">
        <f t="shared" si="24"/>
        <v>0</v>
      </c>
      <c r="U80" s="628">
        <f t="shared" si="28"/>
        <v>5800000</v>
      </c>
      <c r="V80" s="628">
        <v>5800000</v>
      </c>
      <c r="W80" s="628">
        <v>5800000</v>
      </c>
    </row>
    <row r="81" spans="2:23" s="362" customFormat="1" ht="12.75">
      <c r="B81" s="356"/>
      <c r="C81" s="363"/>
      <c r="D81" s="358"/>
      <c r="E81" s="363"/>
      <c r="F81" s="374">
        <v>50</v>
      </c>
      <c r="G81" s="441">
        <v>414</v>
      </c>
      <c r="H81" s="1188" t="s">
        <v>30</v>
      </c>
      <c r="I81" s="1189"/>
      <c r="J81" s="1190"/>
      <c r="K81" s="378">
        <v>1100000</v>
      </c>
      <c r="L81" s="378">
        <v>242983.14999999997</v>
      </c>
      <c r="M81" s="378">
        <v>1100000</v>
      </c>
      <c r="N81" s="448">
        <v>0</v>
      </c>
      <c r="O81" s="417">
        <v>0</v>
      </c>
      <c r="P81" s="417">
        <v>0</v>
      </c>
      <c r="Q81" s="420">
        <v>0</v>
      </c>
      <c r="R81" s="420">
        <v>0</v>
      </c>
      <c r="S81" s="420">
        <v>0</v>
      </c>
      <c r="T81" s="420">
        <f t="shared" si="24"/>
        <v>0</v>
      </c>
      <c r="U81" s="628">
        <f t="shared" si="28"/>
        <v>1100000</v>
      </c>
      <c r="V81" s="628">
        <v>1100000</v>
      </c>
      <c r="W81" s="628">
        <v>1100000</v>
      </c>
    </row>
    <row r="82" spans="2:23" s="362" customFormat="1" ht="12.75">
      <c r="B82" s="356"/>
      <c r="C82" s="363"/>
      <c r="D82" s="358"/>
      <c r="E82" s="363"/>
      <c r="F82" s="374">
        <v>51</v>
      </c>
      <c r="G82" s="441">
        <v>415</v>
      </c>
      <c r="H82" s="1188" t="s">
        <v>31</v>
      </c>
      <c r="I82" s="1189"/>
      <c r="J82" s="1190"/>
      <c r="K82" s="378">
        <v>1100000</v>
      </c>
      <c r="L82" s="378">
        <v>707421.7899999999</v>
      </c>
      <c r="M82" s="378">
        <v>1100000</v>
      </c>
      <c r="N82" s="448">
        <v>0</v>
      </c>
      <c r="O82" s="417">
        <v>0</v>
      </c>
      <c r="P82" s="417">
        <v>0</v>
      </c>
      <c r="Q82" s="420">
        <v>0</v>
      </c>
      <c r="R82" s="420">
        <v>0</v>
      </c>
      <c r="S82" s="420">
        <v>0</v>
      </c>
      <c r="T82" s="420">
        <f t="shared" si="24"/>
        <v>0</v>
      </c>
      <c r="U82" s="628">
        <f t="shared" si="28"/>
        <v>1100000</v>
      </c>
      <c r="V82" s="628">
        <v>1100000</v>
      </c>
      <c r="W82" s="628">
        <v>1100000</v>
      </c>
    </row>
    <row r="83" spans="2:23" s="362" customFormat="1" ht="12.75">
      <c r="B83" s="356"/>
      <c r="C83" s="363"/>
      <c r="D83" s="358"/>
      <c r="E83" s="363"/>
      <c r="F83" s="374">
        <v>52</v>
      </c>
      <c r="G83" s="441">
        <v>416</v>
      </c>
      <c r="H83" s="1205" t="s">
        <v>203</v>
      </c>
      <c r="I83" s="1206"/>
      <c r="J83" s="1207"/>
      <c r="K83" s="378">
        <v>90000</v>
      </c>
      <c r="L83" s="378">
        <v>84121.89</v>
      </c>
      <c r="M83" s="378">
        <v>90000</v>
      </c>
      <c r="N83" s="448">
        <v>0</v>
      </c>
      <c r="O83" s="417">
        <v>0</v>
      </c>
      <c r="P83" s="417">
        <v>0</v>
      </c>
      <c r="Q83" s="420">
        <v>0</v>
      </c>
      <c r="R83" s="420">
        <v>0</v>
      </c>
      <c r="S83" s="420">
        <v>0</v>
      </c>
      <c r="T83" s="420">
        <f t="shared" si="24"/>
        <v>0</v>
      </c>
      <c r="U83" s="628">
        <f t="shared" si="28"/>
        <v>90000</v>
      </c>
      <c r="V83" s="628">
        <v>90000</v>
      </c>
      <c r="W83" s="628">
        <v>90000</v>
      </c>
    </row>
    <row r="84" spans="2:23" s="362" customFormat="1" ht="12.75">
      <c r="B84" s="356"/>
      <c r="C84" s="363"/>
      <c r="D84" s="358"/>
      <c r="E84" s="363"/>
      <c r="F84" s="374">
        <v>53</v>
      </c>
      <c r="G84" s="451">
        <v>421</v>
      </c>
      <c r="H84" s="1188" t="s">
        <v>33</v>
      </c>
      <c r="I84" s="1189"/>
      <c r="J84" s="1190"/>
      <c r="K84" s="378">
        <v>6100000</v>
      </c>
      <c r="L84" s="378">
        <v>3723434.399999998</v>
      </c>
      <c r="M84" s="378">
        <v>6100000</v>
      </c>
      <c r="N84" s="448">
        <v>0</v>
      </c>
      <c r="O84" s="417">
        <v>0</v>
      </c>
      <c r="P84" s="417">
        <v>50000</v>
      </c>
      <c r="Q84" s="420">
        <v>0</v>
      </c>
      <c r="R84" s="420">
        <v>0</v>
      </c>
      <c r="S84" s="420">
        <v>0</v>
      </c>
      <c r="T84" s="420">
        <f t="shared" si="24"/>
        <v>50000</v>
      </c>
      <c r="U84" s="628">
        <f t="shared" si="28"/>
        <v>6150000</v>
      </c>
      <c r="V84" s="628">
        <v>6150000</v>
      </c>
      <c r="W84" s="628">
        <v>6150000</v>
      </c>
    </row>
    <row r="85" spans="2:23" s="362" customFormat="1" ht="12.75">
      <c r="B85" s="356"/>
      <c r="C85" s="363"/>
      <c r="D85" s="358"/>
      <c r="E85" s="363"/>
      <c r="F85" s="374">
        <v>54</v>
      </c>
      <c r="G85" s="451">
        <v>422</v>
      </c>
      <c r="H85" s="1205" t="s">
        <v>34</v>
      </c>
      <c r="I85" s="1206"/>
      <c r="J85" s="1207"/>
      <c r="K85" s="378">
        <v>100000</v>
      </c>
      <c r="L85" s="378">
        <v>1775</v>
      </c>
      <c r="M85" s="378">
        <v>100000</v>
      </c>
      <c r="N85" s="448">
        <v>0</v>
      </c>
      <c r="O85" s="417">
        <v>0</v>
      </c>
      <c r="P85" s="417">
        <v>0</v>
      </c>
      <c r="Q85" s="420">
        <v>0</v>
      </c>
      <c r="R85" s="420">
        <v>0</v>
      </c>
      <c r="S85" s="420">
        <v>0</v>
      </c>
      <c r="T85" s="420">
        <f t="shared" si="24"/>
        <v>0</v>
      </c>
      <c r="U85" s="628">
        <f t="shared" si="28"/>
        <v>100000</v>
      </c>
      <c r="V85" s="628">
        <v>100000</v>
      </c>
      <c r="W85" s="628">
        <v>100000</v>
      </c>
    </row>
    <row r="86" spans="2:23" s="362" customFormat="1" ht="12.75">
      <c r="B86" s="356"/>
      <c r="C86" s="363"/>
      <c r="D86" s="358"/>
      <c r="E86" s="363"/>
      <c r="F86" s="374">
        <v>55</v>
      </c>
      <c r="G86" s="451">
        <v>423</v>
      </c>
      <c r="H86" s="1205" t="s">
        <v>35</v>
      </c>
      <c r="I86" s="1206"/>
      <c r="J86" s="1207"/>
      <c r="K86" s="378">
        <v>14000000</v>
      </c>
      <c r="L86" s="378">
        <v>9819137.89</v>
      </c>
      <c r="M86" s="378">
        <v>14000000</v>
      </c>
      <c r="N86" s="448">
        <v>0</v>
      </c>
      <c r="O86" s="417">
        <v>0</v>
      </c>
      <c r="P86" s="417">
        <v>2320000</v>
      </c>
      <c r="Q86" s="420">
        <v>0</v>
      </c>
      <c r="R86" s="420">
        <v>0</v>
      </c>
      <c r="S86" s="420">
        <v>0</v>
      </c>
      <c r="T86" s="420">
        <f t="shared" si="24"/>
        <v>2320000</v>
      </c>
      <c r="U86" s="628">
        <f t="shared" si="28"/>
        <v>16320000</v>
      </c>
      <c r="V86" s="628">
        <v>16320000</v>
      </c>
      <c r="W86" s="628">
        <v>16320000</v>
      </c>
    </row>
    <row r="87" spans="1:23" s="362" customFormat="1" ht="12.75">
      <c r="A87" s="362" t="s">
        <v>1535</v>
      </c>
      <c r="B87" s="356"/>
      <c r="C87" s="363"/>
      <c r="D87" s="358"/>
      <c r="E87" s="363"/>
      <c r="F87" s="374">
        <v>56</v>
      </c>
      <c r="G87" s="451">
        <v>423</v>
      </c>
      <c r="H87" s="1205" t="s">
        <v>1536</v>
      </c>
      <c r="I87" s="1206"/>
      <c r="J87" s="1207"/>
      <c r="K87" s="378">
        <v>200000</v>
      </c>
      <c r="L87" s="378">
        <v>0</v>
      </c>
      <c r="M87" s="378">
        <v>200000</v>
      </c>
      <c r="N87" s="448">
        <v>0</v>
      </c>
      <c r="O87" s="417">
        <v>0</v>
      </c>
      <c r="P87" s="417">
        <v>0</v>
      </c>
      <c r="Q87" s="420">
        <v>0</v>
      </c>
      <c r="R87" s="420">
        <v>0</v>
      </c>
      <c r="S87" s="420">
        <v>0</v>
      </c>
      <c r="T87" s="420">
        <f t="shared" si="24"/>
        <v>0</v>
      </c>
      <c r="U87" s="628">
        <f t="shared" si="28"/>
        <v>200000</v>
      </c>
      <c r="V87" s="628">
        <v>200000</v>
      </c>
      <c r="W87" s="628">
        <v>200000</v>
      </c>
    </row>
    <row r="88" spans="2:23" s="362" customFormat="1" ht="12.75">
      <c r="B88" s="356"/>
      <c r="C88" s="363"/>
      <c r="D88" s="358"/>
      <c r="E88" s="363"/>
      <c r="F88" s="374">
        <v>57</v>
      </c>
      <c r="G88" s="441">
        <v>423</v>
      </c>
      <c r="H88" s="1188" t="s">
        <v>1397</v>
      </c>
      <c r="I88" s="1189"/>
      <c r="J88" s="1190"/>
      <c r="K88" s="378">
        <v>300000</v>
      </c>
      <c r="L88" s="378">
        <v>99685.47000000002</v>
      </c>
      <c r="M88" s="378">
        <v>300000</v>
      </c>
      <c r="N88" s="448">
        <v>0</v>
      </c>
      <c r="O88" s="417">
        <v>0</v>
      </c>
      <c r="P88" s="417">
        <v>0</v>
      </c>
      <c r="Q88" s="420">
        <v>0</v>
      </c>
      <c r="R88" s="420">
        <v>0</v>
      </c>
      <c r="S88" s="420">
        <v>0</v>
      </c>
      <c r="T88" s="420">
        <f t="shared" si="24"/>
        <v>0</v>
      </c>
      <c r="U88" s="628">
        <f t="shared" si="28"/>
        <v>300000</v>
      </c>
      <c r="V88" s="628">
        <v>300000</v>
      </c>
      <c r="W88" s="628">
        <v>300000</v>
      </c>
    </row>
    <row r="89" spans="2:23" s="362" customFormat="1" ht="12.75">
      <c r="B89" s="356"/>
      <c r="C89" s="363"/>
      <c r="D89" s="453"/>
      <c r="E89" s="454"/>
      <c r="F89" s="374">
        <v>58</v>
      </c>
      <c r="G89" s="455">
        <v>423</v>
      </c>
      <c r="H89" s="1293" t="s">
        <v>1400</v>
      </c>
      <c r="I89" s="1294"/>
      <c r="J89" s="1295"/>
      <c r="K89" s="971">
        <v>150000</v>
      </c>
      <c r="L89" s="971">
        <v>0</v>
      </c>
      <c r="M89" s="971">
        <v>150000</v>
      </c>
      <c r="N89" s="448">
        <v>0</v>
      </c>
      <c r="O89" s="428">
        <v>0</v>
      </c>
      <c r="P89" s="428">
        <v>0</v>
      </c>
      <c r="Q89" s="420">
        <v>0</v>
      </c>
      <c r="R89" s="420">
        <v>0</v>
      </c>
      <c r="S89" s="414">
        <v>0</v>
      </c>
      <c r="T89" s="414">
        <f t="shared" si="24"/>
        <v>0</v>
      </c>
      <c r="U89" s="382">
        <f t="shared" si="28"/>
        <v>150000</v>
      </c>
      <c r="V89" s="382">
        <v>150000</v>
      </c>
      <c r="W89" s="382">
        <v>150000</v>
      </c>
    </row>
    <row r="90" spans="2:23" s="524" customFormat="1" ht="12.75">
      <c r="B90" s="525"/>
      <c r="C90" s="459"/>
      <c r="D90" s="526"/>
      <c r="E90" s="459"/>
      <c r="F90" s="374">
        <v>59</v>
      </c>
      <c r="G90" s="441">
        <v>423</v>
      </c>
      <c r="H90" s="1237" t="s">
        <v>1401</v>
      </c>
      <c r="I90" s="1238"/>
      <c r="J90" s="1239"/>
      <c r="K90" s="969">
        <v>180000</v>
      </c>
      <c r="L90" s="969">
        <v>0</v>
      </c>
      <c r="M90" s="969">
        <v>180000</v>
      </c>
      <c r="N90" s="448">
        <v>0</v>
      </c>
      <c r="O90" s="527">
        <v>0</v>
      </c>
      <c r="P90" s="527">
        <v>0</v>
      </c>
      <c r="Q90" s="420">
        <v>0</v>
      </c>
      <c r="R90" s="420">
        <v>0</v>
      </c>
      <c r="S90" s="422">
        <v>0</v>
      </c>
      <c r="T90" s="422">
        <f t="shared" si="24"/>
        <v>0</v>
      </c>
      <c r="U90" s="628">
        <f t="shared" si="28"/>
        <v>180000</v>
      </c>
      <c r="V90" s="628">
        <v>180000</v>
      </c>
      <c r="W90" s="628">
        <v>180000</v>
      </c>
    </row>
    <row r="91" spans="2:23" s="524" customFormat="1" ht="12.75">
      <c r="B91" s="525"/>
      <c r="C91" s="459"/>
      <c r="D91" s="526"/>
      <c r="E91" s="459"/>
      <c r="F91" s="374">
        <v>60</v>
      </c>
      <c r="G91" s="441">
        <v>423</v>
      </c>
      <c r="H91" s="1283" t="s">
        <v>1402</v>
      </c>
      <c r="I91" s="1284"/>
      <c r="J91" s="1285"/>
      <c r="K91" s="969">
        <v>400000</v>
      </c>
      <c r="L91" s="969">
        <v>384000</v>
      </c>
      <c r="M91" s="969">
        <v>400000</v>
      </c>
      <c r="N91" s="448">
        <v>0</v>
      </c>
      <c r="O91" s="527">
        <v>0</v>
      </c>
      <c r="P91" s="527">
        <v>0</v>
      </c>
      <c r="Q91" s="420">
        <v>0</v>
      </c>
      <c r="R91" s="420">
        <v>0</v>
      </c>
      <c r="S91" s="422">
        <v>0</v>
      </c>
      <c r="T91" s="422">
        <f t="shared" si="24"/>
        <v>0</v>
      </c>
      <c r="U91" s="628">
        <f t="shared" si="28"/>
        <v>400000</v>
      </c>
      <c r="V91" s="628">
        <v>400000</v>
      </c>
      <c r="W91" s="628">
        <v>400000</v>
      </c>
    </row>
    <row r="92" spans="2:23" s="362" customFormat="1" ht="12.75">
      <c r="B92" s="356"/>
      <c r="C92" s="363"/>
      <c r="D92" s="358"/>
      <c r="E92" s="363"/>
      <c r="F92" s="374">
        <v>61</v>
      </c>
      <c r="G92" s="441">
        <v>424</v>
      </c>
      <c r="H92" s="1188" t="s">
        <v>36</v>
      </c>
      <c r="I92" s="1189"/>
      <c r="J92" s="1190"/>
      <c r="K92" s="775">
        <v>1200000</v>
      </c>
      <c r="L92" s="775">
        <v>206382.84</v>
      </c>
      <c r="M92" s="775">
        <v>1200000</v>
      </c>
      <c r="N92" s="448">
        <v>0</v>
      </c>
      <c r="O92" s="417">
        <v>0</v>
      </c>
      <c r="P92" s="417">
        <v>0</v>
      </c>
      <c r="Q92" s="420">
        <v>2000000</v>
      </c>
      <c r="R92" s="420">
        <v>0</v>
      </c>
      <c r="S92" s="420">
        <v>0</v>
      </c>
      <c r="T92" s="420">
        <f t="shared" si="24"/>
        <v>2000000</v>
      </c>
      <c r="U92" s="628">
        <f t="shared" si="28"/>
        <v>3200000</v>
      </c>
      <c r="V92" s="628">
        <v>3200000</v>
      </c>
      <c r="W92" s="628">
        <v>3200000</v>
      </c>
    </row>
    <row r="93" spans="2:23" s="362" customFormat="1" ht="12.75">
      <c r="B93" s="356"/>
      <c r="C93" s="363"/>
      <c r="D93" s="358"/>
      <c r="E93" s="363"/>
      <c r="F93" s="374">
        <v>62</v>
      </c>
      <c r="G93" s="441">
        <v>425</v>
      </c>
      <c r="H93" s="1188" t="s">
        <v>91</v>
      </c>
      <c r="I93" s="1189"/>
      <c r="J93" s="1190"/>
      <c r="K93" s="775">
        <v>2200000</v>
      </c>
      <c r="L93" s="775">
        <v>1742261.06</v>
      </c>
      <c r="M93" s="775">
        <v>2200000</v>
      </c>
      <c r="N93" s="448">
        <v>0</v>
      </c>
      <c r="O93" s="417">
        <v>0</v>
      </c>
      <c r="P93" s="417">
        <v>0</v>
      </c>
      <c r="Q93" s="420">
        <v>0</v>
      </c>
      <c r="R93" s="420">
        <v>0</v>
      </c>
      <c r="S93" s="420">
        <v>0</v>
      </c>
      <c r="T93" s="420">
        <f t="shared" si="24"/>
        <v>0</v>
      </c>
      <c r="U93" s="628">
        <f t="shared" si="28"/>
        <v>2200000</v>
      </c>
      <c r="V93" s="628">
        <v>2200000</v>
      </c>
      <c r="W93" s="628">
        <v>2200000</v>
      </c>
    </row>
    <row r="94" spans="2:23" s="362" customFormat="1" ht="12.75">
      <c r="B94" s="356"/>
      <c r="C94" s="363"/>
      <c r="D94" s="453"/>
      <c r="E94" s="454"/>
      <c r="F94" s="374">
        <v>63</v>
      </c>
      <c r="G94" s="455">
        <v>425</v>
      </c>
      <c r="H94" s="1293" t="s">
        <v>1194</v>
      </c>
      <c r="I94" s="1294"/>
      <c r="J94" s="1295"/>
      <c r="K94" s="971">
        <v>300000</v>
      </c>
      <c r="L94" s="971">
        <v>0</v>
      </c>
      <c r="M94" s="971">
        <v>300000</v>
      </c>
      <c r="N94" s="448">
        <v>0</v>
      </c>
      <c r="O94" s="428">
        <v>0</v>
      </c>
      <c r="P94" s="428">
        <v>0</v>
      </c>
      <c r="Q94" s="420">
        <v>0</v>
      </c>
      <c r="R94" s="420">
        <v>0</v>
      </c>
      <c r="S94" s="414">
        <v>0</v>
      </c>
      <c r="T94" s="414">
        <f t="shared" si="24"/>
        <v>0</v>
      </c>
      <c r="U94" s="382">
        <f t="shared" si="28"/>
        <v>300000</v>
      </c>
      <c r="V94" s="382">
        <v>300000</v>
      </c>
      <c r="W94" s="382">
        <v>300000</v>
      </c>
    </row>
    <row r="95" spans="2:23" s="362" customFormat="1" ht="12.75">
      <c r="B95" s="356"/>
      <c r="C95" s="363"/>
      <c r="D95" s="358"/>
      <c r="E95" s="363"/>
      <c r="F95" s="374">
        <v>64</v>
      </c>
      <c r="G95" s="441">
        <v>426</v>
      </c>
      <c r="H95" s="1188" t="s">
        <v>38</v>
      </c>
      <c r="I95" s="1189"/>
      <c r="J95" s="1190"/>
      <c r="K95" s="775">
        <v>2800000</v>
      </c>
      <c r="L95" s="775">
        <v>1690977.2300000002</v>
      </c>
      <c r="M95" s="775">
        <v>2800000</v>
      </c>
      <c r="N95" s="448">
        <v>0</v>
      </c>
      <c r="O95" s="417">
        <v>0</v>
      </c>
      <c r="P95" s="417">
        <v>87000</v>
      </c>
      <c r="Q95" s="420">
        <v>0</v>
      </c>
      <c r="R95" s="420">
        <v>0</v>
      </c>
      <c r="S95" s="420">
        <v>0</v>
      </c>
      <c r="T95" s="420">
        <f t="shared" si="24"/>
        <v>87000</v>
      </c>
      <c r="U95" s="628">
        <f t="shared" si="28"/>
        <v>2887000</v>
      </c>
      <c r="V95" s="628">
        <v>2887000</v>
      </c>
      <c r="W95" s="628">
        <v>2887000</v>
      </c>
    </row>
    <row r="96" spans="2:23" s="362" customFormat="1" ht="12.75">
      <c r="B96" s="356"/>
      <c r="C96" s="363"/>
      <c r="D96" s="453"/>
      <c r="E96" s="454"/>
      <c r="F96" s="374">
        <v>65</v>
      </c>
      <c r="G96" s="455">
        <v>426</v>
      </c>
      <c r="H96" s="1293" t="s">
        <v>17</v>
      </c>
      <c r="I96" s="1294"/>
      <c r="J96" s="1295"/>
      <c r="K96" s="971">
        <v>50000</v>
      </c>
      <c r="L96" s="971">
        <v>20197</v>
      </c>
      <c r="M96" s="971">
        <v>50000</v>
      </c>
      <c r="N96" s="448">
        <v>0</v>
      </c>
      <c r="O96" s="428">
        <v>0</v>
      </c>
      <c r="P96" s="428">
        <v>0</v>
      </c>
      <c r="Q96" s="420">
        <v>0</v>
      </c>
      <c r="R96" s="420">
        <v>0</v>
      </c>
      <c r="S96" s="414">
        <v>0</v>
      </c>
      <c r="T96" s="414">
        <f t="shared" si="24"/>
        <v>0</v>
      </c>
      <c r="U96" s="382">
        <f t="shared" si="28"/>
        <v>50000</v>
      </c>
      <c r="V96" s="382">
        <v>50000</v>
      </c>
      <c r="W96" s="382">
        <v>50000</v>
      </c>
    </row>
    <row r="97" spans="2:23" s="362" customFormat="1" ht="12.75">
      <c r="B97" s="356"/>
      <c r="C97" s="363"/>
      <c r="D97" s="358"/>
      <c r="E97" s="363"/>
      <c r="F97" s="374">
        <v>66</v>
      </c>
      <c r="G97" s="451">
        <v>465</v>
      </c>
      <c r="H97" s="1205" t="s">
        <v>1466</v>
      </c>
      <c r="I97" s="1206"/>
      <c r="J97" s="1207"/>
      <c r="K97" s="775">
        <v>500000</v>
      </c>
      <c r="L97" s="775">
        <v>0</v>
      </c>
      <c r="M97" s="775">
        <v>500000</v>
      </c>
      <c r="N97" s="448">
        <v>0</v>
      </c>
      <c r="O97" s="417">
        <v>0</v>
      </c>
      <c r="P97" s="417">
        <v>0</v>
      </c>
      <c r="Q97" s="420">
        <v>0</v>
      </c>
      <c r="R97" s="420">
        <v>0</v>
      </c>
      <c r="S97" s="420">
        <v>0</v>
      </c>
      <c r="T97" s="420">
        <f t="shared" si="24"/>
        <v>0</v>
      </c>
      <c r="U97" s="628">
        <f t="shared" si="28"/>
        <v>500000</v>
      </c>
      <c r="V97" s="628">
        <v>500000</v>
      </c>
      <c r="W97" s="628">
        <v>500000</v>
      </c>
    </row>
    <row r="98" spans="2:23" s="362" customFormat="1" ht="12.75">
      <c r="B98" s="356"/>
      <c r="C98" s="363"/>
      <c r="D98" s="358"/>
      <c r="E98" s="363"/>
      <c r="F98" s="374">
        <v>67</v>
      </c>
      <c r="G98" s="441">
        <v>465</v>
      </c>
      <c r="H98" s="1205" t="s">
        <v>216</v>
      </c>
      <c r="I98" s="1206"/>
      <c r="J98" s="1207"/>
      <c r="K98" s="775">
        <v>2943000</v>
      </c>
      <c r="L98" s="775">
        <v>285344.38</v>
      </c>
      <c r="M98" s="775">
        <v>300000</v>
      </c>
      <c r="N98" s="448">
        <v>0</v>
      </c>
      <c r="O98" s="417">
        <v>0</v>
      </c>
      <c r="P98" s="417">
        <v>0</v>
      </c>
      <c r="Q98" s="420">
        <v>0</v>
      </c>
      <c r="R98" s="420">
        <v>0</v>
      </c>
      <c r="S98" s="420">
        <v>0</v>
      </c>
      <c r="T98" s="420">
        <f t="shared" si="24"/>
        <v>0</v>
      </c>
      <c r="U98" s="628">
        <f t="shared" si="28"/>
        <v>300000</v>
      </c>
      <c r="V98" s="628">
        <v>300000</v>
      </c>
      <c r="W98" s="628">
        <v>300000</v>
      </c>
    </row>
    <row r="99" spans="2:23" s="362" customFormat="1" ht="12.75">
      <c r="B99" s="356"/>
      <c r="C99" s="363"/>
      <c r="D99" s="358"/>
      <c r="E99" s="363"/>
      <c r="F99" s="374">
        <v>68</v>
      </c>
      <c r="G99" s="441">
        <v>465</v>
      </c>
      <c r="H99" s="1188" t="s">
        <v>286</v>
      </c>
      <c r="I99" s="1189"/>
      <c r="J99" s="1190"/>
      <c r="K99" s="775">
        <v>500000</v>
      </c>
      <c r="L99" s="775">
        <v>405216</v>
      </c>
      <c r="M99" s="775">
        <v>500000</v>
      </c>
      <c r="N99" s="448">
        <v>0</v>
      </c>
      <c r="O99" s="417">
        <v>0</v>
      </c>
      <c r="P99" s="417">
        <v>0</v>
      </c>
      <c r="Q99" s="420">
        <v>0</v>
      </c>
      <c r="R99" s="420">
        <v>0</v>
      </c>
      <c r="S99" s="420">
        <v>0</v>
      </c>
      <c r="T99" s="420">
        <f t="shared" si="24"/>
        <v>0</v>
      </c>
      <c r="U99" s="628">
        <f t="shared" si="28"/>
        <v>500000</v>
      </c>
      <c r="V99" s="628">
        <v>500000</v>
      </c>
      <c r="W99" s="628">
        <v>500000</v>
      </c>
    </row>
    <row r="100" spans="2:23" s="362" customFormat="1" ht="12.75">
      <c r="B100" s="356"/>
      <c r="C100" s="363"/>
      <c r="D100" s="182"/>
      <c r="E100" s="182"/>
      <c r="F100" s="374">
        <v>69</v>
      </c>
      <c r="G100" s="455">
        <v>472</v>
      </c>
      <c r="H100" s="1188" t="s">
        <v>1403</v>
      </c>
      <c r="I100" s="1189"/>
      <c r="J100" s="1190"/>
      <c r="K100" s="775">
        <v>50000</v>
      </c>
      <c r="L100" s="775">
        <v>0</v>
      </c>
      <c r="M100" s="775">
        <v>50000</v>
      </c>
      <c r="N100" s="448">
        <v>0</v>
      </c>
      <c r="O100" s="457">
        <v>0</v>
      </c>
      <c r="P100" s="457">
        <v>0</v>
      </c>
      <c r="Q100" s="424">
        <v>0</v>
      </c>
      <c r="R100" s="420">
        <v>0</v>
      </c>
      <c r="S100" s="424">
        <v>0</v>
      </c>
      <c r="T100" s="424">
        <f t="shared" si="24"/>
        <v>0</v>
      </c>
      <c r="U100" s="382">
        <f t="shared" si="28"/>
        <v>50000</v>
      </c>
      <c r="V100" s="382">
        <v>50000</v>
      </c>
      <c r="W100" s="382">
        <v>50000</v>
      </c>
    </row>
    <row r="101" spans="2:23" s="362" customFormat="1" ht="12.75">
      <c r="B101" s="356"/>
      <c r="C101" s="363"/>
      <c r="D101" s="182"/>
      <c r="E101" s="182"/>
      <c r="F101" s="374">
        <v>70</v>
      </c>
      <c r="G101" s="359">
        <v>481</v>
      </c>
      <c r="H101" s="1188" t="s">
        <v>1483</v>
      </c>
      <c r="I101" s="1189"/>
      <c r="J101" s="1190"/>
      <c r="K101" s="775">
        <v>700000</v>
      </c>
      <c r="L101" s="775">
        <v>0</v>
      </c>
      <c r="M101" s="775">
        <v>700000</v>
      </c>
      <c r="N101" s="448">
        <v>0</v>
      </c>
      <c r="O101" s="646">
        <v>0</v>
      </c>
      <c r="P101" s="424">
        <v>0</v>
      </c>
      <c r="Q101" s="424">
        <v>0</v>
      </c>
      <c r="R101" s="420">
        <v>0</v>
      </c>
      <c r="S101" s="361">
        <v>0</v>
      </c>
      <c r="T101" s="424">
        <f t="shared" si="24"/>
        <v>0</v>
      </c>
      <c r="U101" s="382">
        <f t="shared" si="28"/>
        <v>700000</v>
      </c>
      <c r="V101" s="382">
        <v>700000</v>
      </c>
      <c r="W101" s="382">
        <v>700000</v>
      </c>
    </row>
    <row r="102" spans="2:23" s="362" customFormat="1" ht="12.75">
      <c r="B102" s="356"/>
      <c r="C102" s="363"/>
      <c r="D102" s="182"/>
      <c r="E102" s="182"/>
      <c r="F102" s="374">
        <v>71</v>
      </c>
      <c r="G102" s="455">
        <v>481</v>
      </c>
      <c r="H102" s="1205" t="s">
        <v>1404</v>
      </c>
      <c r="I102" s="1206"/>
      <c r="J102" s="1207"/>
      <c r="K102" s="775">
        <v>1800000</v>
      </c>
      <c r="L102" s="775">
        <v>1565347.2</v>
      </c>
      <c r="M102" s="775">
        <v>1800000</v>
      </c>
      <c r="N102" s="448">
        <v>0</v>
      </c>
      <c r="O102" s="545">
        <v>0</v>
      </c>
      <c r="P102" s="420">
        <v>0</v>
      </c>
      <c r="Q102" s="420">
        <v>0</v>
      </c>
      <c r="R102" s="420">
        <v>0</v>
      </c>
      <c r="S102" s="360">
        <v>0</v>
      </c>
      <c r="T102" s="424">
        <f t="shared" si="24"/>
        <v>0</v>
      </c>
      <c r="U102" s="382">
        <f t="shared" si="28"/>
        <v>1800000</v>
      </c>
      <c r="V102" s="382">
        <v>1800000</v>
      </c>
      <c r="W102" s="382">
        <v>1800000</v>
      </c>
    </row>
    <row r="103" spans="2:23" s="362" customFormat="1" ht="12.75">
      <c r="B103" s="356"/>
      <c r="C103" s="363"/>
      <c r="D103" s="358"/>
      <c r="E103" s="363"/>
      <c r="F103" s="374">
        <v>72</v>
      </c>
      <c r="G103" s="441">
        <v>482</v>
      </c>
      <c r="H103" s="1188" t="s">
        <v>82</v>
      </c>
      <c r="I103" s="1189"/>
      <c r="J103" s="1190"/>
      <c r="K103" s="775">
        <v>2707000</v>
      </c>
      <c r="L103" s="775">
        <v>2476514.42</v>
      </c>
      <c r="M103" s="775">
        <v>3000000</v>
      </c>
      <c r="N103" s="448">
        <v>0</v>
      </c>
      <c r="O103" s="545">
        <v>0</v>
      </c>
      <c r="P103" s="417">
        <v>0</v>
      </c>
      <c r="Q103" s="420">
        <v>0</v>
      </c>
      <c r="R103" s="420">
        <v>0</v>
      </c>
      <c r="S103" s="420">
        <v>0</v>
      </c>
      <c r="T103" s="420">
        <f t="shared" si="24"/>
        <v>0</v>
      </c>
      <c r="U103" s="628">
        <f t="shared" si="28"/>
        <v>3000000</v>
      </c>
      <c r="V103" s="628">
        <v>3000000</v>
      </c>
      <c r="W103" s="628">
        <v>3000000</v>
      </c>
    </row>
    <row r="104" spans="2:23" s="362" customFormat="1" ht="12.75">
      <c r="B104" s="356"/>
      <c r="C104" s="363"/>
      <c r="D104" s="358"/>
      <c r="E104" s="363"/>
      <c r="F104" s="374">
        <v>73</v>
      </c>
      <c r="G104" s="441">
        <v>483</v>
      </c>
      <c r="H104" s="1188" t="s">
        <v>92</v>
      </c>
      <c r="I104" s="1189"/>
      <c r="J104" s="1190"/>
      <c r="K104" s="775">
        <v>400000</v>
      </c>
      <c r="L104" s="775">
        <v>0</v>
      </c>
      <c r="M104" s="775">
        <v>400000</v>
      </c>
      <c r="N104" s="448">
        <v>0</v>
      </c>
      <c r="O104" s="545">
        <v>0</v>
      </c>
      <c r="P104" s="417">
        <v>0</v>
      </c>
      <c r="Q104" s="420">
        <v>0</v>
      </c>
      <c r="R104" s="420">
        <v>0</v>
      </c>
      <c r="S104" s="420">
        <v>0</v>
      </c>
      <c r="T104" s="420">
        <f t="shared" si="24"/>
        <v>0</v>
      </c>
      <c r="U104" s="628">
        <f t="shared" si="28"/>
        <v>400000</v>
      </c>
      <c r="V104" s="628">
        <v>400000</v>
      </c>
      <c r="W104" s="628">
        <v>400000</v>
      </c>
    </row>
    <row r="105" spans="2:23" s="362" customFormat="1" ht="12.75">
      <c r="B105" s="356"/>
      <c r="C105" s="363"/>
      <c r="D105" s="358"/>
      <c r="E105" s="363"/>
      <c r="F105" s="374">
        <v>74</v>
      </c>
      <c r="G105" s="441">
        <v>485</v>
      </c>
      <c r="H105" s="1188" t="s">
        <v>93</v>
      </c>
      <c r="I105" s="1189"/>
      <c r="J105" s="1190"/>
      <c r="K105" s="775">
        <v>1260000</v>
      </c>
      <c r="L105" s="775">
        <v>0</v>
      </c>
      <c r="M105" s="775">
        <v>1400000</v>
      </c>
      <c r="N105" s="448">
        <v>0</v>
      </c>
      <c r="O105" s="545">
        <v>0</v>
      </c>
      <c r="P105" s="417">
        <v>0</v>
      </c>
      <c r="Q105" s="420">
        <v>0</v>
      </c>
      <c r="R105" s="420">
        <v>0</v>
      </c>
      <c r="S105" s="420">
        <v>0</v>
      </c>
      <c r="T105" s="420">
        <f t="shared" si="24"/>
        <v>0</v>
      </c>
      <c r="U105" s="628">
        <f t="shared" si="28"/>
        <v>1400000</v>
      </c>
      <c r="V105" s="628">
        <v>1400000</v>
      </c>
      <c r="W105" s="628">
        <v>1400000</v>
      </c>
    </row>
    <row r="106" spans="2:23" s="362" customFormat="1" ht="12.75">
      <c r="B106" s="356"/>
      <c r="C106" s="363"/>
      <c r="D106" s="358"/>
      <c r="E106" s="363"/>
      <c r="F106" s="374">
        <v>75</v>
      </c>
      <c r="G106" s="441">
        <v>512</v>
      </c>
      <c r="H106" s="1188" t="s">
        <v>83</v>
      </c>
      <c r="I106" s="1189"/>
      <c r="J106" s="1190"/>
      <c r="K106" s="775">
        <v>1400000</v>
      </c>
      <c r="L106" s="775">
        <v>331478.16000000003</v>
      </c>
      <c r="M106" s="775">
        <v>400000</v>
      </c>
      <c r="N106" s="448">
        <v>0</v>
      </c>
      <c r="O106" s="545">
        <v>0</v>
      </c>
      <c r="P106" s="417">
        <v>0</v>
      </c>
      <c r="Q106" s="422">
        <v>0</v>
      </c>
      <c r="R106" s="420">
        <v>0</v>
      </c>
      <c r="S106" s="420">
        <v>0</v>
      </c>
      <c r="T106" s="420">
        <f t="shared" si="24"/>
        <v>0</v>
      </c>
      <c r="U106" s="628">
        <f t="shared" si="28"/>
        <v>400000</v>
      </c>
      <c r="V106" s="628">
        <v>400000</v>
      </c>
      <c r="W106" s="628">
        <v>400000</v>
      </c>
    </row>
    <row r="107" spans="2:23" s="362" customFormat="1" ht="12.75">
      <c r="B107" s="356"/>
      <c r="C107" s="363"/>
      <c r="D107" s="453"/>
      <c r="E107" s="454"/>
      <c r="F107" s="374">
        <v>76</v>
      </c>
      <c r="G107" s="455">
        <v>512</v>
      </c>
      <c r="H107" s="1293" t="s">
        <v>283</v>
      </c>
      <c r="I107" s="1294"/>
      <c r="J107" s="1295"/>
      <c r="K107" s="972">
        <v>110000</v>
      </c>
      <c r="L107" s="972">
        <v>81638</v>
      </c>
      <c r="M107" s="972">
        <v>110000</v>
      </c>
      <c r="N107" s="1128">
        <v>0</v>
      </c>
      <c r="O107" s="545">
        <v>0</v>
      </c>
      <c r="P107" s="428">
        <v>0</v>
      </c>
      <c r="Q107" s="414">
        <v>0</v>
      </c>
      <c r="R107" s="420">
        <v>0</v>
      </c>
      <c r="S107" s="414">
        <v>0</v>
      </c>
      <c r="T107" s="414">
        <f t="shared" si="24"/>
        <v>0</v>
      </c>
      <c r="U107" s="382">
        <f t="shared" si="28"/>
        <v>110000</v>
      </c>
      <c r="V107" s="382">
        <v>110000</v>
      </c>
      <c r="W107" s="382">
        <v>110000</v>
      </c>
    </row>
    <row r="108" spans="2:23" s="362" customFormat="1" ht="12.75">
      <c r="B108" s="356"/>
      <c r="C108" s="363"/>
      <c r="D108" s="453"/>
      <c r="E108" s="454"/>
      <c r="F108" s="374">
        <v>77</v>
      </c>
      <c r="G108" s="455">
        <v>515</v>
      </c>
      <c r="H108" s="1346" t="s">
        <v>218</v>
      </c>
      <c r="I108" s="1347"/>
      <c r="J108" s="1347"/>
      <c r="K108" s="750">
        <v>500000</v>
      </c>
      <c r="L108" s="750">
        <v>0</v>
      </c>
      <c r="M108" s="750">
        <v>500000</v>
      </c>
      <c r="N108" s="464">
        <v>0</v>
      </c>
      <c r="O108" s="761">
        <v>0</v>
      </c>
      <c r="P108" s="412">
        <v>0</v>
      </c>
      <c r="Q108" s="414">
        <v>0</v>
      </c>
      <c r="R108" s="420">
        <v>0</v>
      </c>
      <c r="S108" s="414">
        <v>0</v>
      </c>
      <c r="T108" s="414">
        <f t="shared" si="24"/>
        <v>0</v>
      </c>
      <c r="U108" s="382">
        <f t="shared" si="28"/>
        <v>500000</v>
      </c>
      <c r="V108" s="382">
        <v>500000</v>
      </c>
      <c r="W108" s="382">
        <v>500000</v>
      </c>
    </row>
    <row r="109" spans="2:23" s="362" customFormat="1" ht="12.75">
      <c r="B109" s="356"/>
      <c r="C109" s="363"/>
      <c r="D109" s="358"/>
      <c r="E109" s="363"/>
      <c r="F109" s="374">
        <v>78</v>
      </c>
      <c r="G109" s="451">
        <v>541</v>
      </c>
      <c r="H109" s="1277" t="s">
        <v>207</v>
      </c>
      <c r="I109" s="1277"/>
      <c r="J109" s="1208"/>
      <c r="K109" s="555">
        <v>450000</v>
      </c>
      <c r="L109" s="555">
        <v>0</v>
      </c>
      <c r="M109" s="555">
        <v>500000</v>
      </c>
      <c r="N109" s="464">
        <v>0</v>
      </c>
      <c r="O109" s="761">
        <v>0</v>
      </c>
      <c r="P109" s="410">
        <v>0</v>
      </c>
      <c r="Q109" s="420">
        <v>0</v>
      </c>
      <c r="R109" s="420">
        <v>0</v>
      </c>
      <c r="S109" s="420">
        <v>0</v>
      </c>
      <c r="T109" s="420">
        <f t="shared" si="24"/>
        <v>0</v>
      </c>
      <c r="U109" s="628">
        <f t="shared" si="28"/>
        <v>500000</v>
      </c>
      <c r="V109" s="628">
        <v>500000</v>
      </c>
      <c r="W109" s="628">
        <v>500000</v>
      </c>
    </row>
    <row r="110" spans="2:23" ht="27.75" customHeight="1">
      <c r="B110" s="287"/>
      <c r="C110" s="288"/>
      <c r="D110" s="435"/>
      <c r="E110" s="352" t="s">
        <v>1267</v>
      </c>
      <c r="F110" s="435"/>
      <c r="G110" s="436"/>
      <c r="H110" s="1340" t="s">
        <v>335</v>
      </c>
      <c r="I110" s="1230"/>
      <c r="J110" s="1230"/>
      <c r="K110" s="1129">
        <f>SUM(K112:K118)</f>
        <v>6300000</v>
      </c>
      <c r="L110" s="1129">
        <f>SUM(L112:L118)</f>
        <v>2186396.08</v>
      </c>
      <c r="M110" s="1129">
        <f>SUM(M112:M118)</f>
        <v>6700000</v>
      </c>
      <c r="N110" s="674">
        <f aca="true" t="shared" si="29" ref="N110:S110">SUM(N112:N118)</f>
        <v>0</v>
      </c>
      <c r="O110" s="293">
        <f t="shared" si="29"/>
        <v>10000000</v>
      </c>
      <c r="P110" s="293">
        <f t="shared" si="29"/>
        <v>0</v>
      </c>
      <c r="Q110" s="293">
        <f t="shared" si="29"/>
        <v>5500000</v>
      </c>
      <c r="R110" s="293">
        <f t="shared" si="29"/>
        <v>90000</v>
      </c>
      <c r="S110" s="293">
        <f t="shared" si="29"/>
        <v>0</v>
      </c>
      <c r="T110" s="340">
        <f t="shared" si="24"/>
        <v>15590000</v>
      </c>
      <c r="U110" s="674">
        <f>SUM(M110:S110)</f>
        <v>22290000</v>
      </c>
      <c r="V110" s="674">
        <v>22290000</v>
      </c>
      <c r="W110" s="674">
        <v>22290000</v>
      </c>
    </row>
    <row r="111" spans="2:23" ht="12.75">
      <c r="B111" s="437"/>
      <c r="C111" s="438"/>
      <c r="D111" s="56">
        <v>130</v>
      </c>
      <c r="E111" s="58"/>
      <c r="F111" s="439"/>
      <c r="G111" s="440"/>
      <c r="H111" s="1185" t="s">
        <v>90</v>
      </c>
      <c r="I111" s="1186"/>
      <c r="J111" s="1187"/>
      <c r="K111" s="780">
        <f>SUM(K112:K118)</f>
        <v>6300000</v>
      </c>
      <c r="L111" s="780">
        <f>SUM(L112:L118)</f>
        <v>2186396.08</v>
      </c>
      <c r="M111" s="780">
        <f>SUM(M112:M118)</f>
        <v>6700000</v>
      </c>
      <c r="N111" s="780">
        <f aca="true" t="shared" si="30" ref="N111:S111">SUM(N112:N118)</f>
        <v>0</v>
      </c>
      <c r="O111" s="780">
        <f t="shared" si="30"/>
        <v>10000000</v>
      </c>
      <c r="P111" s="183">
        <f t="shared" si="30"/>
        <v>0</v>
      </c>
      <c r="Q111" s="183">
        <f t="shared" si="30"/>
        <v>5500000</v>
      </c>
      <c r="R111" s="183">
        <f t="shared" si="30"/>
        <v>90000</v>
      </c>
      <c r="S111" s="183">
        <f t="shared" si="30"/>
        <v>0</v>
      </c>
      <c r="T111" s="341">
        <f t="shared" si="24"/>
        <v>15590000</v>
      </c>
      <c r="U111" s="876">
        <f>SUM(M111:S111)</f>
        <v>22290000</v>
      </c>
      <c r="V111" s="876">
        <v>22290000</v>
      </c>
      <c r="W111" s="876">
        <v>22290000</v>
      </c>
    </row>
    <row r="112" spans="2:23" ht="12.75">
      <c r="B112" s="437"/>
      <c r="C112" s="438"/>
      <c r="D112" s="364"/>
      <c r="E112" s="466"/>
      <c r="F112" s="374">
        <v>79</v>
      </c>
      <c r="G112" s="440">
        <v>421</v>
      </c>
      <c r="H112" s="1188" t="s">
        <v>1409</v>
      </c>
      <c r="I112" s="1189"/>
      <c r="J112" s="1190"/>
      <c r="K112" s="378">
        <v>100000</v>
      </c>
      <c r="L112" s="378">
        <v>12464.44</v>
      </c>
      <c r="M112" s="378">
        <v>100000</v>
      </c>
      <c r="N112" s="378">
        <v>0</v>
      </c>
      <c r="O112" s="775">
        <v>0</v>
      </c>
      <c r="P112" s="775">
        <v>0</v>
      </c>
      <c r="Q112" s="365">
        <v>0</v>
      </c>
      <c r="R112" s="775">
        <v>0</v>
      </c>
      <c r="S112" s="365">
        <v>0</v>
      </c>
      <c r="T112" s="365">
        <f t="shared" si="24"/>
        <v>0</v>
      </c>
      <c r="U112" s="795">
        <f>SUM(M112:S112)</f>
        <v>100000</v>
      </c>
      <c r="V112" s="795">
        <v>100000</v>
      </c>
      <c r="W112" s="795">
        <v>100000</v>
      </c>
    </row>
    <row r="113" spans="2:23" ht="12.75">
      <c r="B113" s="437"/>
      <c r="C113" s="438"/>
      <c r="D113" s="364"/>
      <c r="E113" s="466"/>
      <c r="F113" s="374">
        <v>80</v>
      </c>
      <c r="G113" s="440">
        <v>422</v>
      </c>
      <c r="H113" s="1205" t="s">
        <v>34</v>
      </c>
      <c r="I113" s="1206"/>
      <c r="J113" s="1207"/>
      <c r="K113" s="378">
        <v>100000</v>
      </c>
      <c r="L113" s="378">
        <v>0</v>
      </c>
      <c r="M113" s="378">
        <v>100000</v>
      </c>
      <c r="N113" s="378">
        <v>0</v>
      </c>
      <c r="O113" s="775">
        <v>0</v>
      </c>
      <c r="P113" s="775">
        <v>0</v>
      </c>
      <c r="Q113" s="365">
        <v>0</v>
      </c>
      <c r="R113" s="775">
        <v>40000</v>
      </c>
      <c r="S113" s="365">
        <v>0</v>
      </c>
      <c r="T113" s="365"/>
      <c r="U113" s="795">
        <f>SUM(M113:T113)</f>
        <v>140000</v>
      </c>
      <c r="V113" s="795">
        <v>140000</v>
      </c>
      <c r="W113" s="795">
        <v>140000</v>
      </c>
    </row>
    <row r="114" spans="2:23" s="362" customFormat="1" ht="12.75">
      <c r="B114" s="356"/>
      <c r="C114" s="363"/>
      <c r="D114" s="358"/>
      <c r="E114" s="363"/>
      <c r="F114" s="374">
        <v>81</v>
      </c>
      <c r="G114" s="451">
        <v>423</v>
      </c>
      <c r="H114" s="1188" t="s">
        <v>1405</v>
      </c>
      <c r="I114" s="1189"/>
      <c r="J114" s="1190"/>
      <c r="K114" s="378">
        <v>4000000</v>
      </c>
      <c r="L114" s="378">
        <v>1933931.6400000001</v>
      </c>
      <c r="M114" s="378">
        <v>5800000</v>
      </c>
      <c r="N114" s="448">
        <v>0</v>
      </c>
      <c r="O114" s="417">
        <v>10000000</v>
      </c>
      <c r="P114" s="417">
        <v>0</v>
      </c>
      <c r="Q114" s="420">
        <v>5500000</v>
      </c>
      <c r="R114" s="417">
        <v>50000</v>
      </c>
      <c r="S114" s="420">
        <v>0</v>
      </c>
      <c r="T114" s="423">
        <f t="shared" si="24"/>
        <v>15550000</v>
      </c>
      <c r="U114" s="795">
        <f>SUM(M114:S114)</f>
        <v>21350000</v>
      </c>
      <c r="V114" s="795">
        <v>21350000</v>
      </c>
      <c r="W114" s="795">
        <v>21350000</v>
      </c>
    </row>
    <row r="115" spans="2:23" s="362" customFormat="1" ht="12.75">
      <c r="B115" s="356"/>
      <c r="C115" s="363"/>
      <c r="D115" s="358"/>
      <c r="E115" s="363"/>
      <c r="F115" s="648" t="s">
        <v>1475</v>
      </c>
      <c r="G115" s="441">
        <v>426</v>
      </c>
      <c r="H115" s="1188" t="s">
        <v>1406</v>
      </c>
      <c r="I115" s="1189"/>
      <c r="J115" s="1190"/>
      <c r="K115" s="775">
        <v>240000</v>
      </c>
      <c r="L115" s="775">
        <v>240000</v>
      </c>
      <c r="M115" s="775">
        <v>640000</v>
      </c>
      <c r="N115" s="448">
        <v>0</v>
      </c>
      <c r="O115" s="417">
        <v>0</v>
      </c>
      <c r="P115" s="417">
        <v>0</v>
      </c>
      <c r="Q115" s="420">
        <v>0</v>
      </c>
      <c r="R115" s="417">
        <v>0</v>
      </c>
      <c r="S115" s="420">
        <v>0</v>
      </c>
      <c r="T115" s="423">
        <f t="shared" si="24"/>
        <v>0</v>
      </c>
      <c r="U115" s="795">
        <f>SUM(M115:S115)</f>
        <v>640000</v>
      </c>
      <c r="V115" s="795">
        <v>640000</v>
      </c>
      <c r="W115" s="795">
        <v>640000</v>
      </c>
    </row>
    <row r="116" spans="2:23" s="362" customFormat="1" ht="12.75">
      <c r="B116" s="356"/>
      <c r="C116" s="363"/>
      <c r="D116" s="358"/>
      <c r="E116" s="363"/>
      <c r="F116" s="363" t="s">
        <v>1315</v>
      </c>
      <c r="G116" s="441">
        <v>444</v>
      </c>
      <c r="H116" s="354" t="s">
        <v>1529</v>
      </c>
      <c r="I116" s="449"/>
      <c r="J116" s="450"/>
      <c r="K116" s="775">
        <v>0</v>
      </c>
      <c r="L116" s="775">
        <v>0</v>
      </c>
      <c r="M116" s="775">
        <v>60000</v>
      </c>
      <c r="N116" s="410">
        <v>0</v>
      </c>
      <c r="O116" s="410">
        <v>0</v>
      </c>
      <c r="P116" s="410">
        <v>0</v>
      </c>
      <c r="Q116" s="410">
        <v>0</v>
      </c>
      <c r="R116" s="410">
        <v>0</v>
      </c>
      <c r="S116" s="410">
        <v>0</v>
      </c>
      <c r="T116" s="410">
        <v>0</v>
      </c>
      <c r="U116" s="795">
        <f>SUM(M116:S116)</f>
        <v>60000</v>
      </c>
      <c r="V116" s="795">
        <v>60000</v>
      </c>
      <c r="W116" s="795">
        <v>60000</v>
      </c>
    </row>
    <row r="117" spans="2:23" s="362" customFormat="1" ht="12.75">
      <c r="B117" s="356"/>
      <c r="C117" s="363"/>
      <c r="D117" s="358"/>
      <c r="E117" s="363"/>
      <c r="F117" s="622" t="s">
        <v>1316</v>
      </c>
      <c r="G117" s="441">
        <v>511</v>
      </c>
      <c r="H117" s="1188" t="s">
        <v>1407</v>
      </c>
      <c r="I117" s="1189"/>
      <c r="J117" s="1190"/>
      <c r="K117" s="775">
        <v>0</v>
      </c>
      <c r="L117" s="775">
        <v>0</v>
      </c>
      <c r="M117" s="775">
        <v>0</v>
      </c>
      <c r="N117" s="448">
        <v>0</v>
      </c>
      <c r="O117" s="417">
        <v>0</v>
      </c>
      <c r="P117" s="417">
        <v>0</v>
      </c>
      <c r="Q117" s="420">
        <v>0</v>
      </c>
      <c r="R117" s="417">
        <v>0</v>
      </c>
      <c r="S117" s="420">
        <v>0</v>
      </c>
      <c r="T117" s="423">
        <f t="shared" si="24"/>
        <v>0</v>
      </c>
      <c r="U117" s="795">
        <f>SUM(M117:S117)</f>
        <v>0</v>
      </c>
      <c r="V117" s="795">
        <v>0</v>
      </c>
      <c r="W117" s="795">
        <v>0</v>
      </c>
    </row>
    <row r="118" spans="2:23" s="362" customFormat="1" ht="12.75">
      <c r="B118" s="356"/>
      <c r="C118" s="363"/>
      <c r="D118" s="358"/>
      <c r="E118" s="363"/>
      <c r="F118" s="622" t="s">
        <v>1317</v>
      </c>
      <c r="G118" s="441">
        <v>512</v>
      </c>
      <c r="H118" s="1202" t="s">
        <v>1408</v>
      </c>
      <c r="I118" s="1203"/>
      <c r="J118" s="1204"/>
      <c r="K118" s="958">
        <v>1860000</v>
      </c>
      <c r="L118" s="958">
        <v>0</v>
      </c>
      <c r="M118" s="958">
        <v>0</v>
      </c>
      <c r="N118" s="448">
        <v>0</v>
      </c>
      <c r="O118" s="417">
        <v>0</v>
      </c>
      <c r="P118" s="417">
        <v>0</v>
      </c>
      <c r="Q118" s="420">
        <v>0</v>
      </c>
      <c r="R118" s="417">
        <v>0</v>
      </c>
      <c r="S118" s="420">
        <v>0</v>
      </c>
      <c r="T118" s="423">
        <f t="shared" si="24"/>
        <v>0</v>
      </c>
      <c r="U118" s="795">
        <f>SUM(M118:S118)</f>
        <v>0</v>
      </c>
      <c r="V118" s="795">
        <v>0</v>
      </c>
      <c r="W118" s="795">
        <v>0</v>
      </c>
    </row>
    <row r="119" spans="2:23" ht="12.75" customHeight="1">
      <c r="B119" s="287"/>
      <c r="C119" s="288"/>
      <c r="D119" s="435"/>
      <c r="E119" s="352" t="s">
        <v>1555</v>
      </c>
      <c r="F119" s="435"/>
      <c r="G119" s="436"/>
      <c r="H119" s="1191" t="s">
        <v>1570</v>
      </c>
      <c r="I119" s="1192"/>
      <c r="J119" s="1193"/>
      <c r="K119" s="973">
        <f>K120</f>
        <v>4650000</v>
      </c>
      <c r="L119" s="973">
        <f>L120</f>
        <v>0</v>
      </c>
      <c r="M119" s="973">
        <f>M120</f>
        <v>1750000</v>
      </c>
      <c r="N119" s="293">
        <f aca="true" t="shared" si="31" ref="N119:S119">N120</f>
        <v>0</v>
      </c>
      <c r="O119" s="293">
        <f t="shared" si="31"/>
        <v>0</v>
      </c>
      <c r="P119" s="293">
        <f t="shared" si="31"/>
        <v>0</v>
      </c>
      <c r="Q119" s="293">
        <f t="shared" si="31"/>
        <v>1748375.1</v>
      </c>
      <c r="R119" s="293">
        <f t="shared" si="31"/>
        <v>0</v>
      </c>
      <c r="S119" s="340">
        <f t="shared" si="31"/>
        <v>0</v>
      </c>
      <c r="T119" s="857">
        <f t="shared" si="24"/>
        <v>1748375.1</v>
      </c>
      <c r="U119" s="674">
        <f aca="true" t="shared" si="32" ref="U119:U130">SUM(M119:S119)</f>
        <v>3498375.1</v>
      </c>
      <c r="V119" s="674">
        <v>3498375.1</v>
      </c>
      <c r="W119" s="674">
        <v>3498375.1</v>
      </c>
    </row>
    <row r="120" spans="2:23" s="42" customFormat="1" ht="12.75">
      <c r="B120" s="333"/>
      <c r="C120" s="334"/>
      <c r="D120" s="337">
        <v>451</v>
      </c>
      <c r="E120" s="334"/>
      <c r="F120" s="337"/>
      <c r="G120" s="1141"/>
      <c r="H120" s="1245" t="s">
        <v>390</v>
      </c>
      <c r="I120" s="1246"/>
      <c r="J120" s="1246"/>
      <c r="K120" s="1130">
        <f>SUM(K121:K123)</f>
        <v>4650000</v>
      </c>
      <c r="L120" s="1130">
        <f>SUM(L121:L123)</f>
        <v>0</v>
      </c>
      <c r="M120" s="1130">
        <f>SUM(M121:M123)</f>
        <v>1750000</v>
      </c>
      <c r="N120" s="335">
        <f aca="true" t="shared" si="33" ref="N120:S120">SUM(N121:N123)</f>
        <v>0</v>
      </c>
      <c r="O120" s="335">
        <f t="shared" si="33"/>
        <v>0</v>
      </c>
      <c r="P120" s="335">
        <f t="shared" si="33"/>
        <v>0</v>
      </c>
      <c r="Q120" s="335">
        <f t="shared" si="33"/>
        <v>1748375.1</v>
      </c>
      <c r="R120" s="335">
        <f t="shared" si="33"/>
        <v>0</v>
      </c>
      <c r="S120" s="346">
        <f t="shared" si="33"/>
        <v>0</v>
      </c>
      <c r="T120" s="860">
        <f t="shared" si="24"/>
        <v>1748375.1</v>
      </c>
      <c r="U120" s="381">
        <f t="shared" si="32"/>
        <v>3498375.1</v>
      </c>
      <c r="V120" s="381">
        <v>3498375.1</v>
      </c>
      <c r="W120" s="381">
        <v>3498375.1</v>
      </c>
    </row>
    <row r="121" spans="2:23" s="362" customFormat="1" ht="12.75" customHeight="1">
      <c r="B121" s="367"/>
      <c r="C121" s="368"/>
      <c r="D121" s="369"/>
      <c r="E121" s="648"/>
      <c r="F121" s="357" t="s">
        <v>1318</v>
      </c>
      <c r="G121" s="661">
        <v>463</v>
      </c>
      <c r="H121" s="1348" t="s">
        <v>1410</v>
      </c>
      <c r="I121" s="1349"/>
      <c r="J121" s="1349"/>
      <c r="K121" s="1131">
        <v>150000</v>
      </c>
      <c r="L121" s="1131">
        <v>0</v>
      </c>
      <c r="M121" s="1131">
        <v>150000</v>
      </c>
      <c r="N121" s="411">
        <v>0</v>
      </c>
      <c r="O121" s="552">
        <v>0</v>
      </c>
      <c r="P121" s="552">
        <v>0</v>
      </c>
      <c r="Q121" s="552">
        <v>0</v>
      </c>
      <c r="R121" s="635">
        <v>0</v>
      </c>
      <c r="S121" s="681">
        <v>0</v>
      </c>
      <c r="T121" s="861">
        <f t="shared" si="24"/>
        <v>0</v>
      </c>
      <c r="U121" s="382">
        <f t="shared" si="32"/>
        <v>150000</v>
      </c>
      <c r="V121" s="382">
        <v>150000</v>
      </c>
      <c r="W121" s="382">
        <v>150000</v>
      </c>
    </row>
    <row r="122" spans="2:23" s="362" customFormat="1" ht="12.75" customHeight="1">
      <c r="B122" s="367"/>
      <c r="C122" s="368"/>
      <c r="D122" s="369"/>
      <c r="E122" s="363"/>
      <c r="F122" s="791" t="s">
        <v>1377</v>
      </c>
      <c r="G122" s="358">
        <v>511</v>
      </c>
      <c r="H122" s="1353" t="s">
        <v>1457</v>
      </c>
      <c r="I122" s="1353"/>
      <c r="J122" s="1354"/>
      <c r="K122" s="1131">
        <v>2250000</v>
      </c>
      <c r="L122" s="1131">
        <v>0</v>
      </c>
      <c r="M122" s="1131">
        <v>800000</v>
      </c>
      <c r="N122" s="411">
        <v>0</v>
      </c>
      <c r="O122" s="651">
        <v>0</v>
      </c>
      <c r="P122" s="651">
        <v>0</v>
      </c>
      <c r="Q122" s="651">
        <v>1748375.1</v>
      </c>
      <c r="R122" s="614">
        <v>0</v>
      </c>
      <c r="S122" s="679">
        <v>0</v>
      </c>
      <c r="T122" s="861">
        <f t="shared" si="24"/>
        <v>1748375.1</v>
      </c>
      <c r="U122" s="382">
        <f t="shared" si="32"/>
        <v>2548375.1</v>
      </c>
      <c r="V122" s="382">
        <v>2548375.1</v>
      </c>
      <c r="W122" s="382">
        <v>2548375.1</v>
      </c>
    </row>
    <row r="123" spans="2:23" s="362" customFormat="1" ht="12.75" customHeight="1">
      <c r="B123" s="367"/>
      <c r="C123" s="368"/>
      <c r="D123" s="369"/>
      <c r="E123" s="622"/>
      <c r="F123" s="792" t="s">
        <v>1319</v>
      </c>
      <c r="G123" s="662">
        <v>512</v>
      </c>
      <c r="H123" s="1355" t="s">
        <v>83</v>
      </c>
      <c r="I123" s="1356"/>
      <c r="J123" s="1356"/>
      <c r="K123" s="1131">
        <v>2250000</v>
      </c>
      <c r="L123" s="1131">
        <v>0</v>
      </c>
      <c r="M123" s="1131">
        <v>800000</v>
      </c>
      <c r="N123" s="411">
        <v>0</v>
      </c>
      <c r="O123" s="649">
        <v>0</v>
      </c>
      <c r="P123" s="649">
        <v>0</v>
      </c>
      <c r="Q123" s="649">
        <v>0</v>
      </c>
      <c r="R123" s="650">
        <v>0</v>
      </c>
      <c r="S123" s="680">
        <v>0</v>
      </c>
      <c r="T123" s="861">
        <f t="shared" si="24"/>
        <v>0</v>
      </c>
      <c r="U123" s="382">
        <f t="shared" si="32"/>
        <v>800000</v>
      </c>
      <c r="V123" s="382">
        <v>800000</v>
      </c>
      <c r="W123" s="382">
        <v>800000</v>
      </c>
    </row>
    <row r="124" spans="2:23" s="362" customFormat="1" ht="12.75">
      <c r="B124" s="287"/>
      <c r="C124" s="288"/>
      <c r="D124" s="435"/>
      <c r="E124" s="352" t="s">
        <v>1221</v>
      </c>
      <c r="F124" s="352"/>
      <c r="G124" s="619"/>
      <c r="H124" s="1191" t="s">
        <v>1277</v>
      </c>
      <c r="I124" s="1192"/>
      <c r="J124" s="1193"/>
      <c r="K124" s="960">
        <f aca="true" t="shared" si="34" ref="K124:S124">K125</f>
        <v>3600000</v>
      </c>
      <c r="L124" s="960">
        <f t="shared" si="34"/>
        <v>1613413.14</v>
      </c>
      <c r="M124" s="960">
        <f t="shared" si="34"/>
        <v>3900000</v>
      </c>
      <c r="N124" s="293">
        <f t="shared" si="34"/>
        <v>0</v>
      </c>
      <c r="O124" s="293">
        <f t="shared" si="34"/>
        <v>0</v>
      </c>
      <c r="P124" s="293">
        <f t="shared" si="34"/>
        <v>4167500</v>
      </c>
      <c r="Q124" s="293">
        <f t="shared" si="34"/>
        <v>1500000</v>
      </c>
      <c r="R124" s="293">
        <f t="shared" si="34"/>
        <v>0</v>
      </c>
      <c r="S124" s="293">
        <f t="shared" si="34"/>
        <v>0</v>
      </c>
      <c r="T124" s="340">
        <f t="shared" si="24"/>
        <v>5667500</v>
      </c>
      <c r="U124" s="674">
        <f t="shared" si="32"/>
        <v>9567500</v>
      </c>
      <c r="V124" s="674">
        <v>9567500</v>
      </c>
      <c r="W124" s="674">
        <v>9567500</v>
      </c>
    </row>
    <row r="125" spans="2:23" s="362" customFormat="1" ht="12.75">
      <c r="B125" s="356"/>
      <c r="C125" s="363"/>
      <c r="D125" s="56">
        <v>220</v>
      </c>
      <c r="E125" s="182"/>
      <c r="F125" s="363"/>
      <c r="G125" s="359"/>
      <c r="H125" s="1185" t="s">
        <v>1268</v>
      </c>
      <c r="I125" s="1186"/>
      <c r="J125" s="1187"/>
      <c r="K125" s="183">
        <f>SUM(K126:K130)</f>
        <v>3600000</v>
      </c>
      <c r="L125" s="183">
        <f>SUM(L126:L130)</f>
        <v>1613413.14</v>
      </c>
      <c r="M125" s="183">
        <f>SUM(M126:M130)</f>
        <v>3900000</v>
      </c>
      <c r="N125" s="183">
        <f aca="true" t="shared" si="35" ref="N125:S125">SUM(N126:N130)</f>
        <v>0</v>
      </c>
      <c r="O125" s="183">
        <f t="shared" si="35"/>
        <v>0</v>
      </c>
      <c r="P125" s="183">
        <f t="shared" si="35"/>
        <v>4167500</v>
      </c>
      <c r="Q125" s="183">
        <f t="shared" si="35"/>
        <v>1500000</v>
      </c>
      <c r="R125" s="183">
        <f t="shared" si="35"/>
        <v>0</v>
      </c>
      <c r="S125" s="183">
        <f t="shared" si="35"/>
        <v>0</v>
      </c>
      <c r="T125" s="341">
        <f t="shared" si="24"/>
        <v>5667500</v>
      </c>
      <c r="U125" s="381">
        <f t="shared" si="32"/>
        <v>9567500</v>
      </c>
      <c r="V125" s="381">
        <v>9567500</v>
      </c>
      <c r="W125" s="381">
        <v>9567500</v>
      </c>
    </row>
    <row r="126" spans="2:23" s="524" customFormat="1" ht="12.75">
      <c r="B126" s="525"/>
      <c r="C126" s="459"/>
      <c r="D126" s="526"/>
      <c r="E126" s="459"/>
      <c r="F126" s="688" t="s">
        <v>1302</v>
      </c>
      <c r="G126" s="544">
        <v>423</v>
      </c>
      <c r="H126" s="1283" t="s">
        <v>1411</v>
      </c>
      <c r="I126" s="1284"/>
      <c r="J126" s="1285"/>
      <c r="K126" s="969">
        <v>100000</v>
      </c>
      <c r="L126" s="969">
        <v>39760</v>
      </c>
      <c r="M126" s="969">
        <v>100000</v>
      </c>
      <c r="N126" s="448">
        <v>0</v>
      </c>
      <c r="O126" s="527">
        <v>0</v>
      </c>
      <c r="P126" s="527">
        <v>0</v>
      </c>
      <c r="Q126" s="422">
        <v>0</v>
      </c>
      <c r="R126" s="420">
        <v>0</v>
      </c>
      <c r="S126" s="422">
        <v>0</v>
      </c>
      <c r="T126" s="422">
        <f t="shared" si="24"/>
        <v>0</v>
      </c>
      <c r="U126" s="882">
        <f t="shared" si="32"/>
        <v>100000</v>
      </c>
      <c r="V126" s="882">
        <v>100000</v>
      </c>
      <c r="W126" s="882">
        <v>100000</v>
      </c>
    </row>
    <row r="127" spans="2:23" s="362" customFormat="1" ht="12.75">
      <c r="B127" s="375"/>
      <c r="C127" s="368"/>
      <c r="D127" s="369"/>
      <c r="E127" s="368"/>
      <c r="F127" s="689" t="s">
        <v>21</v>
      </c>
      <c r="G127" s="491">
        <v>424</v>
      </c>
      <c r="H127" s="1357" t="s">
        <v>1412</v>
      </c>
      <c r="I127" s="1357"/>
      <c r="J127" s="1358"/>
      <c r="K127" s="971">
        <v>3000000</v>
      </c>
      <c r="L127" s="971">
        <v>1342443.14</v>
      </c>
      <c r="M127" s="971">
        <v>2500000</v>
      </c>
      <c r="N127" s="448">
        <v>0</v>
      </c>
      <c r="O127" s="448">
        <v>0</v>
      </c>
      <c r="P127" s="448">
        <v>0</v>
      </c>
      <c r="Q127" s="421">
        <v>0</v>
      </c>
      <c r="R127" s="420">
        <v>0</v>
      </c>
      <c r="S127" s="421">
        <v>0</v>
      </c>
      <c r="T127" s="421">
        <f t="shared" si="24"/>
        <v>0</v>
      </c>
      <c r="U127" s="628">
        <f t="shared" si="32"/>
        <v>2500000</v>
      </c>
      <c r="V127" s="628">
        <v>2500000</v>
      </c>
      <c r="W127" s="628">
        <v>2500000</v>
      </c>
    </row>
    <row r="128" spans="2:23" s="362" customFormat="1" ht="12.75">
      <c r="B128" s="375"/>
      <c r="C128" s="368"/>
      <c r="D128" s="369"/>
      <c r="E128" s="368"/>
      <c r="F128" s="1132" t="s">
        <v>1566</v>
      </c>
      <c r="G128" s="491">
        <v>472</v>
      </c>
      <c r="H128" s="1126" t="s">
        <v>1565</v>
      </c>
      <c r="I128" s="1127"/>
      <c r="J128" s="1127"/>
      <c r="K128" s="971">
        <v>0</v>
      </c>
      <c r="L128" s="971">
        <v>0</v>
      </c>
      <c r="M128" s="971">
        <v>500000</v>
      </c>
      <c r="N128" s="448">
        <v>0</v>
      </c>
      <c r="O128" s="411">
        <v>0</v>
      </c>
      <c r="P128" s="411">
        <v>4167500</v>
      </c>
      <c r="Q128" s="429">
        <v>1500000</v>
      </c>
      <c r="R128" s="429">
        <v>0</v>
      </c>
      <c r="S128" s="429">
        <v>0</v>
      </c>
      <c r="T128" s="421">
        <f t="shared" si="24"/>
        <v>5667500</v>
      </c>
      <c r="U128" s="628">
        <f t="shared" si="32"/>
        <v>6167500</v>
      </c>
      <c r="V128" s="628">
        <v>6167500</v>
      </c>
      <c r="W128" s="628">
        <v>6167500</v>
      </c>
    </row>
    <row r="129" spans="2:23" s="362" customFormat="1" ht="12.75">
      <c r="B129" s="375"/>
      <c r="C129" s="368"/>
      <c r="D129" s="369"/>
      <c r="E129" s="368"/>
      <c r="F129" s="1132" t="s">
        <v>1567</v>
      </c>
      <c r="G129" s="491">
        <v>426</v>
      </c>
      <c r="H129" s="843" t="s">
        <v>38</v>
      </c>
      <c r="I129" s="1146"/>
      <c r="J129" s="1146"/>
      <c r="K129" s="971">
        <v>0</v>
      </c>
      <c r="L129" s="971">
        <v>0</v>
      </c>
      <c r="M129" s="971">
        <v>300000</v>
      </c>
      <c r="N129" s="448">
        <v>0</v>
      </c>
      <c r="O129" s="411">
        <v>0</v>
      </c>
      <c r="P129" s="411">
        <v>0</v>
      </c>
      <c r="Q129" s="429">
        <v>0</v>
      </c>
      <c r="R129" s="429">
        <v>0</v>
      </c>
      <c r="S129" s="429">
        <v>0</v>
      </c>
      <c r="T129" s="421">
        <f t="shared" si="24"/>
        <v>0</v>
      </c>
      <c r="U129" s="628">
        <f t="shared" si="32"/>
        <v>300000</v>
      </c>
      <c r="V129" s="628">
        <v>300000</v>
      </c>
      <c r="W129" s="628">
        <v>300000</v>
      </c>
    </row>
    <row r="130" spans="2:23" s="362" customFormat="1" ht="12.75">
      <c r="B130" s="375"/>
      <c r="C130" s="368"/>
      <c r="D130" s="369"/>
      <c r="E130" s="368"/>
      <c r="F130" s="363" t="s">
        <v>1207</v>
      </c>
      <c r="G130" s="491">
        <v>512</v>
      </c>
      <c r="H130" s="1294" t="s">
        <v>1193</v>
      </c>
      <c r="I130" s="1294"/>
      <c r="J130" s="1295"/>
      <c r="K130" s="971">
        <v>500000</v>
      </c>
      <c r="L130" s="971">
        <v>231210</v>
      </c>
      <c r="M130" s="971">
        <v>500000</v>
      </c>
      <c r="N130" s="448">
        <v>0</v>
      </c>
      <c r="O130" s="411">
        <v>0</v>
      </c>
      <c r="P130" s="411">
        <v>0</v>
      </c>
      <c r="Q130" s="429">
        <v>0</v>
      </c>
      <c r="R130" s="429">
        <v>0</v>
      </c>
      <c r="S130" s="429">
        <v>0</v>
      </c>
      <c r="T130" s="429">
        <f t="shared" si="24"/>
        <v>0</v>
      </c>
      <c r="U130" s="628">
        <f t="shared" si="32"/>
        <v>500000</v>
      </c>
      <c r="V130" s="628">
        <v>500000</v>
      </c>
      <c r="W130" s="628">
        <v>500000</v>
      </c>
    </row>
    <row r="131" spans="2:23" s="42" customFormat="1" ht="12.75">
      <c r="B131" s="287"/>
      <c r="C131" s="288"/>
      <c r="D131" s="435"/>
      <c r="E131" s="352" t="s">
        <v>293</v>
      </c>
      <c r="F131" s="352"/>
      <c r="G131" s="436"/>
      <c r="H131" s="1350" t="s">
        <v>1220</v>
      </c>
      <c r="I131" s="1351"/>
      <c r="J131" s="1352"/>
      <c r="K131" s="1167">
        <f aca="true" t="shared" si="36" ref="K131:S132">K132</f>
        <v>300000</v>
      </c>
      <c r="L131" s="1167">
        <f t="shared" si="36"/>
        <v>0</v>
      </c>
      <c r="M131" s="1096">
        <f t="shared" si="36"/>
        <v>500000</v>
      </c>
      <c r="N131" s="289">
        <f t="shared" si="36"/>
        <v>0</v>
      </c>
      <c r="O131" s="289">
        <f t="shared" si="36"/>
        <v>0</v>
      </c>
      <c r="P131" s="289">
        <f t="shared" si="36"/>
        <v>0</v>
      </c>
      <c r="Q131" s="289">
        <f t="shared" si="36"/>
        <v>0</v>
      </c>
      <c r="R131" s="289">
        <f t="shared" si="36"/>
        <v>0</v>
      </c>
      <c r="S131" s="289">
        <f t="shared" si="36"/>
        <v>0</v>
      </c>
      <c r="T131" s="339">
        <f t="shared" si="24"/>
        <v>0</v>
      </c>
      <c r="U131" s="674">
        <f aca="true" t="shared" si="37" ref="U131:U136">SUM(M131:S131)</f>
        <v>500000</v>
      </c>
      <c r="V131" s="674">
        <v>500000</v>
      </c>
      <c r="W131" s="674">
        <v>500000</v>
      </c>
    </row>
    <row r="132" spans="2:23" s="42" customFormat="1" ht="12.75">
      <c r="B132" s="356"/>
      <c r="C132" s="363"/>
      <c r="D132" s="56">
        <v>130</v>
      </c>
      <c r="E132" s="182"/>
      <c r="F132" s="363"/>
      <c r="G132" s="359"/>
      <c r="H132" s="1185" t="s">
        <v>90</v>
      </c>
      <c r="I132" s="1186"/>
      <c r="J132" s="1186"/>
      <c r="K132" s="877">
        <f t="shared" si="36"/>
        <v>300000</v>
      </c>
      <c r="L132" s="877">
        <f t="shared" si="36"/>
        <v>0</v>
      </c>
      <c r="M132" s="798">
        <f t="shared" si="36"/>
        <v>500000</v>
      </c>
      <c r="N132" s="590">
        <f t="shared" si="36"/>
        <v>0</v>
      </c>
      <c r="O132" s="66">
        <f t="shared" si="36"/>
        <v>0</v>
      </c>
      <c r="P132" s="66">
        <f t="shared" si="36"/>
        <v>0</v>
      </c>
      <c r="Q132" s="66">
        <f t="shared" si="36"/>
        <v>0</v>
      </c>
      <c r="R132" s="66">
        <f t="shared" si="36"/>
        <v>0</v>
      </c>
      <c r="S132" s="66">
        <f t="shared" si="36"/>
        <v>0</v>
      </c>
      <c r="T132" s="345">
        <f t="shared" si="24"/>
        <v>0</v>
      </c>
      <c r="U132" s="381">
        <f t="shared" si="37"/>
        <v>500000</v>
      </c>
      <c r="V132" s="381">
        <v>500000</v>
      </c>
      <c r="W132" s="381">
        <v>500000</v>
      </c>
    </row>
    <row r="133" spans="2:23" s="42" customFormat="1" ht="12.75">
      <c r="B133" s="356"/>
      <c r="C133" s="363"/>
      <c r="D133" s="358"/>
      <c r="E133" s="622"/>
      <c r="F133" s="363" t="s">
        <v>1208</v>
      </c>
      <c r="G133" s="624">
        <v>499</v>
      </c>
      <c r="H133" s="1240" t="s">
        <v>84</v>
      </c>
      <c r="I133" s="1224"/>
      <c r="J133" s="1224"/>
      <c r="K133" s="555">
        <v>300000</v>
      </c>
      <c r="L133" s="555">
        <v>0</v>
      </c>
      <c r="M133" s="975">
        <v>500000</v>
      </c>
      <c r="N133" s="464">
        <v>0</v>
      </c>
      <c r="O133" s="410">
        <v>0</v>
      </c>
      <c r="P133" s="417">
        <v>0</v>
      </c>
      <c r="Q133" s="420">
        <v>0</v>
      </c>
      <c r="R133" s="420">
        <v>0</v>
      </c>
      <c r="S133" s="420">
        <v>0</v>
      </c>
      <c r="T133" s="420">
        <f t="shared" si="24"/>
        <v>0</v>
      </c>
      <c r="U133" s="628">
        <f t="shared" si="37"/>
        <v>500000</v>
      </c>
      <c r="V133" s="628">
        <v>500000</v>
      </c>
      <c r="W133" s="628">
        <v>500000</v>
      </c>
    </row>
    <row r="134" spans="2:23" s="42" customFormat="1" ht="12.75">
      <c r="B134" s="615"/>
      <c r="C134" s="616"/>
      <c r="D134" s="617"/>
      <c r="E134" s="352" t="s">
        <v>870</v>
      </c>
      <c r="F134" s="352"/>
      <c r="G134" s="619"/>
      <c r="H134" s="1350" t="s">
        <v>1219</v>
      </c>
      <c r="I134" s="1359"/>
      <c r="J134" s="1359"/>
      <c r="K134" s="1168">
        <f>K136</f>
        <v>400000</v>
      </c>
      <c r="L134" s="1168">
        <f>L136</f>
        <v>0</v>
      </c>
      <c r="M134" s="976">
        <f>M136</f>
        <v>500000</v>
      </c>
      <c r="N134" s="638">
        <f aca="true" t="shared" si="38" ref="N134:S134">N136</f>
        <v>0</v>
      </c>
      <c r="O134" s="620">
        <f t="shared" si="38"/>
        <v>0</v>
      </c>
      <c r="P134" s="620">
        <f t="shared" si="38"/>
        <v>0</v>
      </c>
      <c r="Q134" s="620">
        <f t="shared" si="38"/>
        <v>0</v>
      </c>
      <c r="R134" s="620">
        <f t="shared" si="38"/>
        <v>0</v>
      </c>
      <c r="S134" s="620">
        <f t="shared" si="38"/>
        <v>0</v>
      </c>
      <c r="T134" s="621">
        <f t="shared" si="24"/>
        <v>0</v>
      </c>
      <c r="U134" s="883">
        <f t="shared" si="37"/>
        <v>500000</v>
      </c>
      <c r="V134" s="883">
        <v>500000</v>
      </c>
      <c r="W134" s="883">
        <v>500000</v>
      </c>
    </row>
    <row r="135" spans="2:23" s="42" customFormat="1" ht="12.75">
      <c r="B135" s="356"/>
      <c r="C135" s="363"/>
      <c r="D135" s="56">
        <v>130</v>
      </c>
      <c r="E135" s="182"/>
      <c r="F135" s="363"/>
      <c r="G135" s="359"/>
      <c r="H135" s="1185" t="s">
        <v>90</v>
      </c>
      <c r="I135" s="1186"/>
      <c r="J135" s="1186"/>
      <c r="K135" s="877">
        <f>K136</f>
        <v>400000</v>
      </c>
      <c r="L135" s="877">
        <f>L136</f>
        <v>0</v>
      </c>
      <c r="M135" s="780">
        <f>M136</f>
        <v>500000</v>
      </c>
      <c r="N135" s="764">
        <f aca="true" t="shared" si="39" ref="N135:S135">N136</f>
        <v>0</v>
      </c>
      <c r="O135" s="66">
        <f t="shared" si="39"/>
        <v>0</v>
      </c>
      <c r="P135" s="66">
        <f t="shared" si="39"/>
        <v>0</v>
      </c>
      <c r="Q135" s="66">
        <f t="shared" si="39"/>
        <v>0</v>
      </c>
      <c r="R135" s="66">
        <f t="shared" si="39"/>
        <v>0</v>
      </c>
      <c r="S135" s="66">
        <f t="shared" si="39"/>
        <v>0</v>
      </c>
      <c r="T135" s="345">
        <f t="shared" si="24"/>
        <v>0</v>
      </c>
      <c r="U135" s="381">
        <f t="shared" si="37"/>
        <v>500000</v>
      </c>
      <c r="V135" s="381">
        <v>500000</v>
      </c>
      <c r="W135" s="381">
        <v>500000</v>
      </c>
    </row>
    <row r="136" spans="2:23" s="362" customFormat="1" ht="12.75">
      <c r="B136" s="356"/>
      <c r="C136" s="363"/>
      <c r="D136" s="359"/>
      <c r="E136" s="494"/>
      <c r="F136" s="363" t="s">
        <v>1303</v>
      </c>
      <c r="G136" s="491">
        <v>499</v>
      </c>
      <c r="H136" s="1216" t="s">
        <v>85</v>
      </c>
      <c r="I136" s="1217"/>
      <c r="J136" s="1217"/>
      <c r="K136" s="555">
        <v>400000</v>
      </c>
      <c r="L136" s="555">
        <v>0</v>
      </c>
      <c r="M136" s="968">
        <v>500000</v>
      </c>
      <c r="N136" s="448">
        <v>0</v>
      </c>
      <c r="O136" s="417">
        <v>0</v>
      </c>
      <c r="P136" s="417">
        <v>0</v>
      </c>
      <c r="Q136" s="420">
        <v>0</v>
      </c>
      <c r="R136" s="420">
        <v>0</v>
      </c>
      <c r="S136" s="420">
        <v>0</v>
      </c>
      <c r="T136" s="420">
        <f t="shared" si="24"/>
        <v>0</v>
      </c>
      <c r="U136" s="628">
        <f t="shared" si="37"/>
        <v>500000</v>
      </c>
      <c r="V136" s="628">
        <v>500000</v>
      </c>
      <c r="W136" s="628">
        <v>500000</v>
      </c>
    </row>
    <row r="137" spans="2:23" ht="12.75">
      <c r="B137" s="287"/>
      <c r="C137" s="288"/>
      <c r="D137" s="435"/>
      <c r="E137" s="630" t="s">
        <v>300</v>
      </c>
      <c r="F137" s="435"/>
      <c r="G137" s="436"/>
      <c r="H137" s="1301" t="s">
        <v>1237</v>
      </c>
      <c r="I137" s="1302"/>
      <c r="J137" s="1303"/>
      <c r="K137" s="977">
        <f>K138+K143</f>
        <v>16550000</v>
      </c>
      <c r="L137" s="977">
        <f>L138+L143</f>
        <v>11430364.93</v>
      </c>
      <c r="M137" s="977">
        <f>M138+M143</f>
        <v>16950000</v>
      </c>
      <c r="N137" s="289">
        <f aca="true" t="shared" si="40" ref="N137:S137">N138+N143</f>
        <v>0</v>
      </c>
      <c r="O137" s="289">
        <f t="shared" si="40"/>
        <v>0</v>
      </c>
      <c r="P137" s="289">
        <f t="shared" si="40"/>
        <v>0</v>
      </c>
      <c r="Q137" s="289">
        <f t="shared" si="40"/>
        <v>0</v>
      </c>
      <c r="R137" s="289">
        <f t="shared" si="40"/>
        <v>0</v>
      </c>
      <c r="S137" s="289">
        <f t="shared" si="40"/>
        <v>0</v>
      </c>
      <c r="T137" s="339">
        <f t="shared" si="24"/>
        <v>0</v>
      </c>
      <c r="U137" s="674">
        <f aca="true" t="shared" si="41" ref="U137:U153">SUM(M137:S137)</f>
        <v>16950000</v>
      </c>
      <c r="V137" s="674">
        <v>16950000</v>
      </c>
      <c r="W137" s="674">
        <v>16950000</v>
      </c>
    </row>
    <row r="138" spans="2:23" ht="14.25" customHeight="1">
      <c r="B138" s="287"/>
      <c r="C138" s="288"/>
      <c r="D138" s="435"/>
      <c r="E138" s="352" t="s">
        <v>316</v>
      </c>
      <c r="F138" s="435"/>
      <c r="G138" s="436"/>
      <c r="H138" s="1194" t="s">
        <v>1301</v>
      </c>
      <c r="I138" s="1296"/>
      <c r="J138" s="1297"/>
      <c r="K138" s="957">
        <f aca="true" t="shared" si="42" ref="K138:S138">K139</f>
        <v>12350000</v>
      </c>
      <c r="L138" s="957">
        <f t="shared" si="42"/>
        <v>8497031.629999999</v>
      </c>
      <c r="M138" s="957">
        <f t="shared" si="42"/>
        <v>12550000</v>
      </c>
      <c r="N138" s="293">
        <f t="shared" si="42"/>
        <v>0</v>
      </c>
      <c r="O138" s="293">
        <f t="shared" si="42"/>
        <v>0</v>
      </c>
      <c r="P138" s="293">
        <f t="shared" si="42"/>
        <v>0</v>
      </c>
      <c r="Q138" s="293">
        <f t="shared" si="42"/>
        <v>0</v>
      </c>
      <c r="R138" s="293">
        <f t="shared" si="42"/>
        <v>0</v>
      </c>
      <c r="S138" s="340">
        <f t="shared" si="42"/>
        <v>0</v>
      </c>
      <c r="T138" s="340">
        <f t="shared" si="24"/>
        <v>0</v>
      </c>
      <c r="U138" s="674">
        <f t="shared" si="41"/>
        <v>12550000</v>
      </c>
      <c r="V138" s="674">
        <v>12550000</v>
      </c>
      <c r="W138" s="674">
        <v>12550000</v>
      </c>
    </row>
    <row r="139" spans="2:23" s="362" customFormat="1" ht="12.75">
      <c r="B139" s="356"/>
      <c r="C139" s="363"/>
      <c r="D139" s="56">
        <v>820</v>
      </c>
      <c r="E139" s="182"/>
      <c r="F139" s="358"/>
      <c r="G139" s="359"/>
      <c r="H139" s="1185" t="s">
        <v>173</v>
      </c>
      <c r="I139" s="1186"/>
      <c r="J139" s="1187"/>
      <c r="K139" s="183">
        <f>SUM(K140:K142)</f>
        <v>12350000</v>
      </c>
      <c r="L139" s="183">
        <f>SUM(L140:L142)</f>
        <v>8497031.629999999</v>
      </c>
      <c r="M139" s="183">
        <f>SUM(M140:M142)</f>
        <v>12550000</v>
      </c>
      <c r="N139" s="66">
        <f aca="true" t="shared" si="43" ref="N139:S139">SUM(N140:N142)</f>
        <v>0</v>
      </c>
      <c r="O139" s="66">
        <f t="shared" si="43"/>
        <v>0</v>
      </c>
      <c r="P139" s="66">
        <f t="shared" si="43"/>
        <v>0</v>
      </c>
      <c r="Q139" s="66">
        <f t="shared" si="43"/>
        <v>0</v>
      </c>
      <c r="R139" s="66">
        <f t="shared" si="43"/>
        <v>0</v>
      </c>
      <c r="S139" s="66">
        <f t="shared" si="43"/>
        <v>0</v>
      </c>
      <c r="T139" s="344">
        <f aca="true" t="shared" si="44" ref="T139:T204">SUM(N139:S139)</f>
        <v>0</v>
      </c>
      <c r="U139" s="381">
        <f t="shared" si="41"/>
        <v>12550000</v>
      </c>
      <c r="V139" s="381">
        <v>12550000</v>
      </c>
      <c r="W139" s="381">
        <v>12550000</v>
      </c>
    </row>
    <row r="140" spans="2:23" s="362" customFormat="1" ht="12.75">
      <c r="B140" s="356"/>
      <c r="C140" s="363"/>
      <c r="D140" s="56"/>
      <c r="E140" s="182"/>
      <c r="F140" s="363" t="s">
        <v>1559</v>
      </c>
      <c r="G140" s="455">
        <v>481</v>
      </c>
      <c r="H140" s="1188" t="s">
        <v>1454</v>
      </c>
      <c r="I140" s="1189"/>
      <c r="J140" s="1190"/>
      <c r="K140" s="775">
        <v>3400000</v>
      </c>
      <c r="L140" s="775">
        <v>2462500</v>
      </c>
      <c r="M140" s="775">
        <v>3400000</v>
      </c>
      <c r="N140" s="448">
        <v>0</v>
      </c>
      <c r="O140" s="457">
        <v>0</v>
      </c>
      <c r="P140" s="457">
        <v>0</v>
      </c>
      <c r="Q140" s="424">
        <v>0</v>
      </c>
      <c r="R140" s="417">
        <v>0</v>
      </c>
      <c r="S140" s="424">
        <v>0</v>
      </c>
      <c r="T140" s="361">
        <f t="shared" si="44"/>
        <v>0</v>
      </c>
      <c r="U140" s="382">
        <f t="shared" si="41"/>
        <v>3400000</v>
      </c>
      <c r="V140" s="382">
        <v>3400000</v>
      </c>
      <c r="W140" s="382">
        <v>3400000</v>
      </c>
    </row>
    <row r="141" spans="2:23" s="362" customFormat="1" ht="12.75">
      <c r="B141" s="356"/>
      <c r="C141" s="363"/>
      <c r="D141" s="56"/>
      <c r="E141" s="182"/>
      <c r="F141" s="623">
        <v>95</v>
      </c>
      <c r="G141" s="455">
        <v>481</v>
      </c>
      <c r="H141" s="1283" t="s">
        <v>1484</v>
      </c>
      <c r="I141" s="1284"/>
      <c r="J141" s="1285"/>
      <c r="K141" s="969">
        <v>6650000</v>
      </c>
      <c r="L141" s="969">
        <v>6034531.63</v>
      </c>
      <c r="M141" s="969">
        <v>6650000</v>
      </c>
      <c r="N141" s="448">
        <v>0</v>
      </c>
      <c r="O141" s="457">
        <v>0</v>
      </c>
      <c r="P141" s="457">
        <v>0</v>
      </c>
      <c r="Q141" s="424">
        <v>0</v>
      </c>
      <c r="R141" s="417">
        <v>0</v>
      </c>
      <c r="S141" s="424">
        <v>0</v>
      </c>
      <c r="T141" s="361">
        <f t="shared" si="44"/>
        <v>0</v>
      </c>
      <c r="U141" s="382">
        <f t="shared" si="41"/>
        <v>6650000</v>
      </c>
      <c r="V141" s="382">
        <v>6650000</v>
      </c>
      <c r="W141" s="382">
        <v>6650000</v>
      </c>
    </row>
    <row r="142" spans="2:23" s="362" customFormat="1" ht="12.75">
      <c r="B142" s="356"/>
      <c r="C142" s="363"/>
      <c r="D142" s="358"/>
      <c r="E142" s="363"/>
      <c r="F142" s="827">
        <v>96</v>
      </c>
      <c r="G142" s="441">
        <v>481</v>
      </c>
      <c r="H142" s="1188" t="s">
        <v>1453</v>
      </c>
      <c r="I142" s="1189"/>
      <c r="J142" s="1190"/>
      <c r="K142" s="775">
        <v>2300000</v>
      </c>
      <c r="L142" s="775">
        <v>-4.656612873077393E-10</v>
      </c>
      <c r="M142" s="775">
        <v>2500000</v>
      </c>
      <c r="N142" s="448">
        <v>0</v>
      </c>
      <c r="O142" s="417">
        <v>0</v>
      </c>
      <c r="P142" s="417">
        <v>0</v>
      </c>
      <c r="Q142" s="420">
        <v>0</v>
      </c>
      <c r="R142" s="417">
        <v>0</v>
      </c>
      <c r="S142" s="420">
        <v>0</v>
      </c>
      <c r="T142" s="423">
        <f t="shared" si="44"/>
        <v>0</v>
      </c>
      <c r="U142" s="628">
        <f t="shared" si="41"/>
        <v>2500000</v>
      </c>
      <c r="V142" s="628">
        <v>2500000</v>
      </c>
      <c r="W142" s="628">
        <v>2500000</v>
      </c>
    </row>
    <row r="143" spans="2:23" ht="30" customHeight="1">
      <c r="B143" s="287"/>
      <c r="C143" s="288"/>
      <c r="D143" s="618"/>
      <c r="E143" s="352" t="s">
        <v>1235</v>
      </c>
      <c r="F143" s="435"/>
      <c r="G143" s="436"/>
      <c r="H143" s="1191" t="s">
        <v>1236</v>
      </c>
      <c r="I143" s="1192"/>
      <c r="J143" s="1193"/>
      <c r="K143" s="960">
        <f>K145</f>
        <v>4200000</v>
      </c>
      <c r="L143" s="960">
        <f>L145</f>
        <v>2933333.3000000007</v>
      </c>
      <c r="M143" s="960">
        <f>M145</f>
        <v>4400000</v>
      </c>
      <c r="N143" s="293">
        <f aca="true" t="shared" si="45" ref="N143:S143">N145</f>
        <v>0</v>
      </c>
      <c r="O143" s="293">
        <f t="shared" si="45"/>
        <v>0</v>
      </c>
      <c r="P143" s="293">
        <f t="shared" si="45"/>
        <v>0</v>
      </c>
      <c r="Q143" s="293">
        <f t="shared" si="45"/>
        <v>0</v>
      </c>
      <c r="R143" s="293">
        <f t="shared" si="45"/>
        <v>0</v>
      </c>
      <c r="S143" s="340">
        <f t="shared" si="45"/>
        <v>0</v>
      </c>
      <c r="T143" s="340">
        <f t="shared" si="44"/>
        <v>0</v>
      </c>
      <c r="U143" s="674">
        <f t="shared" si="41"/>
        <v>4400000</v>
      </c>
      <c r="V143" s="674">
        <v>4400000</v>
      </c>
      <c r="W143" s="674">
        <v>4400000</v>
      </c>
    </row>
    <row r="144" spans="2:23" ht="12.75">
      <c r="B144" s="437"/>
      <c r="C144" s="438"/>
      <c r="D144" s="56">
        <v>830</v>
      </c>
      <c r="E144" s="58"/>
      <c r="F144" s="439"/>
      <c r="G144" s="440"/>
      <c r="H144" s="1185" t="s">
        <v>1238</v>
      </c>
      <c r="I144" s="1186"/>
      <c r="J144" s="1187"/>
      <c r="K144" s="183">
        <f aca="true" t="shared" si="46" ref="K144:S144">K145</f>
        <v>4200000</v>
      </c>
      <c r="L144" s="183">
        <f t="shared" si="46"/>
        <v>2933333.3000000007</v>
      </c>
      <c r="M144" s="183">
        <f t="shared" si="46"/>
        <v>4400000</v>
      </c>
      <c r="N144" s="69">
        <f t="shared" si="46"/>
        <v>0</v>
      </c>
      <c r="O144" s="69">
        <f t="shared" si="46"/>
        <v>0</v>
      </c>
      <c r="P144" s="69">
        <f t="shared" si="46"/>
        <v>0</v>
      </c>
      <c r="Q144" s="69">
        <f t="shared" si="46"/>
        <v>0</v>
      </c>
      <c r="R144" s="69">
        <f t="shared" si="46"/>
        <v>0</v>
      </c>
      <c r="S144" s="343">
        <f t="shared" si="46"/>
        <v>0</v>
      </c>
      <c r="T144" s="343">
        <f t="shared" si="44"/>
        <v>0</v>
      </c>
      <c r="U144" s="876">
        <f t="shared" si="41"/>
        <v>4400000</v>
      </c>
      <c r="V144" s="876">
        <v>4400000</v>
      </c>
      <c r="W144" s="876">
        <v>4400000</v>
      </c>
    </row>
    <row r="145" spans="1:250" s="463" customFormat="1" ht="12.75">
      <c r="A145" s="356"/>
      <c r="B145" s="356"/>
      <c r="C145" s="363"/>
      <c r="D145" s="363"/>
      <c r="E145" s="363"/>
      <c r="F145" s="374">
        <v>97</v>
      </c>
      <c r="G145" s="459" t="s">
        <v>311</v>
      </c>
      <c r="H145" s="386" t="s">
        <v>1458</v>
      </c>
      <c r="I145" s="442"/>
      <c r="J145" s="460"/>
      <c r="K145" s="1160">
        <v>4200000</v>
      </c>
      <c r="L145" s="1160">
        <v>2933333.3000000007</v>
      </c>
      <c r="M145" s="1160">
        <v>4400000</v>
      </c>
      <c r="N145" s="448">
        <v>0</v>
      </c>
      <c r="O145" s="417">
        <v>0</v>
      </c>
      <c r="P145" s="417">
        <v>0</v>
      </c>
      <c r="Q145" s="417">
        <v>0</v>
      </c>
      <c r="R145" s="420">
        <v>0</v>
      </c>
      <c r="S145" s="420">
        <v>0</v>
      </c>
      <c r="T145" s="461">
        <f t="shared" si="44"/>
        <v>0</v>
      </c>
      <c r="U145" s="795">
        <f t="shared" si="41"/>
        <v>4400000</v>
      </c>
      <c r="V145" s="795">
        <v>4400000</v>
      </c>
      <c r="W145" s="795">
        <v>4400000</v>
      </c>
      <c r="X145" s="462"/>
      <c r="Y145" s="462"/>
      <c r="Z145" s="462"/>
      <c r="AA145" s="462"/>
      <c r="AB145" s="462"/>
      <c r="AC145" s="462"/>
      <c r="AD145" s="462"/>
      <c r="AE145" s="462"/>
      <c r="AF145" s="462"/>
      <c r="AG145" s="462"/>
      <c r="AH145" s="462"/>
      <c r="AI145" s="462"/>
      <c r="AJ145" s="462"/>
      <c r="AK145" s="462"/>
      <c r="AL145" s="462"/>
      <c r="AM145" s="462"/>
      <c r="AN145" s="462"/>
      <c r="AO145" s="462"/>
      <c r="AP145" s="462"/>
      <c r="AQ145" s="462"/>
      <c r="AR145" s="462"/>
      <c r="AS145" s="462"/>
      <c r="AT145" s="462"/>
      <c r="AU145" s="462"/>
      <c r="AV145" s="462"/>
      <c r="AW145" s="462"/>
      <c r="AX145" s="462"/>
      <c r="AY145" s="462"/>
      <c r="AZ145" s="462"/>
      <c r="BA145" s="462"/>
      <c r="BB145" s="462"/>
      <c r="BC145" s="462"/>
      <c r="BD145" s="462"/>
      <c r="BE145" s="462"/>
      <c r="BF145" s="462"/>
      <c r="BG145" s="462"/>
      <c r="BH145" s="462"/>
      <c r="BI145" s="462"/>
      <c r="BJ145" s="462"/>
      <c r="BK145" s="462"/>
      <c r="BL145" s="462"/>
      <c r="BM145" s="462"/>
      <c r="BN145" s="462"/>
      <c r="BO145" s="462"/>
      <c r="BP145" s="462"/>
      <c r="BQ145" s="462"/>
      <c r="BR145" s="462"/>
      <c r="BS145" s="462"/>
      <c r="BT145" s="462"/>
      <c r="BU145" s="462"/>
      <c r="BV145" s="462"/>
      <c r="BW145" s="462"/>
      <c r="BX145" s="462"/>
      <c r="BY145" s="462"/>
      <c r="BZ145" s="462"/>
      <c r="CA145" s="462"/>
      <c r="CB145" s="462"/>
      <c r="CC145" s="462"/>
      <c r="CD145" s="462"/>
      <c r="CE145" s="462"/>
      <c r="CF145" s="462"/>
      <c r="CG145" s="462"/>
      <c r="CH145" s="462"/>
      <c r="CI145" s="462"/>
      <c r="CJ145" s="462"/>
      <c r="CK145" s="462"/>
      <c r="CL145" s="462"/>
      <c r="CM145" s="462"/>
      <c r="CN145" s="462"/>
      <c r="CO145" s="462"/>
      <c r="CP145" s="462"/>
      <c r="CQ145" s="462"/>
      <c r="CR145" s="462"/>
      <c r="CS145" s="462"/>
      <c r="CT145" s="462"/>
      <c r="CU145" s="462"/>
      <c r="CV145" s="462"/>
      <c r="CW145" s="462"/>
      <c r="CX145" s="462"/>
      <c r="CY145" s="462"/>
      <c r="CZ145" s="462"/>
      <c r="DA145" s="462"/>
      <c r="DB145" s="462"/>
      <c r="DC145" s="462"/>
      <c r="DD145" s="462"/>
      <c r="DE145" s="462"/>
      <c r="DF145" s="462"/>
      <c r="DG145" s="462"/>
      <c r="DH145" s="462"/>
      <c r="DI145" s="462"/>
      <c r="DJ145" s="462"/>
      <c r="DK145" s="462"/>
      <c r="DL145" s="462"/>
      <c r="DM145" s="462"/>
      <c r="DN145" s="462"/>
      <c r="DO145" s="462"/>
      <c r="DP145" s="462"/>
      <c r="DQ145" s="462"/>
      <c r="DR145" s="462"/>
      <c r="DS145" s="462"/>
      <c r="DT145" s="462"/>
      <c r="DU145" s="462"/>
      <c r="DV145" s="462"/>
      <c r="DW145" s="462"/>
      <c r="DX145" s="462"/>
      <c r="DY145" s="462"/>
      <c r="DZ145" s="462"/>
      <c r="EA145" s="462"/>
      <c r="EB145" s="462"/>
      <c r="EC145" s="462"/>
      <c r="ED145" s="462"/>
      <c r="EE145" s="462"/>
      <c r="EF145" s="462"/>
      <c r="EG145" s="462"/>
      <c r="EH145" s="462"/>
      <c r="EI145" s="462"/>
      <c r="EJ145" s="462"/>
      <c r="EK145" s="462"/>
      <c r="EL145" s="462"/>
      <c r="EM145" s="462"/>
      <c r="EN145" s="462"/>
      <c r="EO145" s="462"/>
      <c r="EP145" s="462"/>
      <c r="EQ145" s="462"/>
      <c r="ER145" s="462"/>
      <c r="ES145" s="462"/>
      <c r="ET145" s="462"/>
      <c r="EU145" s="462"/>
      <c r="EV145" s="462"/>
      <c r="EW145" s="462"/>
      <c r="EX145" s="462"/>
      <c r="EY145" s="462"/>
      <c r="EZ145" s="462"/>
      <c r="FA145" s="462"/>
      <c r="FB145" s="462"/>
      <c r="FC145" s="462"/>
      <c r="FD145" s="462"/>
      <c r="FE145" s="462"/>
      <c r="FF145" s="462"/>
      <c r="FG145" s="462"/>
      <c r="FH145" s="462"/>
      <c r="FI145" s="462"/>
      <c r="FJ145" s="462"/>
      <c r="FK145" s="462"/>
      <c r="FL145" s="462"/>
      <c r="FM145" s="462"/>
      <c r="FN145" s="462"/>
      <c r="FO145" s="462"/>
      <c r="FP145" s="462"/>
      <c r="FQ145" s="462"/>
      <c r="FR145" s="462"/>
      <c r="FS145" s="462"/>
      <c r="FT145" s="462"/>
      <c r="FU145" s="462"/>
      <c r="FV145" s="462"/>
      <c r="FW145" s="462"/>
      <c r="FX145" s="462"/>
      <c r="FY145" s="462"/>
      <c r="FZ145" s="462"/>
      <c r="GA145" s="462"/>
      <c r="GB145" s="462"/>
      <c r="GC145" s="462"/>
      <c r="GD145" s="462"/>
      <c r="GE145" s="462"/>
      <c r="GF145" s="462"/>
      <c r="GG145" s="462"/>
      <c r="GH145" s="462"/>
      <c r="GI145" s="462"/>
      <c r="GJ145" s="462"/>
      <c r="GK145" s="462"/>
      <c r="GL145" s="462"/>
      <c r="GM145" s="462"/>
      <c r="GN145" s="462"/>
      <c r="GO145" s="462"/>
      <c r="GP145" s="462"/>
      <c r="GQ145" s="462"/>
      <c r="GR145" s="462"/>
      <c r="GS145" s="462"/>
      <c r="GT145" s="462"/>
      <c r="GU145" s="462"/>
      <c r="GV145" s="462"/>
      <c r="GW145" s="462"/>
      <c r="GX145" s="462"/>
      <c r="GY145" s="462"/>
      <c r="GZ145" s="462"/>
      <c r="HA145" s="462"/>
      <c r="HB145" s="462"/>
      <c r="HC145" s="462"/>
      <c r="HD145" s="462"/>
      <c r="HE145" s="462"/>
      <c r="HF145" s="462"/>
      <c r="HG145" s="462"/>
      <c r="HH145" s="462"/>
      <c r="HI145" s="462"/>
      <c r="HJ145" s="462"/>
      <c r="HK145" s="462"/>
      <c r="HL145" s="462"/>
      <c r="HM145" s="462"/>
      <c r="HN145" s="462"/>
      <c r="HO145" s="462"/>
      <c r="HP145" s="462"/>
      <c r="HQ145" s="462"/>
      <c r="HR145" s="462"/>
      <c r="HS145" s="462"/>
      <c r="HT145" s="462"/>
      <c r="HU145" s="462"/>
      <c r="HV145" s="462"/>
      <c r="HW145" s="462"/>
      <c r="HX145" s="462"/>
      <c r="HY145" s="462"/>
      <c r="HZ145" s="462"/>
      <c r="IA145" s="462"/>
      <c r="IB145" s="462"/>
      <c r="IC145" s="462"/>
      <c r="ID145" s="462"/>
      <c r="IE145" s="462"/>
      <c r="IF145" s="462"/>
      <c r="IG145" s="462"/>
      <c r="IH145" s="462"/>
      <c r="II145" s="462"/>
      <c r="IJ145" s="462"/>
      <c r="IK145" s="462"/>
      <c r="IL145" s="462"/>
      <c r="IM145" s="462"/>
      <c r="IN145" s="462"/>
      <c r="IO145" s="462"/>
      <c r="IP145" s="462"/>
    </row>
    <row r="146" spans="2:23" ht="12.75">
      <c r="B146" s="287"/>
      <c r="C146" s="288"/>
      <c r="D146" s="435"/>
      <c r="E146" s="633" t="s">
        <v>313</v>
      </c>
      <c r="F146" s="559"/>
      <c r="G146" s="436"/>
      <c r="H146" s="1211" t="s">
        <v>314</v>
      </c>
      <c r="I146" s="1212"/>
      <c r="J146" s="1212"/>
      <c r="K146" s="1140">
        <f>K147</f>
        <v>8100000</v>
      </c>
      <c r="L146" s="1140">
        <f>L147</f>
        <v>4169922</v>
      </c>
      <c r="M146" s="1140">
        <f>M147</f>
        <v>7900000</v>
      </c>
      <c r="N146" s="289">
        <f aca="true" t="shared" si="47" ref="N146:S146">N147</f>
        <v>0</v>
      </c>
      <c r="O146" s="289">
        <f t="shared" si="47"/>
        <v>0</v>
      </c>
      <c r="P146" s="289">
        <f t="shared" si="47"/>
        <v>0</v>
      </c>
      <c r="Q146" s="672">
        <f t="shared" si="47"/>
        <v>0</v>
      </c>
      <c r="R146" s="672">
        <f t="shared" si="47"/>
        <v>0</v>
      </c>
      <c r="S146" s="672">
        <f t="shared" si="47"/>
        <v>0</v>
      </c>
      <c r="T146" s="673">
        <f t="shared" si="44"/>
        <v>0</v>
      </c>
      <c r="U146" s="674">
        <f t="shared" si="41"/>
        <v>7900000</v>
      </c>
      <c r="V146" s="674">
        <v>7900000</v>
      </c>
      <c r="W146" s="674">
        <v>7900000</v>
      </c>
    </row>
    <row r="147" spans="2:23" ht="26.25" customHeight="1">
      <c r="B147" s="287"/>
      <c r="C147" s="288"/>
      <c r="D147" s="557"/>
      <c r="E147" s="557" t="s">
        <v>315</v>
      </c>
      <c r="F147" s="560"/>
      <c r="G147" s="558"/>
      <c r="H147" s="1191" t="s">
        <v>331</v>
      </c>
      <c r="I147" s="1192"/>
      <c r="J147" s="1192"/>
      <c r="K147" s="1129">
        <f>SUM(K149:K150)</f>
        <v>8100000</v>
      </c>
      <c r="L147" s="1129">
        <f>SUM(L149:L150)</f>
        <v>4169922</v>
      </c>
      <c r="M147" s="1129">
        <f>SUM(M149:M150)</f>
        <v>7900000</v>
      </c>
      <c r="N147" s="293">
        <f aca="true" t="shared" si="48" ref="N147:S147">N149</f>
        <v>0</v>
      </c>
      <c r="O147" s="293">
        <f>O149</f>
        <v>0</v>
      </c>
      <c r="P147" s="340">
        <f t="shared" si="48"/>
        <v>0</v>
      </c>
      <c r="Q147" s="674">
        <f t="shared" si="48"/>
        <v>0</v>
      </c>
      <c r="R147" s="674">
        <f>R149</f>
        <v>0</v>
      </c>
      <c r="S147" s="674">
        <f t="shared" si="48"/>
        <v>0</v>
      </c>
      <c r="T147" s="857">
        <f t="shared" si="44"/>
        <v>0</v>
      </c>
      <c r="U147" s="674">
        <f t="shared" si="41"/>
        <v>7900000</v>
      </c>
      <c r="V147" s="674">
        <v>7900000</v>
      </c>
      <c r="W147" s="674">
        <v>7900000</v>
      </c>
    </row>
    <row r="148" spans="2:23" ht="12.75">
      <c r="B148" s="437"/>
      <c r="C148" s="438"/>
      <c r="D148" s="182" t="s">
        <v>556</v>
      </c>
      <c r="E148" s="531"/>
      <c r="F148" s="529"/>
      <c r="G148" s="440"/>
      <c r="H148" s="1185" t="s">
        <v>174</v>
      </c>
      <c r="I148" s="1186"/>
      <c r="J148" s="1187"/>
      <c r="K148" s="1161">
        <f>K149+K150</f>
        <v>8100000</v>
      </c>
      <c r="L148" s="991">
        <f>L149+L150</f>
        <v>4169922</v>
      </c>
      <c r="M148" s="1162">
        <f>M149+M150</f>
        <v>7900000</v>
      </c>
      <c r="N148" s="69">
        <f aca="true" t="shared" si="49" ref="N148:S148">N149+N150</f>
        <v>0</v>
      </c>
      <c r="O148" s="69">
        <f t="shared" si="49"/>
        <v>0</v>
      </c>
      <c r="P148" s="69">
        <f t="shared" si="49"/>
        <v>0</v>
      </c>
      <c r="Q148" s="69">
        <f t="shared" si="49"/>
        <v>0</v>
      </c>
      <c r="R148" s="69">
        <f t="shared" si="49"/>
        <v>0</v>
      </c>
      <c r="S148" s="69">
        <f t="shared" si="49"/>
        <v>0</v>
      </c>
      <c r="T148" s="862">
        <f t="shared" si="44"/>
        <v>0</v>
      </c>
      <c r="U148" s="876">
        <f t="shared" si="41"/>
        <v>7900000</v>
      </c>
      <c r="V148" s="876">
        <v>7900000</v>
      </c>
      <c r="W148" s="876">
        <v>7900000</v>
      </c>
    </row>
    <row r="149" spans="2:23" s="362" customFormat="1" ht="12.75">
      <c r="B149" s="356"/>
      <c r="C149" s="363"/>
      <c r="D149" s="358"/>
      <c r="E149" s="622"/>
      <c r="F149" s="374">
        <v>98</v>
      </c>
      <c r="G149" s="629">
        <v>481</v>
      </c>
      <c r="H149" s="1360" t="s">
        <v>1452</v>
      </c>
      <c r="I149" s="1361"/>
      <c r="J149" s="1361"/>
      <c r="K149" s="999">
        <v>7400000</v>
      </c>
      <c r="L149" s="999">
        <v>4169922</v>
      </c>
      <c r="M149" s="999">
        <v>7600000</v>
      </c>
      <c r="N149" s="411">
        <v>0</v>
      </c>
      <c r="O149" s="417">
        <v>0</v>
      </c>
      <c r="P149" s="420">
        <v>0</v>
      </c>
      <c r="Q149" s="634">
        <v>0</v>
      </c>
      <c r="R149" s="464">
        <v>0</v>
      </c>
      <c r="S149" s="464">
        <v>0</v>
      </c>
      <c r="T149" s="757">
        <f t="shared" si="44"/>
        <v>0</v>
      </c>
      <c r="U149" s="628">
        <f t="shared" si="41"/>
        <v>7600000</v>
      </c>
      <c r="V149" s="628">
        <v>7600000</v>
      </c>
      <c r="W149" s="628">
        <v>7600000</v>
      </c>
    </row>
    <row r="150" spans="2:23" s="362" customFormat="1" ht="12.75">
      <c r="B150" s="375"/>
      <c r="C150" s="369"/>
      <c r="E150" s="648"/>
      <c r="F150" s="374">
        <v>99</v>
      </c>
      <c r="G150" s="828">
        <v>481</v>
      </c>
      <c r="H150" s="829" t="s">
        <v>1481</v>
      </c>
      <c r="I150" s="830"/>
      <c r="J150" s="830"/>
      <c r="K150" s="999">
        <v>700000</v>
      </c>
      <c r="L150" s="999">
        <v>0</v>
      </c>
      <c r="M150" s="555">
        <v>300000</v>
      </c>
      <c r="N150" s="411">
        <v>0</v>
      </c>
      <c r="O150" s="411">
        <v>0</v>
      </c>
      <c r="P150" s="429">
        <v>0</v>
      </c>
      <c r="Q150" s="634">
        <v>0</v>
      </c>
      <c r="R150" s="464"/>
      <c r="S150" s="464">
        <v>0</v>
      </c>
      <c r="T150" s="757"/>
      <c r="U150" s="628">
        <f t="shared" si="41"/>
        <v>300000</v>
      </c>
      <c r="V150" s="628">
        <v>300000</v>
      </c>
      <c r="W150" s="628">
        <v>300000</v>
      </c>
    </row>
    <row r="151" spans="2:23" ht="12.75">
      <c r="B151" s="287"/>
      <c r="C151" s="288"/>
      <c r="D151" s="435"/>
      <c r="E151" s="630" t="s">
        <v>297</v>
      </c>
      <c r="F151" s="435"/>
      <c r="G151" s="436"/>
      <c r="H151" s="1211" t="s">
        <v>1278</v>
      </c>
      <c r="I151" s="1212"/>
      <c r="J151" s="1213"/>
      <c r="K151" s="977">
        <f>K152+K168+K183</f>
        <v>33132772</v>
      </c>
      <c r="L151" s="1142">
        <f>L152+L168+L183</f>
        <v>11642591.089999998</v>
      </c>
      <c r="M151" s="1159">
        <f>M152+M168+M183</f>
        <v>33132772</v>
      </c>
      <c r="N151" s="289">
        <f aca="true" t="shared" si="50" ref="N151:S151">N152+N168+N183</f>
        <v>0</v>
      </c>
      <c r="O151" s="289">
        <f t="shared" si="50"/>
        <v>0</v>
      </c>
      <c r="P151" s="339">
        <f t="shared" si="50"/>
        <v>0</v>
      </c>
      <c r="Q151" s="638">
        <f t="shared" si="50"/>
        <v>0</v>
      </c>
      <c r="R151" s="638">
        <f t="shared" si="50"/>
        <v>0</v>
      </c>
      <c r="S151" s="638">
        <f t="shared" si="50"/>
        <v>0</v>
      </c>
      <c r="T151" s="863">
        <f t="shared" si="44"/>
        <v>0</v>
      </c>
      <c r="U151" s="674">
        <f t="shared" si="41"/>
        <v>33132772</v>
      </c>
      <c r="V151" s="674">
        <v>33132772</v>
      </c>
      <c r="W151" s="674">
        <v>33132772</v>
      </c>
    </row>
    <row r="152" spans="2:23" ht="12.75" customHeight="1">
      <c r="B152" s="287"/>
      <c r="C152" s="288"/>
      <c r="D152" s="435"/>
      <c r="E152" s="352" t="s">
        <v>295</v>
      </c>
      <c r="F152" s="435"/>
      <c r="G152" s="436"/>
      <c r="H152" s="1191" t="s">
        <v>1223</v>
      </c>
      <c r="I152" s="1192"/>
      <c r="J152" s="1193"/>
      <c r="K152" s="960">
        <f>K153</f>
        <v>14630531</v>
      </c>
      <c r="L152" s="1121">
        <f>L153</f>
        <v>5053324.529999998</v>
      </c>
      <c r="M152" s="1129">
        <f>M153</f>
        <v>14630531</v>
      </c>
      <c r="N152" s="293">
        <f aca="true" t="shared" si="51" ref="N152:S152">N153</f>
        <v>0</v>
      </c>
      <c r="O152" s="293">
        <f t="shared" si="51"/>
        <v>0</v>
      </c>
      <c r="P152" s="293">
        <f t="shared" si="51"/>
        <v>0</v>
      </c>
      <c r="Q152" s="293">
        <f t="shared" si="51"/>
        <v>0</v>
      </c>
      <c r="R152" s="293">
        <f t="shared" si="51"/>
        <v>0</v>
      </c>
      <c r="S152" s="293">
        <f t="shared" si="51"/>
        <v>0</v>
      </c>
      <c r="T152" s="340">
        <f t="shared" si="44"/>
        <v>0</v>
      </c>
      <c r="U152" s="674">
        <f t="shared" si="41"/>
        <v>14630531</v>
      </c>
      <c r="V152" s="674">
        <v>14630531</v>
      </c>
      <c r="W152" s="674">
        <v>14630531</v>
      </c>
    </row>
    <row r="153" spans="2:23" ht="12.75">
      <c r="B153" s="437"/>
      <c r="C153" s="438"/>
      <c r="D153" s="56">
        <v>912</v>
      </c>
      <c r="E153" s="58"/>
      <c r="F153" s="439"/>
      <c r="G153" s="440"/>
      <c r="H153" s="1185" t="s">
        <v>97</v>
      </c>
      <c r="I153" s="1186"/>
      <c r="J153" s="1187"/>
      <c r="K153" s="877">
        <f>SUM(K154:K167)</f>
        <v>14630531</v>
      </c>
      <c r="L153" s="877">
        <f>SUM(L154:L167)</f>
        <v>5053324.529999998</v>
      </c>
      <c r="M153" s="877">
        <f>SUM(M154:M167)</f>
        <v>14630531</v>
      </c>
      <c r="N153" s="69">
        <f aca="true" t="shared" si="52" ref="N153:S153">SUM(N154:N167)</f>
        <v>0</v>
      </c>
      <c r="O153" s="69">
        <f t="shared" si="52"/>
        <v>0</v>
      </c>
      <c r="P153" s="69">
        <f t="shared" si="52"/>
        <v>0</v>
      </c>
      <c r="Q153" s="69">
        <f t="shared" si="52"/>
        <v>0</v>
      </c>
      <c r="R153" s="69">
        <f t="shared" si="52"/>
        <v>0</v>
      </c>
      <c r="S153" s="69">
        <f t="shared" si="52"/>
        <v>0</v>
      </c>
      <c r="T153" s="343">
        <f t="shared" si="44"/>
        <v>0</v>
      </c>
      <c r="U153" s="876">
        <f t="shared" si="41"/>
        <v>14630531</v>
      </c>
      <c r="V153" s="876">
        <v>14630531</v>
      </c>
      <c r="W153" s="876">
        <v>14630531</v>
      </c>
    </row>
    <row r="154" spans="2:23" s="362" customFormat="1" ht="12.75">
      <c r="B154" s="356"/>
      <c r="C154" s="363"/>
      <c r="D154" s="358"/>
      <c r="E154" s="363"/>
      <c r="F154" s="374">
        <v>100</v>
      </c>
      <c r="G154" s="441">
        <v>463</v>
      </c>
      <c r="H154" s="386" t="s">
        <v>98</v>
      </c>
      <c r="I154" s="442"/>
      <c r="J154" s="460"/>
      <c r="K154" s="979">
        <v>200000</v>
      </c>
      <c r="L154" s="979">
        <v>50303.18</v>
      </c>
      <c r="M154" s="974">
        <v>200000</v>
      </c>
      <c r="N154" s="360">
        <v>0</v>
      </c>
      <c r="O154" s="417">
        <v>0</v>
      </c>
      <c r="P154" s="417">
        <v>0</v>
      </c>
      <c r="Q154" s="420">
        <v>0</v>
      </c>
      <c r="R154" s="417">
        <v>0</v>
      </c>
      <c r="S154" s="420">
        <v>0</v>
      </c>
      <c r="T154" s="420">
        <f t="shared" si="44"/>
        <v>0</v>
      </c>
      <c r="U154" s="628">
        <f aca="true" t="shared" si="53" ref="U154:U167">SUM(M154:S154)</f>
        <v>200000</v>
      </c>
      <c r="V154" s="628">
        <v>200000</v>
      </c>
      <c r="W154" s="628">
        <v>200000</v>
      </c>
    </row>
    <row r="155" spans="2:23" s="362" customFormat="1" ht="12.75">
      <c r="B155" s="356"/>
      <c r="C155" s="363"/>
      <c r="D155" s="358"/>
      <c r="E155" s="363"/>
      <c r="F155" s="374">
        <v>101</v>
      </c>
      <c r="G155" s="441">
        <v>463</v>
      </c>
      <c r="H155" s="1205" t="s">
        <v>223</v>
      </c>
      <c r="I155" s="1206"/>
      <c r="J155" s="1207"/>
      <c r="K155" s="775">
        <v>178000</v>
      </c>
      <c r="L155" s="775">
        <v>105982.83</v>
      </c>
      <c r="M155" s="775">
        <v>178000</v>
      </c>
      <c r="N155" s="360">
        <v>0</v>
      </c>
      <c r="O155" s="417">
        <v>0</v>
      </c>
      <c r="P155" s="417">
        <v>0</v>
      </c>
      <c r="Q155" s="420">
        <v>0</v>
      </c>
      <c r="R155" s="417">
        <v>0</v>
      </c>
      <c r="S155" s="420">
        <v>0</v>
      </c>
      <c r="T155" s="420">
        <f t="shared" si="44"/>
        <v>0</v>
      </c>
      <c r="U155" s="628">
        <f t="shared" si="53"/>
        <v>178000</v>
      </c>
      <c r="V155" s="628">
        <v>178000</v>
      </c>
      <c r="W155" s="628">
        <v>178000</v>
      </c>
    </row>
    <row r="156" spans="2:23" s="362" customFormat="1" ht="12.75">
      <c r="B156" s="356"/>
      <c r="C156" s="363"/>
      <c r="D156" s="358"/>
      <c r="E156" s="363"/>
      <c r="F156" s="374">
        <v>102</v>
      </c>
      <c r="G156" s="441">
        <v>463</v>
      </c>
      <c r="H156" s="1248" t="s">
        <v>99</v>
      </c>
      <c r="I156" s="1249"/>
      <c r="J156" s="1250"/>
      <c r="K156" s="958">
        <v>2100000</v>
      </c>
      <c r="L156" s="958">
        <v>785721</v>
      </c>
      <c r="M156" s="958">
        <v>2750000</v>
      </c>
      <c r="N156" s="360">
        <v>0</v>
      </c>
      <c r="O156" s="417">
        <v>0</v>
      </c>
      <c r="P156" s="417">
        <v>0</v>
      </c>
      <c r="Q156" s="420">
        <v>0</v>
      </c>
      <c r="R156" s="417">
        <v>0</v>
      </c>
      <c r="S156" s="420">
        <v>0</v>
      </c>
      <c r="T156" s="420">
        <f t="shared" si="44"/>
        <v>0</v>
      </c>
      <c r="U156" s="628">
        <f t="shared" si="53"/>
        <v>2750000</v>
      </c>
      <c r="V156" s="628">
        <v>2750000</v>
      </c>
      <c r="W156" s="628">
        <v>2750000</v>
      </c>
    </row>
    <row r="157" spans="2:23" s="362" customFormat="1" ht="12.75">
      <c r="B157" s="356"/>
      <c r="C157" s="363"/>
      <c r="D157" s="358"/>
      <c r="E157" s="363"/>
      <c r="F157" s="374">
        <v>103</v>
      </c>
      <c r="G157" s="441">
        <v>463</v>
      </c>
      <c r="H157" s="386" t="s">
        <v>204</v>
      </c>
      <c r="I157" s="442"/>
      <c r="J157" s="443"/>
      <c r="K157" s="958">
        <v>1047553.1</v>
      </c>
      <c r="L157" s="958">
        <v>569415</v>
      </c>
      <c r="M157" s="958">
        <v>569415</v>
      </c>
      <c r="N157" s="360">
        <v>0</v>
      </c>
      <c r="O157" s="417">
        <v>0</v>
      </c>
      <c r="P157" s="417">
        <v>0</v>
      </c>
      <c r="Q157" s="420">
        <v>0</v>
      </c>
      <c r="R157" s="417">
        <v>0</v>
      </c>
      <c r="S157" s="420">
        <v>0</v>
      </c>
      <c r="T157" s="420">
        <f t="shared" si="44"/>
        <v>0</v>
      </c>
      <c r="U157" s="628">
        <f t="shared" si="53"/>
        <v>569415</v>
      </c>
      <c r="V157" s="628">
        <v>569415</v>
      </c>
      <c r="W157" s="628">
        <v>569415</v>
      </c>
    </row>
    <row r="158" spans="2:23" s="362" customFormat="1" ht="12.75">
      <c r="B158" s="356"/>
      <c r="C158" s="363"/>
      <c r="D158" s="358"/>
      <c r="E158" s="363"/>
      <c r="F158" s="374">
        <v>104</v>
      </c>
      <c r="G158" s="441">
        <v>463</v>
      </c>
      <c r="H158" s="386" t="s">
        <v>100</v>
      </c>
      <c r="I158" s="442"/>
      <c r="J158" s="460"/>
      <c r="K158" s="979">
        <v>3123000</v>
      </c>
      <c r="L158" s="979">
        <v>1869894.6799999988</v>
      </c>
      <c r="M158" s="979">
        <v>3470000</v>
      </c>
      <c r="N158" s="360">
        <v>0</v>
      </c>
      <c r="O158" s="417">
        <v>0</v>
      </c>
      <c r="P158" s="417">
        <v>0</v>
      </c>
      <c r="Q158" s="420">
        <v>0</v>
      </c>
      <c r="R158" s="417">
        <v>0</v>
      </c>
      <c r="S158" s="420">
        <v>0</v>
      </c>
      <c r="T158" s="420">
        <f t="shared" si="44"/>
        <v>0</v>
      </c>
      <c r="U158" s="628">
        <f t="shared" si="53"/>
        <v>3470000</v>
      </c>
      <c r="V158" s="628">
        <v>3470000</v>
      </c>
      <c r="W158" s="628">
        <v>3470000</v>
      </c>
    </row>
    <row r="159" spans="2:23" s="362" customFormat="1" ht="12.75">
      <c r="B159" s="356"/>
      <c r="C159" s="363"/>
      <c r="D159" s="358"/>
      <c r="E159" s="363"/>
      <c r="F159" s="374">
        <v>105</v>
      </c>
      <c r="G159" s="441">
        <v>463</v>
      </c>
      <c r="H159" s="1248" t="s">
        <v>1172</v>
      </c>
      <c r="I159" s="1249"/>
      <c r="J159" s="1250"/>
      <c r="K159" s="958">
        <v>1510000</v>
      </c>
      <c r="L159" s="958">
        <v>476425.89</v>
      </c>
      <c r="M159" s="958">
        <v>1310000</v>
      </c>
      <c r="N159" s="360">
        <v>0</v>
      </c>
      <c r="O159" s="417">
        <v>0</v>
      </c>
      <c r="P159" s="417">
        <v>0</v>
      </c>
      <c r="Q159" s="420">
        <v>0</v>
      </c>
      <c r="R159" s="417">
        <v>0</v>
      </c>
      <c r="S159" s="420">
        <v>0</v>
      </c>
      <c r="T159" s="420">
        <f t="shared" si="44"/>
        <v>0</v>
      </c>
      <c r="U159" s="628">
        <f t="shared" si="53"/>
        <v>1310000</v>
      </c>
      <c r="V159" s="628">
        <v>1310000</v>
      </c>
      <c r="W159" s="628">
        <v>1310000</v>
      </c>
    </row>
    <row r="160" spans="2:23" s="362" customFormat="1" ht="12.75">
      <c r="B160" s="356"/>
      <c r="C160" s="363"/>
      <c r="D160" s="358"/>
      <c r="E160" s="363"/>
      <c r="F160" s="374">
        <v>106</v>
      </c>
      <c r="G160" s="441">
        <v>463</v>
      </c>
      <c r="H160" s="1248" t="s">
        <v>102</v>
      </c>
      <c r="I160" s="1249"/>
      <c r="J160" s="1250"/>
      <c r="K160" s="958">
        <v>755000</v>
      </c>
      <c r="L160" s="958">
        <v>399909.68</v>
      </c>
      <c r="M160" s="958">
        <v>855000</v>
      </c>
      <c r="N160" s="360">
        <v>0</v>
      </c>
      <c r="O160" s="417">
        <v>0</v>
      </c>
      <c r="P160" s="417">
        <v>0</v>
      </c>
      <c r="Q160" s="420">
        <v>0</v>
      </c>
      <c r="R160" s="417">
        <v>0</v>
      </c>
      <c r="S160" s="420">
        <v>0</v>
      </c>
      <c r="T160" s="420">
        <f t="shared" si="44"/>
        <v>0</v>
      </c>
      <c r="U160" s="628">
        <f t="shared" si="53"/>
        <v>855000</v>
      </c>
      <c r="V160" s="628">
        <v>855000</v>
      </c>
      <c r="W160" s="628">
        <v>855000</v>
      </c>
    </row>
    <row r="161" spans="2:23" s="362" customFormat="1" ht="12.75">
      <c r="B161" s="356"/>
      <c r="C161" s="363"/>
      <c r="D161" s="358"/>
      <c r="E161" s="363"/>
      <c r="F161" s="374">
        <v>107</v>
      </c>
      <c r="G161" s="441">
        <v>463</v>
      </c>
      <c r="H161" s="1248" t="s">
        <v>103</v>
      </c>
      <c r="I161" s="1249"/>
      <c r="J161" s="1250"/>
      <c r="K161" s="958">
        <v>160000</v>
      </c>
      <c r="L161" s="958">
        <v>7440</v>
      </c>
      <c r="M161" s="958">
        <v>360000</v>
      </c>
      <c r="N161" s="360">
        <v>0</v>
      </c>
      <c r="O161" s="417">
        <v>0</v>
      </c>
      <c r="P161" s="417">
        <v>0</v>
      </c>
      <c r="Q161" s="420">
        <v>0</v>
      </c>
      <c r="R161" s="417">
        <v>0</v>
      </c>
      <c r="S161" s="420">
        <v>0</v>
      </c>
      <c r="T161" s="420">
        <f t="shared" si="44"/>
        <v>0</v>
      </c>
      <c r="U161" s="628">
        <f t="shared" si="53"/>
        <v>360000</v>
      </c>
      <c r="V161" s="628">
        <v>360000</v>
      </c>
      <c r="W161" s="628">
        <v>360000</v>
      </c>
    </row>
    <row r="162" spans="2:23" s="362" customFormat="1" ht="12.75">
      <c r="B162" s="356"/>
      <c r="C162" s="363"/>
      <c r="D162" s="358"/>
      <c r="E162" s="363"/>
      <c r="F162" s="374">
        <v>108</v>
      </c>
      <c r="G162" s="441">
        <v>463</v>
      </c>
      <c r="H162" s="1248" t="s">
        <v>104</v>
      </c>
      <c r="I162" s="1249"/>
      <c r="J162" s="1250"/>
      <c r="K162" s="958">
        <v>3604977.9</v>
      </c>
      <c r="L162" s="958">
        <v>125507</v>
      </c>
      <c r="M162" s="958">
        <v>2675816</v>
      </c>
      <c r="N162" s="360">
        <v>0</v>
      </c>
      <c r="O162" s="417">
        <v>0</v>
      </c>
      <c r="P162" s="417">
        <v>0</v>
      </c>
      <c r="Q162" s="420">
        <v>0</v>
      </c>
      <c r="R162" s="417">
        <v>0</v>
      </c>
      <c r="S162" s="420">
        <v>0</v>
      </c>
      <c r="T162" s="420">
        <f t="shared" si="44"/>
        <v>0</v>
      </c>
      <c r="U162" s="628">
        <f t="shared" si="53"/>
        <v>2675816</v>
      </c>
      <c r="V162" s="628">
        <v>2675816</v>
      </c>
      <c r="W162" s="628">
        <v>2675816</v>
      </c>
    </row>
    <row r="163" spans="2:23" s="362" customFormat="1" ht="12.75">
      <c r="B163" s="356"/>
      <c r="C163" s="363"/>
      <c r="D163" s="358"/>
      <c r="E163" s="363"/>
      <c r="F163" s="374">
        <v>109</v>
      </c>
      <c r="G163" s="441">
        <v>463</v>
      </c>
      <c r="H163" s="386" t="s">
        <v>105</v>
      </c>
      <c r="I163" s="442"/>
      <c r="J163" s="460"/>
      <c r="K163" s="979">
        <v>1152000</v>
      </c>
      <c r="L163" s="979">
        <v>552638.2699999999</v>
      </c>
      <c r="M163" s="979">
        <v>1500000</v>
      </c>
      <c r="N163" s="360">
        <v>0</v>
      </c>
      <c r="O163" s="417">
        <v>0</v>
      </c>
      <c r="P163" s="417">
        <v>0</v>
      </c>
      <c r="Q163" s="420">
        <v>0</v>
      </c>
      <c r="R163" s="417">
        <v>0</v>
      </c>
      <c r="S163" s="420">
        <v>0</v>
      </c>
      <c r="T163" s="420">
        <f t="shared" si="44"/>
        <v>0</v>
      </c>
      <c r="U163" s="628">
        <f t="shared" si="53"/>
        <v>1500000</v>
      </c>
      <c r="V163" s="628">
        <v>1500000</v>
      </c>
      <c r="W163" s="628">
        <v>1500000</v>
      </c>
    </row>
    <row r="164" spans="2:23" s="362" customFormat="1" ht="12.75">
      <c r="B164" s="356"/>
      <c r="C164" s="363"/>
      <c r="D164" s="358"/>
      <c r="E164" s="363"/>
      <c r="F164" s="374" t="s">
        <v>1586</v>
      </c>
      <c r="G164" s="441">
        <v>463</v>
      </c>
      <c r="H164" s="386" t="s">
        <v>1171</v>
      </c>
      <c r="I164" s="442"/>
      <c r="J164" s="460"/>
      <c r="K164" s="979">
        <v>0</v>
      </c>
      <c r="L164" s="979">
        <v>0</v>
      </c>
      <c r="M164" s="979">
        <v>312300</v>
      </c>
      <c r="N164" s="360">
        <v>0</v>
      </c>
      <c r="O164" s="417">
        <v>0</v>
      </c>
      <c r="P164" s="417">
        <v>0</v>
      </c>
      <c r="Q164" s="420">
        <v>0</v>
      </c>
      <c r="R164" s="417">
        <v>0</v>
      </c>
      <c r="S164" s="420">
        <v>0</v>
      </c>
      <c r="T164" s="420">
        <f t="shared" si="44"/>
        <v>0</v>
      </c>
      <c r="U164" s="628">
        <f t="shared" si="53"/>
        <v>312300</v>
      </c>
      <c r="V164" s="628">
        <v>312300</v>
      </c>
      <c r="W164" s="628">
        <v>312300</v>
      </c>
    </row>
    <row r="165" spans="2:23" s="362" customFormat="1" ht="12.75">
      <c r="B165" s="356"/>
      <c r="C165" s="363"/>
      <c r="D165" s="358"/>
      <c r="E165" s="363"/>
      <c r="F165" s="374">
        <v>110</v>
      </c>
      <c r="G165" s="441">
        <v>463</v>
      </c>
      <c r="H165" s="1248" t="s">
        <v>106</v>
      </c>
      <c r="I165" s="1249"/>
      <c r="J165" s="1250"/>
      <c r="K165" s="958">
        <v>100000</v>
      </c>
      <c r="L165" s="958">
        <v>27239</v>
      </c>
      <c r="M165" s="958">
        <v>50000</v>
      </c>
      <c r="N165" s="360">
        <v>0</v>
      </c>
      <c r="O165" s="417">
        <v>0</v>
      </c>
      <c r="P165" s="417">
        <v>0</v>
      </c>
      <c r="Q165" s="420">
        <v>0</v>
      </c>
      <c r="R165" s="417">
        <v>0</v>
      </c>
      <c r="S165" s="420">
        <v>0</v>
      </c>
      <c r="T165" s="420">
        <f t="shared" si="44"/>
        <v>0</v>
      </c>
      <c r="U165" s="628">
        <f t="shared" si="53"/>
        <v>50000</v>
      </c>
      <c r="V165" s="628">
        <v>50000</v>
      </c>
      <c r="W165" s="628">
        <v>50000</v>
      </c>
    </row>
    <row r="166" spans="2:23" s="362" customFormat="1" ht="12.75">
      <c r="B166" s="356"/>
      <c r="C166" s="363"/>
      <c r="D166" s="358"/>
      <c r="E166" s="363"/>
      <c r="F166" s="374">
        <v>111</v>
      </c>
      <c r="G166" s="441">
        <v>463</v>
      </c>
      <c r="H166" s="1188" t="s">
        <v>224</v>
      </c>
      <c r="I166" s="1189"/>
      <c r="J166" s="1190"/>
      <c r="K166" s="775">
        <v>500000</v>
      </c>
      <c r="L166" s="775">
        <v>0</v>
      </c>
      <c r="M166" s="775">
        <v>100000</v>
      </c>
      <c r="N166" s="360">
        <v>0</v>
      </c>
      <c r="O166" s="417">
        <v>0</v>
      </c>
      <c r="P166" s="417">
        <v>0</v>
      </c>
      <c r="Q166" s="420">
        <v>0</v>
      </c>
      <c r="R166" s="417">
        <v>0</v>
      </c>
      <c r="S166" s="420">
        <v>0</v>
      </c>
      <c r="T166" s="420">
        <f t="shared" si="44"/>
        <v>0</v>
      </c>
      <c r="U166" s="628">
        <f t="shared" si="53"/>
        <v>100000</v>
      </c>
      <c r="V166" s="628">
        <v>100000</v>
      </c>
      <c r="W166" s="628">
        <v>100000</v>
      </c>
    </row>
    <row r="167" spans="2:23" s="362" customFormat="1" ht="12.75">
      <c r="B167" s="356"/>
      <c r="C167" s="363"/>
      <c r="D167" s="358"/>
      <c r="E167" s="363"/>
      <c r="F167" s="374">
        <v>112</v>
      </c>
      <c r="G167" s="441">
        <v>463</v>
      </c>
      <c r="H167" s="386" t="s">
        <v>107</v>
      </c>
      <c r="I167" s="442"/>
      <c r="J167" s="443"/>
      <c r="K167" s="958">
        <v>200000</v>
      </c>
      <c r="L167" s="958">
        <v>82848</v>
      </c>
      <c r="M167" s="958">
        <v>300000</v>
      </c>
      <c r="N167" s="360">
        <v>0</v>
      </c>
      <c r="O167" s="417">
        <v>0</v>
      </c>
      <c r="P167" s="417">
        <v>0</v>
      </c>
      <c r="Q167" s="420">
        <v>0</v>
      </c>
      <c r="R167" s="417">
        <v>0</v>
      </c>
      <c r="S167" s="420">
        <v>0</v>
      </c>
      <c r="T167" s="420">
        <f t="shared" si="44"/>
        <v>0</v>
      </c>
      <c r="U167" s="628">
        <f t="shared" si="53"/>
        <v>300000</v>
      </c>
      <c r="V167" s="628">
        <v>300000</v>
      </c>
      <c r="W167" s="628">
        <v>300000</v>
      </c>
    </row>
    <row r="168" spans="2:23" ht="13.5" customHeight="1">
      <c r="B168" s="287"/>
      <c r="C168" s="288"/>
      <c r="D168" s="435"/>
      <c r="E168" s="352" t="s">
        <v>295</v>
      </c>
      <c r="F168" s="435"/>
      <c r="G168" s="436"/>
      <c r="H168" s="1191" t="s">
        <v>1224</v>
      </c>
      <c r="I168" s="1192"/>
      <c r="J168" s="1193"/>
      <c r="K168" s="960">
        <f>K169</f>
        <v>12313641</v>
      </c>
      <c r="L168" s="960">
        <f>L169</f>
        <v>3605113.6800000006</v>
      </c>
      <c r="M168" s="960">
        <f>M169</f>
        <v>12313641</v>
      </c>
      <c r="N168" s="293">
        <f aca="true" t="shared" si="54" ref="N168:S168">N169</f>
        <v>0</v>
      </c>
      <c r="O168" s="293">
        <f t="shared" si="54"/>
        <v>0</v>
      </c>
      <c r="P168" s="293">
        <f t="shared" si="54"/>
        <v>0</v>
      </c>
      <c r="Q168" s="293">
        <f t="shared" si="54"/>
        <v>0</v>
      </c>
      <c r="R168" s="293">
        <f t="shared" si="54"/>
        <v>0</v>
      </c>
      <c r="S168" s="293">
        <f t="shared" si="54"/>
        <v>0</v>
      </c>
      <c r="T168" s="340">
        <f t="shared" si="44"/>
        <v>0</v>
      </c>
      <c r="U168" s="674">
        <f>SUM(M168:S168)</f>
        <v>12313641</v>
      </c>
      <c r="V168" s="674">
        <v>12313641</v>
      </c>
      <c r="W168" s="674">
        <v>12313641</v>
      </c>
    </row>
    <row r="169" spans="2:23" ht="12.75">
      <c r="B169" s="437"/>
      <c r="C169" s="438"/>
      <c r="D169" s="56">
        <v>912</v>
      </c>
      <c r="E169" s="58"/>
      <c r="F169" s="439"/>
      <c r="G169" s="440"/>
      <c r="H169" s="1185" t="s">
        <v>97</v>
      </c>
      <c r="I169" s="1186"/>
      <c r="J169" s="1187"/>
      <c r="K169" s="183">
        <f>SUM(K170:K182)</f>
        <v>12313641</v>
      </c>
      <c r="L169" s="183">
        <f>SUM(L170:L182)</f>
        <v>3605113.6800000006</v>
      </c>
      <c r="M169" s="183">
        <f>SUM(M170:M182)</f>
        <v>12313641</v>
      </c>
      <c r="N169" s="69">
        <f aca="true" t="shared" si="55" ref="N169:S169">SUM(N170:N182)</f>
        <v>0</v>
      </c>
      <c r="O169" s="69">
        <f t="shared" si="55"/>
        <v>0</v>
      </c>
      <c r="P169" s="69">
        <f t="shared" si="55"/>
        <v>0</v>
      </c>
      <c r="Q169" s="69">
        <f t="shared" si="55"/>
        <v>0</v>
      </c>
      <c r="R169" s="69">
        <f t="shared" si="55"/>
        <v>0</v>
      </c>
      <c r="S169" s="69">
        <f t="shared" si="55"/>
        <v>0</v>
      </c>
      <c r="T169" s="180">
        <f t="shared" si="44"/>
        <v>0</v>
      </c>
      <c r="U169" s="876">
        <f>SUM(M169:S169)</f>
        <v>12313641</v>
      </c>
      <c r="V169" s="876">
        <v>12313641</v>
      </c>
      <c r="W169" s="876">
        <v>12313641</v>
      </c>
    </row>
    <row r="170" spans="2:23" s="362" customFormat="1" ht="12.75">
      <c r="B170" s="356"/>
      <c r="C170" s="363"/>
      <c r="D170" s="358"/>
      <c r="E170" s="363"/>
      <c r="F170" s="374">
        <v>113</v>
      </c>
      <c r="G170" s="441">
        <v>463</v>
      </c>
      <c r="H170" s="354" t="s">
        <v>1451</v>
      </c>
      <c r="I170" s="449"/>
      <c r="J170" s="450"/>
      <c r="K170" s="775">
        <v>78000</v>
      </c>
      <c r="L170" s="775">
        <v>0</v>
      </c>
      <c r="M170" s="775">
        <v>78000</v>
      </c>
      <c r="N170" s="360">
        <v>0</v>
      </c>
      <c r="O170" s="417">
        <v>0</v>
      </c>
      <c r="P170" s="417">
        <v>0</v>
      </c>
      <c r="Q170" s="420">
        <v>0</v>
      </c>
      <c r="R170" s="417">
        <v>0</v>
      </c>
      <c r="S170" s="420">
        <v>0</v>
      </c>
      <c r="T170" s="420">
        <f t="shared" si="44"/>
        <v>0</v>
      </c>
      <c r="U170" s="628">
        <f aca="true" t="shared" si="56" ref="U170:U180">SUM(M170:S170)</f>
        <v>78000</v>
      </c>
      <c r="V170" s="628">
        <v>78000</v>
      </c>
      <c r="W170" s="628">
        <v>78000</v>
      </c>
    </row>
    <row r="171" spans="2:23" s="524" customFormat="1" ht="12.75">
      <c r="B171" s="525"/>
      <c r="C171" s="459"/>
      <c r="D171" s="526"/>
      <c r="E171" s="459"/>
      <c r="F171" s="374">
        <v>114</v>
      </c>
      <c r="G171" s="441">
        <v>463</v>
      </c>
      <c r="H171" s="1188" t="s">
        <v>99</v>
      </c>
      <c r="I171" s="1189"/>
      <c r="J171" s="1190"/>
      <c r="K171" s="775">
        <v>2094000</v>
      </c>
      <c r="L171" s="775">
        <v>699921.85</v>
      </c>
      <c r="M171" s="775">
        <v>2669921</v>
      </c>
      <c r="N171" s="360">
        <v>0</v>
      </c>
      <c r="O171" s="527">
        <v>0</v>
      </c>
      <c r="P171" s="527">
        <v>0</v>
      </c>
      <c r="Q171" s="422">
        <v>0</v>
      </c>
      <c r="R171" s="417">
        <v>0</v>
      </c>
      <c r="S171" s="422">
        <v>0</v>
      </c>
      <c r="T171" s="422">
        <f t="shared" si="44"/>
        <v>0</v>
      </c>
      <c r="U171" s="882">
        <f t="shared" si="56"/>
        <v>2669921</v>
      </c>
      <c r="V171" s="882">
        <v>2669921</v>
      </c>
      <c r="W171" s="882">
        <v>2669921</v>
      </c>
    </row>
    <row r="172" spans="2:23" s="362" customFormat="1" ht="12.75">
      <c r="B172" s="356"/>
      <c r="C172" s="363"/>
      <c r="D172" s="358"/>
      <c r="E172" s="363"/>
      <c r="F172" s="374">
        <v>115</v>
      </c>
      <c r="G172" s="441">
        <v>463</v>
      </c>
      <c r="H172" s="354" t="s">
        <v>204</v>
      </c>
      <c r="I172" s="449"/>
      <c r="J172" s="450"/>
      <c r="K172" s="775">
        <v>500000</v>
      </c>
      <c r="L172" s="775">
        <v>180717.89</v>
      </c>
      <c r="M172" s="775">
        <v>510000</v>
      </c>
      <c r="N172" s="360">
        <v>0</v>
      </c>
      <c r="O172" s="417">
        <v>0</v>
      </c>
      <c r="P172" s="417">
        <v>0</v>
      </c>
      <c r="Q172" s="420">
        <v>0</v>
      </c>
      <c r="R172" s="417">
        <v>0</v>
      </c>
      <c r="S172" s="420">
        <v>0</v>
      </c>
      <c r="T172" s="420">
        <f t="shared" si="44"/>
        <v>0</v>
      </c>
      <c r="U172" s="628">
        <f t="shared" si="56"/>
        <v>510000</v>
      </c>
      <c r="V172" s="628">
        <v>510000</v>
      </c>
      <c r="W172" s="628">
        <v>510000</v>
      </c>
    </row>
    <row r="173" spans="2:23" s="362" customFormat="1" ht="12.75">
      <c r="B173" s="356"/>
      <c r="C173" s="363"/>
      <c r="D173" s="358"/>
      <c r="E173" s="363"/>
      <c r="F173" s="374">
        <v>116</v>
      </c>
      <c r="G173" s="441">
        <v>463</v>
      </c>
      <c r="H173" s="354" t="s">
        <v>100</v>
      </c>
      <c r="I173" s="449"/>
      <c r="J173" s="452"/>
      <c r="K173" s="971">
        <v>2227841</v>
      </c>
      <c r="L173" s="971">
        <v>418059.13</v>
      </c>
      <c r="M173" s="971">
        <v>2227841</v>
      </c>
      <c r="N173" s="360">
        <v>0</v>
      </c>
      <c r="O173" s="417">
        <v>0</v>
      </c>
      <c r="P173" s="417">
        <v>0</v>
      </c>
      <c r="Q173" s="420">
        <v>0</v>
      </c>
      <c r="R173" s="417">
        <v>0</v>
      </c>
      <c r="S173" s="420">
        <v>0</v>
      </c>
      <c r="T173" s="420">
        <f t="shared" si="44"/>
        <v>0</v>
      </c>
      <c r="U173" s="628">
        <f t="shared" si="56"/>
        <v>2227841</v>
      </c>
      <c r="V173" s="628">
        <v>2227841</v>
      </c>
      <c r="W173" s="628">
        <v>2227841</v>
      </c>
    </row>
    <row r="174" spans="2:23" s="362" customFormat="1" ht="12.75">
      <c r="B174" s="356"/>
      <c r="C174" s="363"/>
      <c r="D174" s="358"/>
      <c r="E174" s="363"/>
      <c r="F174" s="374">
        <v>117</v>
      </c>
      <c r="G174" s="441">
        <v>463</v>
      </c>
      <c r="H174" s="1188" t="s">
        <v>101</v>
      </c>
      <c r="I174" s="1189"/>
      <c r="J174" s="1190"/>
      <c r="K174" s="775">
        <v>2442500</v>
      </c>
      <c r="L174" s="775">
        <v>440636.32999999996</v>
      </c>
      <c r="M174" s="775">
        <v>1552500</v>
      </c>
      <c r="N174" s="360">
        <v>0</v>
      </c>
      <c r="O174" s="417">
        <v>0</v>
      </c>
      <c r="P174" s="417">
        <v>0</v>
      </c>
      <c r="Q174" s="420">
        <v>0</v>
      </c>
      <c r="R174" s="417">
        <v>0</v>
      </c>
      <c r="S174" s="420">
        <v>0</v>
      </c>
      <c r="T174" s="420">
        <f t="shared" si="44"/>
        <v>0</v>
      </c>
      <c r="U174" s="628">
        <f t="shared" si="56"/>
        <v>1552500</v>
      </c>
      <c r="V174" s="628">
        <v>1552500</v>
      </c>
      <c r="W174" s="628">
        <v>1552500</v>
      </c>
    </row>
    <row r="175" spans="2:23" s="362" customFormat="1" ht="12.75">
      <c r="B175" s="356"/>
      <c r="C175" s="363"/>
      <c r="D175" s="358"/>
      <c r="E175" s="363"/>
      <c r="F175" s="374">
        <v>118</v>
      </c>
      <c r="G175" s="441">
        <v>463</v>
      </c>
      <c r="H175" s="1188" t="s">
        <v>102</v>
      </c>
      <c r="I175" s="1189"/>
      <c r="J175" s="1190"/>
      <c r="K175" s="775">
        <v>443000</v>
      </c>
      <c r="L175" s="775">
        <v>63346</v>
      </c>
      <c r="M175" s="775">
        <v>443000</v>
      </c>
      <c r="N175" s="360">
        <v>0</v>
      </c>
      <c r="O175" s="417">
        <v>0</v>
      </c>
      <c r="P175" s="417">
        <v>0</v>
      </c>
      <c r="Q175" s="420">
        <v>0</v>
      </c>
      <c r="R175" s="417">
        <v>0</v>
      </c>
      <c r="S175" s="420">
        <v>0</v>
      </c>
      <c r="T175" s="420">
        <f t="shared" si="44"/>
        <v>0</v>
      </c>
      <c r="U175" s="628">
        <f t="shared" si="56"/>
        <v>443000</v>
      </c>
      <c r="V175" s="628">
        <v>443000</v>
      </c>
      <c r="W175" s="628">
        <v>443000</v>
      </c>
    </row>
    <row r="176" spans="2:23" s="362" customFormat="1" ht="12.75">
      <c r="B176" s="356"/>
      <c r="C176" s="363"/>
      <c r="D176" s="358"/>
      <c r="E176" s="363"/>
      <c r="F176" s="374">
        <v>119</v>
      </c>
      <c r="G176" s="441">
        <v>463</v>
      </c>
      <c r="H176" s="1188" t="s">
        <v>103</v>
      </c>
      <c r="I176" s="1189"/>
      <c r="J176" s="1190"/>
      <c r="K176" s="775">
        <v>210000</v>
      </c>
      <c r="L176" s="775">
        <v>11480</v>
      </c>
      <c r="M176" s="775">
        <v>210000</v>
      </c>
      <c r="N176" s="360">
        <v>0</v>
      </c>
      <c r="O176" s="417">
        <v>0</v>
      </c>
      <c r="P176" s="417">
        <v>0</v>
      </c>
      <c r="Q176" s="420">
        <v>0</v>
      </c>
      <c r="R176" s="417">
        <v>0</v>
      </c>
      <c r="S176" s="420">
        <v>0</v>
      </c>
      <c r="T176" s="420">
        <f t="shared" si="44"/>
        <v>0</v>
      </c>
      <c r="U176" s="628">
        <f t="shared" si="56"/>
        <v>210000</v>
      </c>
      <c r="V176" s="628">
        <v>210000</v>
      </c>
      <c r="W176" s="628">
        <v>210000</v>
      </c>
    </row>
    <row r="177" spans="2:23" s="362" customFormat="1" ht="12.75">
      <c r="B177" s="356"/>
      <c r="C177" s="363"/>
      <c r="D177" s="358"/>
      <c r="E177" s="363"/>
      <c r="F177" s="374">
        <v>120</v>
      </c>
      <c r="G177" s="441">
        <v>463</v>
      </c>
      <c r="H177" s="1188" t="s">
        <v>104</v>
      </c>
      <c r="I177" s="1189"/>
      <c r="J177" s="1190"/>
      <c r="K177" s="775">
        <v>1669200</v>
      </c>
      <c r="L177" s="775">
        <v>302088.7</v>
      </c>
      <c r="M177" s="775">
        <v>1659200</v>
      </c>
      <c r="N177" s="360">
        <v>0</v>
      </c>
      <c r="O177" s="417">
        <v>0</v>
      </c>
      <c r="P177" s="417">
        <v>0</v>
      </c>
      <c r="Q177" s="420">
        <v>0</v>
      </c>
      <c r="R177" s="417">
        <v>0</v>
      </c>
      <c r="S177" s="420">
        <v>0</v>
      </c>
      <c r="T177" s="420">
        <f t="shared" si="44"/>
        <v>0</v>
      </c>
      <c r="U177" s="628">
        <f t="shared" si="56"/>
        <v>1659200</v>
      </c>
      <c r="V177" s="628">
        <v>1659200</v>
      </c>
      <c r="W177" s="628">
        <v>1659200</v>
      </c>
    </row>
    <row r="178" spans="2:23" s="362" customFormat="1" ht="12.75">
      <c r="B178" s="356"/>
      <c r="C178" s="363"/>
      <c r="D178" s="358"/>
      <c r="E178" s="363"/>
      <c r="F178" s="374">
        <v>121</v>
      </c>
      <c r="G178" s="441">
        <v>463</v>
      </c>
      <c r="H178" s="1205" t="s">
        <v>105</v>
      </c>
      <c r="I178" s="1206"/>
      <c r="J178" s="1207"/>
      <c r="K178" s="775">
        <v>931100</v>
      </c>
      <c r="L178" s="775">
        <v>310173.68</v>
      </c>
      <c r="M178" s="775">
        <v>1375179</v>
      </c>
      <c r="N178" s="360">
        <v>0</v>
      </c>
      <c r="O178" s="417">
        <v>0</v>
      </c>
      <c r="P178" s="417">
        <v>0</v>
      </c>
      <c r="Q178" s="420">
        <v>0</v>
      </c>
      <c r="R178" s="417">
        <v>0</v>
      </c>
      <c r="S178" s="420">
        <v>0</v>
      </c>
      <c r="T178" s="420">
        <f t="shared" si="44"/>
        <v>0</v>
      </c>
      <c r="U178" s="628">
        <f t="shared" si="56"/>
        <v>1375179</v>
      </c>
      <c r="V178" s="628">
        <v>1375179</v>
      </c>
      <c r="W178" s="628">
        <v>1375179</v>
      </c>
    </row>
    <row r="179" spans="2:23" s="362" customFormat="1" ht="12.75">
      <c r="B179" s="356"/>
      <c r="C179" s="363"/>
      <c r="D179" s="358"/>
      <c r="E179" s="363"/>
      <c r="F179" s="374">
        <v>122</v>
      </c>
      <c r="G179" s="441">
        <v>463</v>
      </c>
      <c r="H179" s="1188" t="s">
        <v>106</v>
      </c>
      <c r="I179" s="1189"/>
      <c r="J179" s="1190"/>
      <c r="K179" s="775">
        <v>49000</v>
      </c>
      <c r="L179" s="775">
        <v>1880</v>
      </c>
      <c r="M179" s="775">
        <v>49000</v>
      </c>
      <c r="N179" s="360">
        <v>0</v>
      </c>
      <c r="O179" s="417">
        <v>0</v>
      </c>
      <c r="P179" s="417">
        <v>0</v>
      </c>
      <c r="Q179" s="420">
        <v>0</v>
      </c>
      <c r="R179" s="417">
        <v>0</v>
      </c>
      <c r="S179" s="420">
        <v>0</v>
      </c>
      <c r="T179" s="420">
        <f t="shared" si="44"/>
        <v>0</v>
      </c>
      <c r="U179" s="628">
        <f t="shared" si="56"/>
        <v>49000</v>
      </c>
      <c r="V179" s="628">
        <v>49000</v>
      </c>
      <c r="W179" s="628">
        <v>49000</v>
      </c>
    </row>
    <row r="180" spans="2:23" s="362" customFormat="1" ht="12.75">
      <c r="B180" s="356"/>
      <c r="C180" s="363"/>
      <c r="D180" s="358"/>
      <c r="E180" s="363"/>
      <c r="F180" s="374">
        <v>123</v>
      </c>
      <c r="G180" s="441">
        <v>463</v>
      </c>
      <c r="H180" s="1205" t="s">
        <v>1450</v>
      </c>
      <c r="I180" s="1206"/>
      <c r="J180" s="1207"/>
      <c r="K180" s="775">
        <v>400000</v>
      </c>
      <c r="L180" s="775">
        <v>380000</v>
      </c>
      <c r="M180" s="775">
        <v>380000</v>
      </c>
      <c r="N180" s="360">
        <v>0</v>
      </c>
      <c r="O180" s="545">
        <v>0</v>
      </c>
      <c r="P180" s="420">
        <v>0</v>
      </c>
      <c r="Q180" s="420">
        <v>0</v>
      </c>
      <c r="R180" s="417">
        <v>0</v>
      </c>
      <c r="S180" s="420">
        <v>0</v>
      </c>
      <c r="T180" s="420">
        <f t="shared" si="44"/>
        <v>0</v>
      </c>
      <c r="U180" s="628">
        <f t="shared" si="56"/>
        <v>380000</v>
      </c>
      <c r="V180" s="628">
        <v>380000</v>
      </c>
      <c r="W180" s="628">
        <v>380000</v>
      </c>
    </row>
    <row r="181" spans="2:23" s="362" customFormat="1" ht="12.75">
      <c r="B181" s="356"/>
      <c r="C181" s="363"/>
      <c r="D181" s="358"/>
      <c r="E181" s="363"/>
      <c r="F181" s="374">
        <v>124</v>
      </c>
      <c r="G181" s="441">
        <v>463</v>
      </c>
      <c r="H181" s="1205" t="s">
        <v>107</v>
      </c>
      <c r="I181" s="1206"/>
      <c r="J181" s="1207"/>
      <c r="K181" s="775">
        <v>1089000</v>
      </c>
      <c r="L181" s="775">
        <v>796810.1000000001</v>
      </c>
      <c r="M181" s="775">
        <v>1089000</v>
      </c>
      <c r="N181" s="360">
        <v>0</v>
      </c>
      <c r="O181" s="417">
        <v>0</v>
      </c>
      <c r="P181" s="417">
        <v>0</v>
      </c>
      <c r="Q181" s="420">
        <v>0</v>
      </c>
      <c r="R181" s="417">
        <v>0</v>
      </c>
      <c r="S181" s="420">
        <v>0</v>
      </c>
      <c r="T181" s="420">
        <f t="shared" si="44"/>
        <v>0</v>
      </c>
      <c r="U181" s="628">
        <f>SUM(M181:S181)</f>
        <v>1089000</v>
      </c>
      <c r="V181" s="628">
        <v>1089000</v>
      </c>
      <c r="W181" s="628">
        <v>1089000</v>
      </c>
    </row>
    <row r="182" spans="2:23" s="362" customFormat="1" ht="12.75">
      <c r="B182" s="375"/>
      <c r="C182" s="368"/>
      <c r="D182" s="369"/>
      <c r="E182" s="368"/>
      <c r="F182" s="374">
        <v>125</v>
      </c>
      <c r="G182" s="772">
        <v>463</v>
      </c>
      <c r="H182" s="747" t="s">
        <v>1385</v>
      </c>
      <c r="I182" s="748"/>
      <c r="J182" s="763"/>
      <c r="K182" s="378">
        <v>180000</v>
      </c>
      <c r="L182" s="378">
        <v>0</v>
      </c>
      <c r="M182" s="378">
        <v>70000</v>
      </c>
      <c r="N182" s="360">
        <v>0</v>
      </c>
      <c r="O182" s="360">
        <v>0</v>
      </c>
      <c r="P182" s="360">
        <v>0</v>
      </c>
      <c r="Q182" s="360">
        <v>0</v>
      </c>
      <c r="R182" s="360">
        <v>0</v>
      </c>
      <c r="S182" s="360">
        <v>0</v>
      </c>
      <c r="T182" s="429">
        <f t="shared" si="44"/>
        <v>0</v>
      </c>
      <c r="U182" s="628">
        <f>SUM(M182:S182)</f>
        <v>70000</v>
      </c>
      <c r="V182" s="628">
        <v>70000</v>
      </c>
      <c r="W182" s="628">
        <v>70000</v>
      </c>
    </row>
    <row r="183" spans="2:23" ht="13.5" customHeight="1">
      <c r="B183" s="287"/>
      <c r="C183" s="288"/>
      <c r="D183" s="435"/>
      <c r="E183" s="352" t="s">
        <v>295</v>
      </c>
      <c r="F183" s="435"/>
      <c r="G183" s="436"/>
      <c r="H183" s="1191" t="s">
        <v>1225</v>
      </c>
      <c r="I183" s="1192"/>
      <c r="J183" s="1193"/>
      <c r="K183" s="960">
        <f>K184</f>
        <v>6188600</v>
      </c>
      <c r="L183" s="960">
        <f>L184</f>
        <v>2984152.8799999994</v>
      </c>
      <c r="M183" s="960">
        <f>M184</f>
        <v>6188600</v>
      </c>
      <c r="N183" s="293">
        <f aca="true" t="shared" si="57" ref="N183:S183">N184</f>
        <v>0</v>
      </c>
      <c r="O183" s="293">
        <f t="shared" si="57"/>
        <v>0</v>
      </c>
      <c r="P183" s="293">
        <f t="shared" si="57"/>
        <v>0</v>
      </c>
      <c r="Q183" s="293">
        <f t="shared" si="57"/>
        <v>0</v>
      </c>
      <c r="R183" s="293">
        <f t="shared" si="57"/>
        <v>0</v>
      </c>
      <c r="S183" s="293">
        <f t="shared" si="57"/>
        <v>0</v>
      </c>
      <c r="T183" s="340">
        <f t="shared" si="44"/>
        <v>0</v>
      </c>
      <c r="U183" s="674">
        <f>SUM(M183:S183)</f>
        <v>6188600</v>
      </c>
      <c r="V183" s="674">
        <v>6188600</v>
      </c>
      <c r="W183" s="674">
        <v>6188600</v>
      </c>
    </row>
    <row r="184" spans="2:23" ht="12.75">
      <c r="B184" s="437"/>
      <c r="C184" s="438"/>
      <c r="D184" s="56">
        <v>912</v>
      </c>
      <c r="E184" s="58"/>
      <c r="F184" s="439"/>
      <c r="G184" s="440"/>
      <c r="H184" s="74" t="s">
        <v>97</v>
      </c>
      <c r="I184" s="75"/>
      <c r="J184" s="729"/>
      <c r="K184" s="183">
        <f>SUM(K185:K197)</f>
        <v>6188600</v>
      </c>
      <c r="L184" s="183">
        <f>SUM(L185:L197)</f>
        <v>2984152.8799999994</v>
      </c>
      <c r="M184" s="183">
        <f>SUM(M185:M197)</f>
        <v>6188600</v>
      </c>
      <c r="N184" s="183">
        <f aca="true" t="shared" si="58" ref="N184:S184">SUM(N185:N197)</f>
        <v>0</v>
      </c>
      <c r="O184" s="183">
        <f t="shared" si="58"/>
        <v>0</v>
      </c>
      <c r="P184" s="183">
        <f t="shared" si="58"/>
        <v>0</v>
      </c>
      <c r="Q184" s="183">
        <f t="shared" si="58"/>
        <v>0</v>
      </c>
      <c r="R184" s="183">
        <f t="shared" si="58"/>
        <v>0</v>
      </c>
      <c r="S184" s="183">
        <f t="shared" si="58"/>
        <v>0</v>
      </c>
      <c r="T184" s="345">
        <f t="shared" si="44"/>
        <v>0</v>
      </c>
      <c r="U184" s="876">
        <f>SUM(M184:S184)</f>
        <v>6188600</v>
      </c>
      <c r="V184" s="876">
        <v>6188600</v>
      </c>
      <c r="W184" s="876">
        <v>6188600</v>
      </c>
    </row>
    <row r="185" spans="2:23" s="362" customFormat="1" ht="12.75">
      <c r="B185" s="356"/>
      <c r="C185" s="363"/>
      <c r="D185" s="358"/>
      <c r="E185" s="363"/>
      <c r="F185" s="374">
        <v>126</v>
      </c>
      <c r="G185" s="441">
        <v>463</v>
      </c>
      <c r="H185" s="386" t="s">
        <v>98</v>
      </c>
      <c r="I185" s="442"/>
      <c r="J185" s="460"/>
      <c r="K185" s="979">
        <v>170000</v>
      </c>
      <c r="L185" s="979">
        <v>46053.03</v>
      </c>
      <c r="M185" s="979">
        <v>120000</v>
      </c>
      <c r="N185" s="360">
        <v>0</v>
      </c>
      <c r="O185" s="417">
        <v>0</v>
      </c>
      <c r="P185" s="417">
        <v>0</v>
      </c>
      <c r="Q185" s="420">
        <v>0</v>
      </c>
      <c r="R185" s="417">
        <v>0</v>
      </c>
      <c r="S185" s="420">
        <v>0</v>
      </c>
      <c r="T185" s="420">
        <f t="shared" si="44"/>
        <v>0</v>
      </c>
      <c r="U185" s="628">
        <f>SUM(M185:S185)</f>
        <v>120000</v>
      </c>
      <c r="V185" s="628">
        <v>120000</v>
      </c>
      <c r="W185" s="464">
        <v>120000</v>
      </c>
    </row>
    <row r="186" spans="2:23" s="362" customFormat="1" ht="12.75">
      <c r="B186" s="356"/>
      <c r="C186" s="363"/>
      <c r="D186" s="358"/>
      <c r="E186" s="363"/>
      <c r="F186" s="374">
        <v>127</v>
      </c>
      <c r="G186" s="441">
        <v>463</v>
      </c>
      <c r="H186" s="1248" t="s">
        <v>99</v>
      </c>
      <c r="I186" s="1249"/>
      <c r="J186" s="1250"/>
      <c r="K186" s="958">
        <v>1105000</v>
      </c>
      <c r="L186" s="958">
        <v>402756.17</v>
      </c>
      <c r="M186" s="958">
        <v>1430000</v>
      </c>
      <c r="N186" s="360">
        <v>0</v>
      </c>
      <c r="O186" s="417">
        <v>0</v>
      </c>
      <c r="P186" s="417">
        <v>0</v>
      </c>
      <c r="Q186" s="420">
        <v>0</v>
      </c>
      <c r="R186" s="417">
        <v>0</v>
      </c>
      <c r="S186" s="420">
        <v>0</v>
      </c>
      <c r="T186" s="420">
        <f t="shared" si="44"/>
        <v>0</v>
      </c>
      <c r="U186" s="628">
        <f aca="true" t="shared" si="59" ref="U186:U193">SUM(M186:S186)</f>
        <v>1430000</v>
      </c>
      <c r="V186" s="628">
        <v>1430000</v>
      </c>
      <c r="W186" s="464">
        <v>1430000</v>
      </c>
    </row>
    <row r="187" spans="2:23" s="362" customFormat="1" ht="12.75">
      <c r="B187" s="356"/>
      <c r="C187" s="363"/>
      <c r="D187" s="358"/>
      <c r="E187" s="363"/>
      <c r="F187" s="374">
        <v>128</v>
      </c>
      <c r="G187" s="441">
        <v>463</v>
      </c>
      <c r="H187" s="386" t="s">
        <v>204</v>
      </c>
      <c r="I187" s="442"/>
      <c r="J187" s="443"/>
      <c r="K187" s="958">
        <v>330000</v>
      </c>
      <c r="L187" s="958">
        <v>84609.89</v>
      </c>
      <c r="M187" s="958">
        <v>482000</v>
      </c>
      <c r="N187" s="360">
        <v>0</v>
      </c>
      <c r="O187" s="417">
        <v>0</v>
      </c>
      <c r="P187" s="417">
        <v>0</v>
      </c>
      <c r="Q187" s="420">
        <v>0</v>
      </c>
      <c r="R187" s="417">
        <v>0</v>
      </c>
      <c r="S187" s="420">
        <v>0</v>
      </c>
      <c r="T187" s="420">
        <f t="shared" si="44"/>
        <v>0</v>
      </c>
      <c r="U187" s="628">
        <f t="shared" si="59"/>
        <v>482000</v>
      </c>
      <c r="V187" s="628">
        <v>482000</v>
      </c>
      <c r="W187" s="464">
        <v>482000</v>
      </c>
    </row>
    <row r="188" spans="2:23" s="362" customFormat="1" ht="12.75">
      <c r="B188" s="356"/>
      <c r="C188" s="363"/>
      <c r="D188" s="358"/>
      <c r="E188" s="363"/>
      <c r="F188" s="374">
        <v>129</v>
      </c>
      <c r="G188" s="441">
        <v>463</v>
      </c>
      <c r="H188" s="1202" t="s">
        <v>100</v>
      </c>
      <c r="I188" s="1203"/>
      <c r="J188" s="1204"/>
      <c r="K188" s="958">
        <v>2468000</v>
      </c>
      <c r="L188" s="958">
        <v>1779630.4699999997</v>
      </c>
      <c r="M188" s="958">
        <v>2844000</v>
      </c>
      <c r="N188" s="360">
        <v>0</v>
      </c>
      <c r="O188" s="417">
        <v>0</v>
      </c>
      <c r="P188" s="417">
        <v>0</v>
      </c>
      <c r="Q188" s="420">
        <v>0</v>
      </c>
      <c r="R188" s="417">
        <v>0</v>
      </c>
      <c r="S188" s="420">
        <v>0</v>
      </c>
      <c r="T188" s="420">
        <f t="shared" si="44"/>
        <v>0</v>
      </c>
      <c r="U188" s="628">
        <f t="shared" si="59"/>
        <v>2844000</v>
      </c>
      <c r="V188" s="628">
        <v>2844000</v>
      </c>
      <c r="W188" s="464">
        <v>2844000</v>
      </c>
    </row>
    <row r="189" spans="2:23" s="362" customFormat="1" ht="12.75">
      <c r="B189" s="356"/>
      <c r="C189" s="363"/>
      <c r="D189" s="358"/>
      <c r="E189" s="363"/>
      <c r="F189" s="374">
        <v>130</v>
      </c>
      <c r="G189" s="441">
        <v>463</v>
      </c>
      <c r="H189" s="373" t="s">
        <v>101</v>
      </c>
      <c r="I189" s="444"/>
      <c r="J189" s="445"/>
      <c r="K189" s="958">
        <v>135000</v>
      </c>
      <c r="L189" s="958">
        <v>0</v>
      </c>
      <c r="M189" s="958">
        <v>100000</v>
      </c>
      <c r="N189" s="360">
        <v>0</v>
      </c>
      <c r="O189" s="417">
        <v>0</v>
      </c>
      <c r="P189" s="417">
        <v>0</v>
      </c>
      <c r="Q189" s="420">
        <v>0</v>
      </c>
      <c r="R189" s="417">
        <v>0</v>
      </c>
      <c r="S189" s="420">
        <v>0</v>
      </c>
      <c r="T189" s="420">
        <f t="shared" si="44"/>
        <v>0</v>
      </c>
      <c r="U189" s="628">
        <f t="shared" si="59"/>
        <v>100000</v>
      </c>
      <c r="V189" s="628">
        <v>100000</v>
      </c>
      <c r="W189" s="464">
        <v>100000</v>
      </c>
    </row>
    <row r="190" spans="2:23" s="362" customFormat="1" ht="12.75">
      <c r="B190" s="356"/>
      <c r="C190" s="363"/>
      <c r="D190" s="358"/>
      <c r="E190" s="363"/>
      <c r="F190" s="374">
        <v>131</v>
      </c>
      <c r="G190" s="441">
        <v>463</v>
      </c>
      <c r="H190" s="386" t="s">
        <v>102</v>
      </c>
      <c r="I190" s="442"/>
      <c r="J190" s="443"/>
      <c r="K190" s="958">
        <v>166000</v>
      </c>
      <c r="L190" s="958">
        <v>77373.26000000001</v>
      </c>
      <c r="M190" s="958">
        <v>186000</v>
      </c>
      <c r="N190" s="360">
        <v>0</v>
      </c>
      <c r="O190" s="417">
        <v>0</v>
      </c>
      <c r="P190" s="417">
        <v>0</v>
      </c>
      <c r="Q190" s="417">
        <v>0</v>
      </c>
      <c r="R190" s="417">
        <v>0</v>
      </c>
      <c r="S190" s="417">
        <v>0</v>
      </c>
      <c r="T190" s="420">
        <f t="shared" si="44"/>
        <v>0</v>
      </c>
      <c r="U190" s="628">
        <f t="shared" si="59"/>
        <v>186000</v>
      </c>
      <c r="V190" s="628">
        <v>186000</v>
      </c>
      <c r="W190" s="464">
        <v>186000</v>
      </c>
    </row>
    <row r="191" spans="2:23" s="362" customFormat="1" ht="12.75">
      <c r="B191" s="356"/>
      <c r="C191" s="363"/>
      <c r="D191" s="358"/>
      <c r="E191" s="363"/>
      <c r="F191" s="374">
        <v>132</v>
      </c>
      <c r="G191" s="441">
        <v>463</v>
      </c>
      <c r="H191" s="1248" t="s">
        <v>103</v>
      </c>
      <c r="I191" s="1249"/>
      <c r="J191" s="1250"/>
      <c r="K191" s="958">
        <v>140000</v>
      </c>
      <c r="L191" s="958">
        <v>71780</v>
      </c>
      <c r="M191" s="958">
        <v>120000</v>
      </c>
      <c r="N191" s="360">
        <v>0</v>
      </c>
      <c r="O191" s="417">
        <v>0</v>
      </c>
      <c r="P191" s="417">
        <v>0</v>
      </c>
      <c r="Q191" s="420">
        <v>0</v>
      </c>
      <c r="R191" s="417">
        <v>0</v>
      </c>
      <c r="S191" s="420">
        <v>0</v>
      </c>
      <c r="T191" s="420">
        <f t="shared" si="44"/>
        <v>0</v>
      </c>
      <c r="U191" s="628">
        <f t="shared" si="59"/>
        <v>120000</v>
      </c>
      <c r="V191" s="628">
        <v>120000</v>
      </c>
      <c r="W191" s="464">
        <v>120000</v>
      </c>
    </row>
    <row r="192" spans="2:23" s="362" customFormat="1" ht="12.75">
      <c r="B192" s="356"/>
      <c r="C192" s="363"/>
      <c r="D192" s="358"/>
      <c r="E192" s="363"/>
      <c r="F192" s="374">
        <v>133</v>
      </c>
      <c r="G192" s="441">
        <v>463</v>
      </c>
      <c r="H192" s="1248" t="s">
        <v>104</v>
      </c>
      <c r="I192" s="1249"/>
      <c r="J192" s="1250"/>
      <c r="K192" s="959">
        <v>200000</v>
      </c>
      <c r="L192" s="959">
        <v>28021.61</v>
      </c>
      <c r="M192" s="959">
        <v>111600</v>
      </c>
      <c r="N192" s="360">
        <v>0</v>
      </c>
      <c r="O192" s="417">
        <v>0</v>
      </c>
      <c r="P192" s="417">
        <v>0</v>
      </c>
      <c r="Q192" s="420">
        <v>0</v>
      </c>
      <c r="R192" s="417">
        <v>0</v>
      </c>
      <c r="S192" s="420">
        <v>0</v>
      </c>
      <c r="T192" s="420">
        <f t="shared" si="44"/>
        <v>0</v>
      </c>
      <c r="U192" s="628">
        <f t="shared" si="59"/>
        <v>111600</v>
      </c>
      <c r="V192" s="628">
        <v>111600</v>
      </c>
      <c r="W192" s="464">
        <v>111600</v>
      </c>
    </row>
    <row r="193" spans="2:23" s="362" customFormat="1" ht="12.75">
      <c r="B193" s="356"/>
      <c r="C193" s="363"/>
      <c r="D193" s="358"/>
      <c r="E193" s="363"/>
      <c r="F193" s="374">
        <v>134</v>
      </c>
      <c r="G193" s="441">
        <v>463</v>
      </c>
      <c r="H193" s="1248" t="s">
        <v>105</v>
      </c>
      <c r="I193" s="1249"/>
      <c r="J193" s="484"/>
      <c r="K193" s="1139">
        <v>650000</v>
      </c>
      <c r="L193" s="1139">
        <v>424779.45</v>
      </c>
      <c r="M193" s="1139">
        <v>650000</v>
      </c>
      <c r="N193" s="360">
        <v>0</v>
      </c>
      <c r="O193" s="417">
        <v>0</v>
      </c>
      <c r="P193" s="417">
        <v>0</v>
      </c>
      <c r="Q193" s="420">
        <v>0</v>
      </c>
      <c r="R193" s="417">
        <v>0</v>
      </c>
      <c r="S193" s="420">
        <v>0</v>
      </c>
      <c r="T193" s="420">
        <f t="shared" si="44"/>
        <v>0</v>
      </c>
      <c r="U193" s="628">
        <f t="shared" si="59"/>
        <v>650000</v>
      </c>
      <c r="V193" s="628">
        <v>650000</v>
      </c>
      <c r="W193" s="464">
        <v>650000</v>
      </c>
    </row>
    <row r="194" spans="2:23" s="362" customFormat="1" ht="12.75">
      <c r="B194" s="356"/>
      <c r="C194" s="363"/>
      <c r="D194" s="358"/>
      <c r="E194" s="363"/>
      <c r="F194" s="374">
        <v>135</v>
      </c>
      <c r="G194" s="544">
        <v>463</v>
      </c>
      <c r="H194" s="1362" t="s">
        <v>106</v>
      </c>
      <c r="I194" s="1335"/>
      <c r="J194" s="1335"/>
      <c r="K194" s="999">
        <v>50000</v>
      </c>
      <c r="L194" s="999">
        <v>27749</v>
      </c>
      <c r="M194" s="999">
        <v>50000</v>
      </c>
      <c r="N194" s="746">
        <v>0</v>
      </c>
      <c r="O194" s="545">
        <v>0</v>
      </c>
      <c r="P194" s="545">
        <v>0</v>
      </c>
      <c r="Q194" s="458">
        <v>0</v>
      </c>
      <c r="R194" s="545">
        <v>0</v>
      </c>
      <c r="S194" s="458">
        <v>0</v>
      </c>
      <c r="T194" s="458">
        <f t="shared" si="44"/>
        <v>0</v>
      </c>
      <c r="U194" s="628">
        <f aca="true" t="shared" si="60" ref="U194:U200">SUM(M194:S194)</f>
        <v>50000</v>
      </c>
      <c r="V194" s="628">
        <v>50000</v>
      </c>
      <c r="W194" s="464">
        <v>50000</v>
      </c>
    </row>
    <row r="195" spans="2:23" s="362" customFormat="1" ht="12.75">
      <c r="B195" s="375"/>
      <c r="C195" s="368"/>
      <c r="D195" s="369"/>
      <c r="E195" s="368"/>
      <c r="F195" s="439">
        <v>136</v>
      </c>
      <c r="G195" s="774">
        <v>463</v>
      </c>
      <c r="H195" s="1259" t="s">
        <v>1364</v>
      </c>
      <c r="I195" s="1260"/>
      <c r="J195" s="1260"/>
      <c r="K195" s="999">
        <v>410000</v>
      </c>
      <c r="L195" s="999">
        <v>0</v>
      </c>
      <c r="M195" s="999">
        <v>0</v>
      </c>
      <c r="N195" s="1137">
        <v>0</v>
      </c>
      <c r="O195" s="464">
        <v>0</v>
      </c>
      <c r="P195" s="464">
        <v>0</v>
      </c>
      <c r="Q195" s="836">
        <v>0</v>
      </c>
      <c r="R195" s="833">
        <v>0</v>
      </c>
      <c r="S195" s="834">
        <v>0</v>
      </c>
      <c r="T195" s="835">
        <f t="shared" si="44"/>
        <v>0</v>
      </c>
      <c r="U195" s="628">
        <f t="shared" si="60"/>
        <v>0</v>
      </c>
      <c r="V195" s="628">
        <v>0</v>
      </c>
      <c r="W195" s="464">
        <v>0</v>
      </c>
    </row>
    <row r="196" spans="2:23" s="362" customFormat="1" ht="12.75">
      <c r="B196" s="375"/>
      <c r="C196" s="368"/>
      <c r="D196" s="369"/>
      <c r="E196" s="368"/>
      <c r="F196" s="439">
        <v>137</v>
      </c>
      <c r="G196" s="773">
        <v>463</v>
      </c>
      <c r="H196" s="825" t="s">
        <v>1473</v>
      </c>
      <c r="I196" s="826"/>
      <c r="J196" s="826"/>
      <c r="K196" s="999">
        <v>119000</v>
      </c>
      <c r="L196" s="999">
        <v>41400</v>
      </c>
      <c r="M196" s="999">
        <v>45000</v>
      </c>
      <c r="N196" s="1137">
        <v>0</v>
      </c>
      <c r="O196" s="464">
        <v>0</v>
      </c>
      <c r="P196" s="464">
        <v>0</v>
      </c>
      <c r="Q196" s="464">
        <v>0</v>
      </c>
      <c r="R196" s="464">
        <v>0</v>
      </c>
      <c r="S196" s="464">
        <v>0</v>
      </c>
      <c r="T196" s="832">
        <f t="shared" si="44"/>
        <v>0</v>
      </c>
      <c r="U196" s="628">
        <f t="shared" si="60"/>
        <v>45000</v>
      </c>
      <c r="V196" s="628">
        <v>45000</v>
      </c>
      <c r="W196" s="464">
        <v>45000</v>
      </c>
    </row>
    <row r="197" spans="2:23" s="362" customFormat="1" ht="12.75">
      <c r="B197" s="375"/>
      <c r="C197" s="368"/>
      <c r="D197" s="369"/>
      <c r="E197" s="368"/>
      <c r="F197" s="439">
        <v>138</v>
      </c>
      <c r="G197" s="773">
        <v>463</v>
      </c>
      <c r="H197" s="1259" t="s">
        <v>1469</v>
      </c>
      <c r="I197" s="1260"/>
      <c r="J197" s="1260"/>
      <c r="K197" s="999">
        <v>245600</v>
      </c>
      <c r="L197" s="999">
        <v>0</v>
      </c>
      <c r="M197" s="999">
        <v>50000</v>
      </c>
      <c r="N197" s="1138">
        <v>0</v>
      </c>
      <c r="O197" s="831">
        <v>0</v>
      </c>
      <c r="P197" s="831">
        <v>0</v>
      </c>
      <c r="Q197" s="464">
        <v>0</v>
      </c>
      <c r="R197" s="464">
        <v>0</v>
      </c>
      <c r="S197" s="464">
        <v>0</v>
      </c>
      <c r="T197" s="429">
        <f t="shared" si="44"/>
        <v>0</v>
      </c>
      <c r="U197" s="628">
        <f t="shared" si="60"/>
        <v>50000</v>
      </c>
      <c r="V197" s="628">
        <v>50000</v>
      </c>
      <c r="W197" s="464">
        <v>50000</v>
      </c>
    </row>
    <row r="198" spans="2:23" ht="12.75">
      <c r="B198" s="287"/>
      <c r="C198" s="288"/>
      <c r="D198" s="435"/>
      <c r="E198" s="630" t="s">
        <v>296</v>
      </c>
      <c r="F198" s="435"/>
      <c r="G198" s="436"/>
      <c r="H198" s="1211" t="s">
        <v>1279</v>
      </c>
      <c r="I198" s="1212"/>
      <c r="J198" s="1212"/>
      <c r="K198" s="1140">
        <f aca="true" t="shared" si="61" ref="K198:S199">K199</f>
        <v>5437550</v>
      </c>
      <c r="L198" s="1140">
        <f t="shared" si="61"/>
        <v>3333699.33</v>
      </c>
      <c r="M198" s="1140">
        <f t="shared" si="61"/>
        <v>5437550</v>
      </c>
      <c r="N198" s="289">
        <f t="shared" si="61"/>
        <v>0</v>
      </c>
      <c r="O198" s="289">
        <f t="shared" si="61"/>
        <v>0</v>
      </c>
      <c r="P198" s="289">
        <f t="shared" si="61"/>
        <v>0</v>
      </c>
      <c r="Q198" s="289">
        <f t="shared" si="61"/>
        <v>0</v>
      </c>
      <c r="R198" s="289">
        <f t="shared" si="61"/>
        <v>0</v>
      </c>
      <c r="S198" s="289">
        <f t="shared" si="61"/>
        <v>0</v>
      </c>
      <c r="T198" s="339">
        <f t="shared" si="44"/>
        <v>0</v>
      </c>
      <c r="U198" s="674">
        <f t="shared" si="60"/>
        <v>5437550</v>
      </c>
      <c r="V198" s="674">
        <v>5437550</v>
      </c>
      <c r="W198" s="674">
        <v>5437550</v>
      </c>
    </row>
    <row r="199" spans="2:23" ht="13.5" customHeight="1">
      <c r="B199" s="287"/>
      <c r="C199" s="288"/>
      <c r="D199" s="435"/>
      <c r="E199" s="352" t="s">
        <v>299</v>
      </c>
      <c r="F199" s="435"/>
      <c r="G199" s="436"/>
      <c r="H199" s="1191" t="s">
        <v>1226</v>
      </c>
      <c r="I199" s="1192"/>
      <c r="J199" s="1192"/>
      <c r="K199" s="1129">
        <f t="shared" si="61"/>
        <v>5437550</v>
      </c>
      <c r="L199" s="1129">
        <f t="shared" si="61"/>
        <v>3333699.33</v>
      </c>
      <c r="M199" s="1129">
        <f t="shared" si="61"/>
        <v>5437550</v>
      </c>
      <c r="N199" s="293">
        <f t="shared" si="61"/>
        <v>0</v>
      </c>
      <c r="O199" s="293">
        <f t="shared" si="61"/>
        <v>0</v>
      </c>
      <c r="P199" s="293">
        <f t="shared" si="61"/>
        <v>0</v>
      </c>
      <c r="Q199" s="293">
        <f t="shared" si="61"/>
        <v>0</v>
      </c>
      <c r="R199" s="293">
        <f t="shared" si="61"/>
        <v>0</v>
      </c>
      <c r="S199" s="293">
        <f t="shared" si="61"/>
        <v>0</v>
      </c>
      <c r="T199" s="340">
        <f t="shared" si="44"/>
        <v>0</v>
      </c>
      <c r="U199" s="674">
        <f t="shared" si="60"/>
        <v>5437550</v>
      </c>
      <c r="V199" s="674">
        <v>5437550</v>
      </c>
      <c r="W199" s="674">
        <v>5437550</v>
      </c>
    </row>
    <row r="200" spans="2:23" ht="12.75">
      <c r="B200" s="437"/>
      <c r="C200" s="438"/>
      <c r="D200" s="56">
        <v>920</v>
      </c>
      <c r="E200" s="58"/>
      <c r="F200" s="439"/>
      <c r="G200" s="440"/>
      <c r="H200" s="1185" t="s">
        <v>108</v>
      </c>
      <c r="I200" s="1186"/>
      <c r="J200" s="1187"/>
      <c r="K200" s="780">
        <f>SUM(K201:K211)</f>
        <v>5437550</v>
      </c>
      <c r="L200" s="780">
        <f>SUM(L201:L211)</f>
        <v>3333699.33</v>
      </c>
      <c r="M200" s="780">
        <f>SUM(M201:M211)</f>
        <v>5437550</v>
      </c>
      <c r="N200" s="69">
        <f aca="true" t="shared" si="62" ref="N200:S200">SUM(N201:N211)</f>
        <v>0</v>
      </c>
      <c r="O200" s="69">
        <f t="shared" si="62"/>
        <v>0</v>
      </c>
      <c r="P200" s="69">
        <f t="shared" si="62"/>
        <v>0</v>
      </c>
      <c r="Q200" s="69">
        <f t="shared" si="62"/>
        <v>0</v>
      </c>
      <c r="R200" s="69">
        <f t="shared" si="62"/>
        <v>0</v>
      </c>
      <c r="S200" s="69">
        <f t="shared" si="62"/>
        <v>0</v>
      </c>
      <c r="T200" s="343">
        <f t="shared" si="44"/>
        <v>0</v>
      </c>
      <c r="U200" s="876">
        <f t="shared" si="60"/>
        <v>5437550</v>
      </c>
      <c r="V200" s="876">
        <v>5437550</v>
      </c>
      <c r="W200" s="876">
        <v>5437550</v>
      </c>
    </row>
    <row r="201" spans="2:23" ht="12.75">
      <c r="B201" s="437"/>
      <c r="C201" s="438"/>
      <c r="D201" s="54"/>
      <c r="E201" s="58"/>
      <c r="F201" s="439">
        <v>139</v>
      </c>
      <c r="G201" s="455">
        <v>463</v>
      </c>
      <c r="H201" s="1248" t="s">
        <v>223</v>
      </c>
      <c r="I201" s="1249"/>
      <c r="J201" s="1250"/>
      <c r="K201" s="958">
        <v>30000</v>
      </c>
      <c r="L201" s="958">
        <v>27636.26</v>
      </c>
      <c r="M201" s="958">
        <v>30000</v>
      </c>
      <c r="N201" s="360">
        <v>0</v>
      </c>
      <c r="O201" s="410">
        <v>0</v>
      </c>
      <c r="P201" s="410">
        <v>0</v>
      </c>
      <c r="Q201" s="423">
        <v>0</v>
      </c>
      <c r="R201" s="417">
        <v>0</v>
      </c>
      <c r="S201" s="423">
        <v>0</v>
      </c>
      <c r="T201" s="423">
        <f t="shared" si="44"/>
        <v>0</v>
      </c>
      <c r="U201" s="628">
        <f aca="true" t="shared" si="63" ref="U201:U214">SUM(M201:S201)</f>
        <v>30000</v>
      </c>
      <c r="V201" s="628">
        <v>30000</v>
      </c>
      <c r="W201" s="628">
        <v>30000</v>
      </c>
    </row>
    <row r="202" spans="2:23" s="362" customFormat="1" ht="12.75">
      <c r="B202" s="356"/>
      <c r="C202" s="363"/>
      <c r="D202" s="358"/>
      <c r="E202" s="363"/>
      <c r="F202" s="439">
        <v>140</v>
      </c>
      <c r="G202" s="441">
        <v>463</v>
      </c>
      <c r="H202" s="1248" t="s">
        <v>109</v>
      </c>
      <c r="I202" s="1249"/>
      <c r="J202" s="1250"/>
      <c r="K202" s="958">
        <v>1215000</v>
      </c>
      <c r="L202" s="958">
        <v>567666.9</v>
      </c>
      <c r="M202" s="958">
        <v>1616112</v>
      </c>
      <c r="N202" s="360">
        <v>0</v>
      </c>
      <c r="O202" s="417">
        <v>0</v>
      </c>
      <c r="P202" s="417">
        <v>0</v>
      </c>
      <c r="Q202" s="420">
        <v>0</v>
      </c>
      <c r="R202" s="417">
        <v>0</v>
      </c>
      <c r="S202" s="420">
        <v>0</v>
      </c>
      <c r="T202" s="420">
        <f t="shared" si="44"/>
        <v>0</v>
      </c>
      <c r="U202" s="628">
        <f t="shared" si="63"/>
        <v>1616112</v>
      </c>
      <c r="V202" s="628">
        <v>1616112</v>
      </c>
      <c r="W202" s="628">
        <v>1616112</v>
      </c>
    </row>
    <row r="203" spans="2:23" s="362" customFormat="1" ht="12.75">
      <c r="B203" s="356"/>
      <c r="C203" s="363"/>
      <c r="D203" s="358"/>
      <c r="E203" s="363"/>
      <c r="F203" s="439">
        <v>141</v>
      </c>
      <c r="G203" s="441">
        <v>463</v>
      </c>
      <c r="H203" s="386" t="s">
        <v>204</v>
      </c>
      <c r="I203" s="442"/>
      <c r="J203" s="443"/>
      <c r="K203" s="958">
        <v>526073</v>
      </c>
      <c r="L203" s="958">
        <v>526072.88</v>
      </c>
      <c r="M203" s="958">
        <v>434000</v>
      </c>
      <c r="N203" s="360">
        <v>0</v>
      </c>
      <c r="O203" s="417">
        <v>0</v>
      </c>
      <c r="P203" s="417">
        <v>0</v>
      </c>
      <c r="Q203" s="420">
        <v>0</v>
      </c>
      <c r="R203" s="417">
        <v>0</v>
      </c>
      <c r="S203" s="420">
        <v>0</v>
      </c>
      <c r="T203" s="420">
        <f t="shared" si="44"/>
        <v>0</v>
      </c>
      <c r="U203" s="628">
        <f t="shared" si="63"/>
        <v>434000</v>
      </c>
      <c r="V203" s="628">
        <v>434000</v>
      </c>
      <c r="W203" s="628">
        <v>434000</v>
      </c>
    </row>
    <row r="204" spans="2:23" s="362" customFormat="1" ht="12.75">
      <c r="B204" s="356"/>
      <c r="C204" s="363"/>
      <c r="D204" s="358"/>
      <c r="E204" s="363"/>
      <c r="F204" s="439">
        <v>142</v>
      </c>
      <c r="G204" s="441">
        <v>463</v>
      </c>
      <c r="H204" s="1248" t="s">
        <v>100</v>
      </c>
      <c r="I204" s="1249"/>
      <c r="J204" s="1250"/>
      <c r="K204" s="958">
        <v>1912000</v>
      </c>
      <c r="L204" s="958">
        <v>1022564.4899999996</v>
      </c>
      <c r="M204" s="958">
        <v>1510888</v>
      </c>
      <c r="N204" s="360">
        <v>0</v>
      </c>
      <c r="O204" s="417">
        <v>0</v>
      </c>
      <c r="P204" s="417">
        <v>0</v>
      </c>
      <c r="Q204" s="420">
        <v>0</v>
      </c>
      <c r="R204" s="417">
        <v>0</v>
      </c>
      <c r="S204" s="420">
        <v>0</v>
      </c>
      <c r="T204" s="420">
        <f t="shared" si="44"/>
        <v>0</v>
      </c>
      <c r="U204" s="628">
        <f t="shared" si="63"/>
        <v>1510888</v>
      </c>
      <c r="V204" s="628">
        <v>1510888</v>
      </c>
      <c r="W204" s="628">
        <v>1510888</v>
      </c>
    </row>
    <row r="205" spans="2:23" s="362" customFormat="1" ht="12.75">
      <c r="B205" s="356"/>
      <c r="C205" s="363"/>
      <c r="D205" s="358"/>
      <c r="E205" s="363"/>
      <c r="F205" s="439">
        <v>143</v>
      </c>
      <c r="G205" s="441">
        <v>463</v>
      </c>
      <c r="H205" s="1248" t="s">
        <v>101</v>
      </c>
      <c r="I205" s="1249"/>
      <c r="J205" s="1250"/>
      <c r="K205" s="958">
        <v>70000</v>
      </c>
      <c r="L205" s="958">
        <v>6500</v>
      </c>
      <c r="M205" s="958">
        <v>70000</v>
      </c>
      <c r="N205" s="360">
        <v>0</v>
      </c>
      <c r="O205" s="417">
        <v>0</v>
      </c>
      <c r="P205" s="417">
        <v>0</v>
      </c>
      <c r="Q205" s="420">
        <v>0</v>
      </c>
      <c r="R205" s="417">
        <v>0</v>
      </c>
      <c r="S205" s="420">
        <v>0</v>
      </c>
      <c r="T205" s="420">
        <f aca="true" t="shared" si="64" ref="T205:T276">SUM(N205:S205)</f>
        <v>0</v>
      </c>
      <c r="U205" s="628">
        <f t="shared" si="63"/>
        <v>70000</v>
      </c>
      <c r="V205" s="628">
        <v>70000</v>
      </c>
      <c r="W205" s="628">
        <v>70000</v>
      </c>
    </row>
    <row r="206" spans="2:23" s="362" customFormat="1" ht="12.75">
      <c r="B206" s="356"/>
      <c r="C206" s="363"/>
      <c r="D206" s="358"/>
      <c r="E206" s="363"/>
      <c r="F206" s="439">
        <v>144</v>
      </c>
      <c r="G206" s="441">
        <v>463</v>
      </c>
      <c r="H206" s="1248" t="s">
        <v>102</v>
      </c>
      <c r="I206" s="1249"/>
      <c r="J206" s="1250"/>
      <c r="K206" s="958">
        <v>206550</v>
      </c>
      <c r="L206" s="958">
        <v>129900</v>
      </c>
      <c r="M206" s="958">
        <v>206550</v>
      </c>
      <c r="N206" s="360">
        <v>0</v>
      </c>
      <c r="O206" s="417">
        <v>0</v>
      </c>
      <c r="P206" s="417">
        <v>0</v>
      </c>
      <c r="Q206" s="420">
        <v>0</v>
      </c>
      <c r="R206" s="417">
        <v>0</v>
      </c>
      <c r="S206" s="420">
        <v>0</v>
      </c>
      <c r="T206" s="420">
        <f t="shared" si="64"/>
        <v>0</v>
      </c>
      <c r="U206" s="628">
        <f t="shared" si="63"/>
        <v>206550</v>
      </c>
      <c r="V206" s="628">
        <v>206550</v>
      </c>
      <c r="W206" s="628">
        <v>206550</v>
      </c>
    </row>
    <row r="207" spans="2:23" s="362" customFormat="1" ht="12.75">
      <c r="B207" s="356"/>
      <c r="C207" s="363"/>
      <c r="D207" s="358"/>
      <c r="E207" s="363"/>
      <c r="F207" s="439">
        <v>145</v>
      </c>
      <c r="G207" s="441">
        <v>463</v>
      </c>
      <c r="H207" s="386" t="s">
        <v>103</v>
      </c>
      <c r="I207" s="442"/>
      <c r="J207" s="443"/>
      <c r="K207" s="958">
        <v>50000</v>
      </c>
      <c r="L207" s="958">
        <v>0</v>
      </c>
      <c r="M207" s="958">
        <v>50000</v>
      </c>
      <c r="N207" s="360">
        <v>0</v>
      </c>
      <c r="O207" s="417">
        <v>0</v>
      </c>
      <c r="P207" s="417">
        <v>0</v>
      </c>
      <c r="Q207" s="420">
        <v>0</v>
      </c>
      <c r="R207" s="417">
        <v>0</v>
      </c>
      <c r="S207" s="420">
        <v>0</v>
      </c>
      <c r="T207" s="420">
        <f t="shared" si="64"/>
        <v>0</v>
      </c>
      <c r="U207" s="628">
        <f t="shared" si="63"/>
        <v>50000</v>
      </c>
      <c r="V207" s="628">
        <v>50000</v>
      </c>
      <c r="W207" s="628">
        <v>50000</v>
      </c>
    </row>
    <row r="208" spans="2:23" s="362" customFormat="1" ht="12.75">
      <c r="B208" s="356"/>
      <c r="C208" s="363"/>
      <c r="D208" s="358"/>
      <c r="E208" s="363"/>
      <c r="F208" s="439">
        <v>146</v>
      </c>
      <c r="G208" s="441">
        <v>463</v>
      </c>
      <c r="H208" s="1248" t="s">
        <v>104</v>
      </c>
      <c r="I208" s="1249"/>
      <c r="J208" s="1250"/>
      <c r="K208" s="958">
        <v>473620</v>
      </c>
      <c r="L208" s="958">
        <v>224653</v>
      </c>
      <c r="M208" s="958">
        <v>500000</v>
      </c>
      <c r="N208" s="360">
        <v>0</v>
      </c>
      <c r="O208" s="417">
        <v>0</v>
      </c>
      <c r="P208" s="417">
        <v>0</v>
      </c>
      <c r="Q208" s="420">
        <v>0</v>
      </c>
      <c r="R208" s="417">
        <v>0</v>
      </c>
      <c r="S208" s="420">
        <v>0</v>
      </c>
      <c r="T208" s="420">
        <f t="shared" si="64"/>
        <v>0</v>
      </c>
      <c r="U208" s="628">
        <f t="shared" si="63"/>
        <v>500000</v>
      </c>
      <c r="V208" s="628">
        <v>500000</v>
      </c>
      <c r="W208" s="628">
        <v>500000</v>
      </c>
    </row>
    <row r="209" spans="2:23" s="362" customFormat="1" ht="12.75">
      <c r="B209" s="356"/>
      <c r="C209" s="363"/>
      <c r="D209" s="358"/>
      <c r="E209" s="363"/>
      <c r="F209" s="374">
        <v>147</v>
      </c>
      <c r="G209" s="441">
        <v>463</v>
      </c>
      <c r="H209" s="1248" t="s">
        <v>105</v>
      </c>
      <c r="I209" s="1249"/>
      <c r="J209" s="1250"/>
      <c r="K209" s="958">
        <v>847927</v>
      </c>
      <c r="L209" s="958">
        <v>732332.8000000002</v>
      </c>
      <c r="M209" s="958">
        <v>940000</v>
      </c>
      <c r="N209" s="360">
        <v>0</v>
      </c>
      <c r="O209" s="417">
        <v>0</v>
      </c>
      <c r="P209" s="417">
        <v>0</v>
      </c>
      <c r="Q209" s="420">
        <v>0</v>
      </c>
      <c r="R209" s="417">
        <v>0</v>
      </c>
      <c r="S209" s="420">
        <v>0</v>
      </c>
      <c r="T209" s="420">
        <f t="shared" si="64"/>
        <v>0</v>
      </c>
      <c r="U209" s="628">
        <f t="shared" si="63"/>
        <v>940000</v>
      </c>
      <c r="V209" s="628">
        <v>940000</v>
      </c>
      <c r="W209" s="628">
        <v>940000</v>
      </c>
    </row>
    <row r="210" spans="2:23" s="362" customFormat="1" ht="12.75">
      <c r="B210" s="356"/>
      <c r="C210" s="363"/>
      <c r="D210" s="358"/>
      <c r="E210" s="363"/>
      <c r="F210" s="374">
        <v>148</v>
      </c>
      <c r="G210" s="441">
        <v>463</v>
      </c>
      <c r="H210" s="1248" t="s">
        <v>106</v>
      </c>
      <c r="I210" s="1249"/>
      <c r="J210" s="1250"/>
      <c r="K210" s="958">
        <v>15000</v>
      </c>
      <c r="L210" s="958">
        <v>4993</v>
      </c>
      <c r="M210" s="958">
        <v>15000</v>
      </c>
      <c r="N210" s="360">
        <v>0</v>
      </c>
      <c r="O210" s="417">
        <v>0</v>
      </c>
      <c r="P210" s="417">
        <v>0</v>
      </c>
      <c r="Q210" s="420">
        <v>0</v>
      </c>
      <c r="R210" s="417">
        <v>0</v>
      </c>
      <c r="S210" s="420">
        <v>0</v>
      </c>
      <c r="T210" s="420">
        <f t="shared" si="64"/>
        <v>0</v>
      </c>
      <c r="U210" s="628">
        <f t="shared" si="63"/>
        <v>15000</v>
      </c>
      <c r="V210" s="628">
        <v>15000</v>
      </c>
      <c r="W210" s="628">
        <v>15000</v>
      </c>
    </row>
    <row r="211" spans="2:23" s="362" customFormat="1" ht="12.75">
      <c r="B211" s="356"/>
      <c r="C211" s="363"/>
      <c r="D211" s="358"/>
      <c r="E211" s="363"/>
      <c r="F211" s="374">
        <v>149</v>
      </c>
      <c r="G211" s="441">
        <v>463</v>
      </c>
      <c r="H211" s="386" t="s">
        <v>107</v>
      </c>
      <c r="I211" s="442"/>
      <c r="J211" s="443"/>
      <c r="K211" s="959">
        <v>91380</v>
      </c>
      <c r="L211" s="959">
        <v>91380</v>
      </c>
      <c r="M211" s="959">
        <v>65000</v>
      </c>
      <c r="N211" s="360">
        <v>0</v>
      </c>
      <c r="O211" s="417">
        <v>0</v>
      </c>
      <c r="P211" s="417">
        <v>0</v>
      </c>
      <c r="Q211" s="420">
        <v>0</v>
      </c>
      <c r="R211" s="417">
        <v>0</v>
      </c>
      <c r="S211" s="420">
        <v>0</v>
      </c>
      <c r="T211" s="420">
        <f t="shared" si="64"/>
        <v>0</v>
      </c>
      <c r="U211" s="628">
        <f t="shared" si="63"/>
        <v>65000</v>
      </c>
      <c r="V211" s="628">
        <v>65000</v>
      </c>
      <c r="W211" s="628">
        <v>65000</v>
      </c>
    </row>
    <row r="212" spans="2:23" ht="12.75">
      <c r="B212" s="287"/>
      <c r="C212" s="288"/>
      <c r="D212" s="435"/>
      <c r="E212" s="630" t="s">
        <v>302</v>
      </c>
      <c r="F212" s="435"/>
      <c r="G212" s="436"/>
      <c r="H212" s="1211" t="s">
        <v>304</v>
      </c>
      <c r="I212" s="1212"/>
      <c r="J212" s="1212"/>
      <c r="K212" s="1140">
        <f>K213+K231+K240+K248</f>
        <v>40936000</v>
      </c>
      <c r="L212" s="1140">
        <f>L213+L231+L240+L248</f>
        <v>29179045.669999998</v>
      </c>
      <c r="M212" s="1140">
        <f aca="true" t="shared" si="65" ref="M212:S212">M213+M231+M240+M248</f>
        <v>51136000</v>
      </c>
      <c r="N212" s="289">
        <f t="shared" si="65"/>
        <v>0</v>
      </c>
      <c r="O212" s="289">
        <f t="shared" si="65"/>
        <v>0</v>
      </c>
      <c r="P212" s="289">
        <f t="shared" si="65"/>
        <v>3971372</v>
      </c>
      <c r="Q212" s="289">
        <f t="shared" si="65"/>
        <v>0</v>
      </c>
      <c r="R212" s="289">
        <f t="shared" si="65"/>
        <v>0</v>
      </c>
      <c r="S212" s="289">
        <f t="shared" si="65"/>
        <v>0</v>
      </c>
      <c r="T212" s="339">
        <f t="shared" si="64"/>
        <v>3971372</v>
      </c>
      <c r="U212" s="674">
        <f t="shared" si="63"/>
        <v>55107372</v>
      </c>
      <c r="V212" s="674">
        <v>55107372</v>
      </c>
      <c r="W212" s="674">
        <v>55107372</v>
      </c>
    </row>
    <row r="213" spans="2:23" ht="28.5" customHeight="1">
      <c r="B213" s="287"/>
      <c r="C213" s="288"/>
      <c r="D213" s="435"/>
      <c r="E213" s="352" t="s">
        <v>303</v>
      </c>
      <c r="F213" s="435"/>
      <c r="G213" s="436"/>
      <c r="H213" s="1191" t="s">
        <v>1346</v>
      </c>
      <c r="I213" s="1192"/>
      <c r="J213" s="1192"/>
      <c r="K213" s="1129">
        <f aca="true" t="shared" si="66" ref="K213:S213">K214</f>
        <v>6689000</v>
      </c>
      <c r="L213" s="1129">
        <f t="shared" si="66"/>
        <v>3580380.7799999993</v>
      </c>
      <c r="M213" s="1129">
        <f t="shared" si="66"/>
        <v>6689000</v>
      </c>
      <c r="N213" s="293">
        <f t="shared" si="66"/>
        <v>0</v>
      </c>
      <c r="O213" s="293">
        <f t="shared" si="66"/>
        <v>0</v>
      </c>
      <c r="P213" s="293">
        <f t="shared" si="66"/>
        <v>0</v>
      </c>
      <c r="Q213" s="293">
        <f t="shared" si="66"/>
        <v>0</v>
      </c>
      <c r="R213" s="293">
        <f t="shared" si="66"/>
        <v>0</v>
      </c>
      <c r="S213" s="293">
        <f t="shared" si="66"/>
        <v>0</v>
      </c>
      <c r="T213" s="340">
        <f t="shared" si="64"/>
        <v>0</v>
      </c>
      <c r="U213" s="674">
        <f t="shared" si="63"/>
        <v>6689000</v>
      </c>
      <c r="V213" s="674">
        <v>6689000</v>
      </c>
      <c r="W213" s="674">
        <v>6689000</v>
      </c>
    </row>
    <row r="214" spans="2:23" ht="12.75">
      <c r="B214" s="437"/>
      <c r="C214" s="438"/>
      <c r="D214" s="182" t="s">
        <v>21</v>
      </c>
      <c r="E214" s="58"/>
      <c r="F214" s="439"/>
      <c r="G214" s="440"/>
      <c r="H214" s="1185" t="s">
        <v>111</v>
      </c>
      <c r="I214" s="1186"/>
      <c r="J214" s="1187"/>
      <c r="K214" s="780">
        <f>SUM(K215:K230)</f>
        <v>6689000</v>
      </c>
      <c r="L214" s="780">
        <f>SUM(L215:L230)</f>
        <v>3580380.7799999993</v>
      </c>
      <c r="M214" s="780">
        <f>SUM(M215:M230)</f>
        <v>6689000</v>
      </c>
      <c r="N214" s="66">
        <f aca="true" t="shared" si="67" ref="N214:S214">SUM(N215:N230)</f>
        <v>0</v>
      </c>
      <c r="O214" s="66">
        <f t="shared" si="67"/>
        <v>0</v>
      </c>
      <c r="P214" s="66">
        <f t="shared" si="67"/>
        <v>0</v>
      </c>
      <c r="Q214" s="66">
        <f t="shared" si="67"/>
        <v>0</v>
      </c>
      <c r="R214" s="66">
        <f t="shared" si="67"/>
        <v>0</v>
      </c>
      <c r="S214" s="66">
        <f t="shared" si="67"/>
        <v>0</v>
      </c>
      <c r="T214" s="344">
        <f t="shared" si="64"/>
        <v>0</v>
      </c>
      <c r="U214" s="876">
        <f t="shared" si="63"/>
        <v>6689000</v>
      </c>
      <c r="V214" s="876">
        <v>6689000</v>
      </c>
      <c r="W214" s="876">
        <v>6689000</v>
      </c>
    </row>
    <row r="215" spans="2:23" s="362" customFormat="1" ht="12.75">
      <c r="B215" s="356"/>
      <c r="C215" s="363"/>
      <c r="D215" s="358"/>
      <c r="E215" s="363"/>
      <c r="F215" s="374">
        <v>150</v>
      </c>
      <c r="G215" s="451">
        <v>463</v>
      </c>
      <c r="H215" s="1188" t="s">
        <v>112</v>
      </c>
      <c r="I215" s="1189"/>
      <c r="J215" s="1190"/>
      <c r="K215" s="775">
        <v>1095000</v>
      </c>
      <c r="L215" s="775">
        <v>720804.72</v>
      </c>
      <c r="M215" s="775">
        <v>1095000</v>
      </c>
      <c r="N215" s="360">
        <v>0</v>
      </c>
      <c r="O215" s="417">
        <v>0</v>
      </c>
      <c r="P215" s="417">
        <v>0</v>
      </c>
      <c r="Q215" s="420">
        <v>0</v>
      </c>
      <c r="R215" s="417">
        <v>0</v>
      </c>
      <c r="S215" s="420">
        <v>0</v>
      </c>
      <c r="T215" s="420">
        <f t="shared" si="64"/>
        <v>0</v>
      </c>
      <c r="U215" s="628">
        <f>SUM(M215:S215)</f>
        <v>1095000</v>
      </c>
      <c r="V215" s="628">
        <v>1095000</v>
      </c>
      <c r="W215" s="628">
        <v>1095000</v>
      </c>
    </row>
    <row r="216" spans="2:23" s="362" customFormat="1" ht="12.75">
      <c r="B216" s="356"/>
      <c r="C216" s="363"/>
      <c r="D216" s="358"/>
      <c r="E216" s="363"/>
      <c r="F216" s="374">
        <v>151</v>
      </c>
      <c r="G216" s="451">
        <v>463</v>
      </c>
      <c r="H216" s="1188" t="s">
        <v>113</v>
      </c>
      <c r="I216" s="1189"/>
      <c r="J216" s="1190"/>
      <c r="K216" s="775">
        <v>188000</v>
      </c>
      <c r="L216" s="775">
        <v>120013.99000000003</v>
      </c>
      <c r="M216" s="775">
        <v>188000</v>
      </c>
      <c r="N216" s="360">
        <v>0</v>
      </c>
      <c r="O216" s="417">
        <v>0</v>
      </c>
      <c r="P216" s="417">
        <v>0</v>
      </c>
      <c r="Q216" s="420">
        <v>0</v>
      </c>
      <c r="R216" s="417">
        <v>0</v>
      </c>
      <c r="S216" s="420">
        <v>0</v>
      </c>
      <c r="T216" s="420">
        <f t="shared" si="64"/>
        <v>0</v>
      </c>
      <c r="U216" s="628">
        <f>SUM(M216:S216)</f>
        <v>188000</v>
      </c>
      <c r="V216" s="628">
        <v>188000</v>
      </c>
      <c r="W216" s="628">
        <v>188000</v>
      </c>
    </row>
    <row r="217" spans="2:23" s="362" customFormat="1" ht="12.75">
      <c r="B217" s="356"/>
      <c r="C217" s="363"/>
      <c r="D217" s="358"/>
      <c r="E217" s="363"/>
      <c r="F217" s="374">
        <v>152</v>
      </c>
      <c r="G217" s="451">
        <v>463</v>
      </c>
      <c r="H217" s="354" t="s">
        <v>223</v>
      </c>
      <c r="I217" s="449"/>
      <c r="J217" s="450"/>
      <c r="K217" s="775">
        <v>1000</v>
      </c>
      <c r="L217" s="775">
        <v>0</v>
      </c>
      <c r="M217" s="775">
        <v>1000</v>
      </c>
      <c r="N217" s="360">
        <v>0</v>
      </c>
      <c r="O217" s="417">
        <v>0</v>
      </c>
      <c r="P217" s="417">
        <v>0</v>
      </c>
      <c r="Q217" s="420">
        <v>0</v>
      </c>
      <c r="R217" s="417">
        <v>0</v>
      </c>
      <c r="S217" s="420">
        <v>0</v>
      </c>
      <c r="T217" s="420"/>
      <c r="U217" s="628">
        <f>SUM(M217:T217)</f>
        <v>1000</v>
      </c>
      <c r="V217" s="628">
        <v>1000</v>
      </c>
      <c r="W217" s="628">
        <v>1000</v>
      </c>
    </row>
    <row r="218" spans="2:23" s="362" customFormat="1" ht="12" customHeight="1">
      <c r="B218" s="356"/>
      <c r="C218" s="363"/>
      <c r="D218" s="358"/>
      <c r="E218" s="363"/>
      <c r="F218" s="374">
        <v>153</v>
      </c>
      <c r="G218" s="451">
        <v>463</v>
      </c>
      <c r="H218" s="1188" t="s">
        <v>99</v>
      </c>
      <c r="I218" s="1189"/>
      <c r="J218" s="1190"/>
      <c r="K218" s="775">
        <v>330000</v>
      </c>
      <c r="L218" s="775">
        <v>150123.61</v>
      </c>
      <c r="M218" s="775">
        <v>330000</v>
      </c>
      <c r="N218" s="360">
        <v>0</v>
      </c>
      <c r="O218" s="417">
        <v>0</v>
      </c>
      <c r="P218" s="417">
        <v>0</v>
      </c>
      <c r="Q218" s="420">
        <v>0</v>
      </c>
      <c r="R218" s="417">
        <v>0</v>
      </c>
      <c r="S218" s="420">
        <v>0</v>
      </c>
      <c r="T218" s="420">
        <f t="shared" si="64"/>
        <v>0</v>
      </c>
      <c r="U218" s="628">
        <f aca="true" t="shared" si="68" ref="U218:U234">SUM(M218:S218)</f>
        <v>330000</v>
      </c>
      <c r="V218" s="628">
        <v>330000</v>
      </c>
      <c r="W218" s="628">
        <v>330000</v>
      </c>
    </row>
    <row r="219" spans="2:23" s="362" customFormat="1" ht="12.75" customHeight="1">
      <c r="B219" s="356"/>
      <c r="C219" s="363"/>
      <c r="D219" s="358"/>
      <c r="E219" s="363"/>
      <c r="F219" s="374">
        <v>154</v>
      </c>
      <c r="G219" s="451">
        <v>463</v>
      </c>
      <c r="H219" s="1205" t="s">
        <v>100</v>
      </c>
      <c r="I219" s="1206"/>
      <c r="J219" s="1207"/>
      <c r="K219" s="775">
        <v>208000</v>
      </c>
      <c r="L219" s="775">
        <v>90232</v>
      </c>
      <c r="M219" s="775">
        <v>208000</v>
      </c>
      <c r="N219" s="360">
        <v>0</v>
      </c>
      <c r="O219" s="417">
        <v>0</v>
      </c>
      <c r="P219" s="417">
        <v>0</v>
      </c>
      <c r="Q219" s="420">
        <v>0</v>
      </c>
      <c r="R219" s="417">
        <v>0</v>
      </c>
      <c r="S219" s="420">
        <v>0</v>
      </c>
      <c r="T219" s="420">
        <f t="shared" si="64"/>
        <v>0</v>
      </c>
      <c r="U219" s="628">
        <f t="shared" si="68"/>
        <v>208000</v>
      </c>
      <c r="V219" s="628">
        <v>208000</v>
      </c>
      <c r="W219" s="628">
        <v>208000</v>
      </c>
    </row>
    <row r="220" spans="2:23" s="362" customFormat="1" ht="12.75" customHeight="1">
      <c r="B220" s="356"/>
      <c r="C220" s="363"/>
      <c r="D220" s="358"/>
      <c r="E220" s="363"/>
      <c r="F220" s="374">
        <v>155</v>
      </c>
      <c r="G220" s="451">
        <v>463</v>
      </c>
      <c r="H220" s="1205" t="s">
        <v>213</v>
      </c>
      <c r="I220" s="1206"/>
      <c r="J220" s="1207"/>
      <c r="K220" s="775">
        <v>70000</v>
      </c>
      <c r="L220" s="775">
        <v>0</v>
      </c>
      <c r="M220" s="775">
        <v>70000</v>
      </c>
      <c r="N220" s="360">
        <v>0</v>
      </c>
      <c r="O220" s="417">
        <v>0</v>
      </c>
      <c r="P220" s="417">
        <v>0</v>
      </c>
      <c r="Q220" s="420">
        <v>0</v>
      </c>
      <c r="R220" s="417">
        <v>0</v>
      </c>
      <c r="S220" s="420">
        <v>0</v>
      </c>
      <c r="T220" s="420">
        <f t="shared" si="64"/>
        <v>0</v>
      </c>
      <c r="U220" s="628">
        <f t="shared" si="68"/>
        <v>70000</v>
      </c>
      <c r="V220" s="628">
        <v>70000</v>
      </c>
      <c r="W220" s="628">
        <v>70000</v>
      </c>
    </row>
    <row r="221" spans="2:23" s="362" customFormat="1" ht="12.75">
      <c r="B221" s="356"/>
      <c r="C221" s="363"/>
      <c r="D221" s="358"/>
      <c r="E221" s="363"/>
      <c r="F221" s="374">
        <v>156</v>
      </c>
      <c r="G221" s="451">
        <v>463</v>
      </c>
      <c r="H221" s="1188" t="s">
        <v>102</v>
      </c>
      <c r="I221" s="1189"/>
      <c r="J221" s="1190"/>
      <c r="K221" s="775">
        <v>2815000</v>
      </c>
      <c r="L221" s="775">
        <v>1397403.5999999999</v>
      </c>
      <c r="M221" s="775">
        <v>2515000</v>
      </c>
      <c r="N221" s="360">
        <v>0</v>
      </c>
      <c r="O221" s="417">
        <v>0</v>
      </c>
      <c r="P221" s="417">
        <v>0</v>
      </c>
      <c r="Q221" s="420">
        <v>0</v>
      </c>
      <c r="R221" s="417">
        <v>0</v>
      </c>
      <c r="S221" s="420">
        <v>0</v>
      </c>
      <c r="T221" s="420">
        <f t="shared" si="64"/>
        <v>0</v>
      </c>
      <c r="U221" s="628">
        <f t="shared" si="68"/>
        <v>2515000</v>
      </c>
      <c r="V221" s="628">
        <v>2515000</v>
      </c>
      <c r="W221" s="628">
        <v>2515000</v>
      </c>
    </row>
    <row r="222" spans="2:23" s="362" customFormat="1" ht="12.75">
      <c r="B222" s="356"/>
      <c r="C222" s="363"/>
      <c r="D222" s="358"/>
      <c r="E222" s="363"/>
      <c r="F222" s="374">
        <v>157</v>
      </c>
      <c r="G222" s="451">
        <v>463</v>
      </c>
      <c r="H222" s="1188" t="s">
        <v>104</v>
      </c>
      <c r="I222" s="1189"/>
      <c r="J222" s="1190"/>
      <c r="K222" s="775">
        <v>80000</v>
      </c>
      <c r="L222" s="775">
        <v>25874</v>
      </c>
      <c r="M222" s="775">
        <v>80000</v>
      </c>
      <c r="N222" s="360">
        <v>0</v>
      </c>
      <c r="O222" s="417">
        <v>0</v>
      </c>
      <c r="P222" s="417">
        <v>0</v>
      </c>
      <c r="Q222" s="420">
        <v>0</v>
      </c>
      <c r="R222" s="417">
        <v>0</v>
      </c>
      <c r="S222" s="420">
        <v>0</v>
      </c>
      <c r="T222" s="420">
        <f t="shared" si="64"/>
        <v>0</v>
      </c>
      <c r="U222" s="628">
        <f t="shared" si="68"/>
        <v>80000</v>
      </c>
      <c r="V222" s="628">
        <v>80000</v>
      </c>
      <c r="W222" s="628">
        <v>80000</v>
      </c>
    </row>
    <row r="223" spans="2:23" s="362" customFormat="1" ht="12.75">
      <c r="B223" s="356"/>
      <c r="C223" s="363"/>
      <c r="D223" s="358"/>
      <c r="E223" s="363"/>
      <c r="F223" s="374">
        <v>158</v>
      </c>
      <c r="G223" s="451">
        <v>463</v>
      </c>
      <c r="H223" s="1205" t="s">
        <v>105</v>
      </c>
      <c r="I223" s="1206"/>
      <c r="J223" s="1207"/>
      <c r="K223" s="775">
        <v>275000</v>
      </c>
      <c r="L223" s="775">
        <v>55813</v>
      </c>
      <c r="M223" s="775">
        <v>325000</v>
      </c>
      <c r="N223" s="360">
        <v>0</v>
      </c>
      <c r="O223" s="417">
        <v>0</v>
      </c>
      <c r="P223" s="417">
        <v>0</v>
      </c>
      <c r="Q223" s="420">
        <v>0</v>
      </c>
      <c r="R223" s="417">
        <v>0</v>
      </c>
      <c r="S223" s="420">
        <v>0</v>
      </c>
      <c r="T223" s="420">
        <f t="shared" si="64"/>
        <v>0</v>
      </c>
      <c r="U223" s="628">
        <f t="shared" si="68"/>
        <v>325000</v>
      </c>
      <c r="V223" s="628">
        <v>325000</v>
      </c>
      <c r="W223" s="628">
        <v>325000</v>
      </c>
    </row>
    <row r="224" spans="2:23" s="362" customFormat="1" ht="12.75">
      <c r="B224" s="356"/>
      <c r="C224" s="363"/>
      <c r="D224" s="358"/>
      <c r="E224" s="363"/>
      <c r="F224" s="374">
        <v>159</v>
      </c>
      <c r="G224" s="451">
        <v>463</v>
      </c>
      <c r="H224" s="408" t="s">
        <v>1171</v>
      </c>
      <c r="I224" s="446"/>
      <c r="J224" s="447"/>
      <c r="K224" s="775">
        <v>10000</v>
      </c>
      <c r="L224" s="775">
        <v>8229.26</v>
      </c>
      <c r="M224" s="775">
        <v>9000</v>
      </c>
      <c r="N224" s="360">
        <v>0</v>
      </c>
      <c r="O224" s="417">
        <v>0</v>
      </c>
      <c r="P224" s="417">
        <v>0</v>
      </c>
      <c r="Q224" s="420">
        <v>0</v>
      </c>
      <c r="R224" s="417">
        <v>0</v>
      </c>
      <c r="S224" s="420">
        <v>0</v>
      </c>
      <c r="T224" s="420">
        <f t="shared" si="64"/>
        <v>0</v>
      </c>
      <c r="U224" s="628">
        <f t="shared" si="68"/>
        <v>9000</v>
      </c>
      <c r="V224" s="628">
        <v>9000</v>
      </c>
      <c r="W224" s="628">
        <v>9000</v>
      </c>
    </row>
    <row r="225" spans="2:23" s="362" customFormat="1" ht="12.75">
      <c r="B225" s="356"/>
      <c r="C225" s="363"/>
      <c r="D225" s="358"/>
      <c r="E225" s="363"/>
      <c r="F225" s="374">
        <v>160</v>
      </c>
      <c r="G225" s="451">
        <v>463</v>
      </c>
      <c r="H225" s="1188" t="s">
        <v>1449</v>
      </c>
      <c r="I225" s="1189"/>
      <c r="J225" s="1190"/>
      <c r="K225" s="775">
        <v>400000</v>
      </c>
      <c r="L225" s="775">
        <v>146343.55</v>
      </c>
      <c r="M225" s="775">
        <v>400000</v>
      </c>
      <c r="N225" s="360">
        <v>0</v>
      </c>
      <c r="O225" s="417">
        <v>0</v>
      </c>
      <c r="P225" s="417">
        <v>0</v>
      </c>
      <c r="Q225" s="420">
        <v>0</v>
      </c>
      <c r="R225" s="417">
        <v>0</v>
      </c>
      <c r="S225" s="420">
        <v>0</v>
      </c>
      <c r="T225" s="420">
        <f t="shared" si="64"/>
        <v>0</v>
      </c>
      <c r="U225" s="628">
        <f t="shared" si="68"/>
        <v>400000</v>
      </c>
      <c r="V225" s="628">
        <v>400000</v>
      </c>
      <c r="W225" s="628">
        <v>400000</v>
      </c>
    </row>
    <row r="226" spans="2:23" s="362" customFormat="1" ht="12.75">
      <c r="B226" s="356"/>
      <c r="C226" s="363"/>
      <c r="D226" s="358"/>
      <c r="E226" s="363"/>
      <c r="F226" s="374">
        <v>161</v>
      </c>
      <c r="G226" s="451">
        <v>463</v>
      </c>
      <c r="H226" s="1188" t="s">
        <v>1459</v>
      </c>
      <c r="I226" s="1189"/>
      <c r="J226" s="1190"/>
      <c r="K226" s="775">
        <v>60000</v>
      </c>
      <c r="L226" s="775">
        <v>0</v>
      </c>
      <c r="M226" s="775">
        <v>60000</v>
      </c>
      <c r="N226" s="360">
        <v>0</v>
      </c>
      <c r="O226" s="417">
        <v>0</v>
      </c>
      <c r="P226" s="417">
        <v>0</v>
      </c>
      <c r="Q226" s="420">
        <v>0</v>
      </c>
      <c r="R226" s="417">
        <v>0</v>
      </c>
      <c r="S226" s="420">
        <v>0</v>
      </c>
      <c r="T226" s="420">
        <f t="shared" si="64"/>
        <v>0</v>
      </c>
      <c r="U226" s="628">
        <f t="shared" si="68"/>
        <v>60000</v>
      </c>
      <c r="V226" s="628">
        <v>60000</v>
      </c>
      <c r="W226" s="628">
        <v>60000</v>
      </c>
    </row>
    <row r="227" spans="2:23" s="362" customFormat="1" ht="12.75">
      <c r="B227" s="356"/>
      <c r="C227" s="363"/>
      <c r="D227" s="358"/>
      <c r="E227" s="363"/>
      <c r="F227" s="374">
        <v>162</v>
      </c>
      <c r="G227" s="451">
        <v>463</v>
      </c>
      <c r="H227" s="1188" t="s">
        <v>1460</v>
      </c>
      <c r="I227" s="1189"/>
      <c r="J227" s="1190"/>
      <c r="K227" s="775">
        <v>1000000</v>
      </c>
      <c r="L227" s="775">
        <v>852977.05</v>
      </c>
      <c r="M227" s="775">
        <v>1250000</v>
      </c>
      <c r="N227" s="360">
        <v>0</v>
      </c>
      <c r="O227" s="417">
        <v>0</v>
      </c>
      <c r="P227" s="417">
        <v>0</v>
      </c>
      <c r="Q227" s="420">
        <v>0</v>
      </c>
      <c r="R227" s="417">
        <v>0</v>
      </c>
      <c r="S227" s="420">
        <v>0</v>
      </c>
      <c r="T227" s="420">
        <f t="shared" si="64"/>
        <v>0</v>
      </c>
      <c r="U227" s="628">
        <f t="shared" si="68"/>
        <v>1250000</v>
      </c>
      <c r="V227" s="628">
        <v>1250000</v>
      </c>
      <c r="W227" s="628">
        <v>1250000</v>
      </c>
    </row>
    <row r="228" spans="2:23" s="362" customFormat="1" ht="12.75">
      <c r="B228" s="356"/>
      <c r="C228" s="363"/>
      <c r="D228" s="358"/>
      <c r="E228" s="363"/>
      <c r="F228" s="374" t="s">
        <v>1571</v>
      </c>
      <c r="G228" s="451">
        <v>463</v>
      </c>
      <c r="H228" s="354" t="s">
        <v>1364</v>
      </c>
      <c r="I228" s="449"/>
      <c r="J228" s="450"/>
      <c r="K228" s="775">
        <v>0</v>
      </c>
      <c r="L228" s="775">
        <v>0</v>
      </c>
      <c r="M228" s="775">
        <v>1000</v>
      </c>
      <c r="N228" s="360">
        <v>0</v>
      </c>
      <c r="O228" s="417">
        <v>0</v>
      </c>
      <c r="P228" s="417">
        <v>0</v>
      </c>
      <c r="Q228" s="420">
        <v>0</v>
      </c>
      <c r="R228" s="417">
        <v>0</v>
      </c>
      <c r="S228" s="420">
        <v>0</v>
      </c>
      <c r="T228" s="420">
        <f t="shared" si="64"/>
        <v>0</v>
      </c>
      <c r="U228" s="628">
        <f t="shared" si="68"/>
        <v>1000</v>
      </c>
      <c r="V228" s="628">
        <v>1000</v>
      </c>
      <c r="W228" s="628">
        <v>1000</v>
      </c>
    </row>
    <row r="229" spans="2:23" s="362" customFormat="1" ht="12.75">
      <c r="B229" s="356"/>
      <c r="C229" s="363"/>
      <c r="D229" s="358"/>
      <c r="E229" s="363"/>
      <c r="F229" s="374">
        <v>163</v>
      </c>
      <c r="G229" s="451">
        <v>463</v>
      </c>
      <c r="H229" s="1188" t="s">
        <v>106</v>
      </c>
      <c r="I229" s="1189"/>
      <c r="J229" s="1190"/>
      <c r="K229" s="775">
        <v>37000</v>
      </c>
      <c r="L229" s="775">
        <v>12566</v>
      </c>
      <c r="M229" s="775">
        <v>37000</v>
      </c>
      <c r="N229" s="360">
        <v>0</v>
      </c>
      <c r="O229" s="417">
        <v>0</v>
      </c>
      <c r="P229" s="417">
        <v>0</v>
      </c>
      <c r="Q229" s="420">
        <v>0</v>
      </c>
      <c r="R229" s="417">
        <v>0</v>
      </c>
      <c r="S229" s="420">
        <v>0</v>
      </c>
      <c r="T229" s="420">
        <f t="shared" si="64"/>
        <v>0</v>
      </c>
      <c r="U229" s="628">
        <f t="shared" si="68"/>
        <v>37000</v>
      </c>
      <c r="V229" s="628">
        <v>37000</v>
      </c>
      <c r="W229" s="628">
        <v>37000</v>
      </c>
    </row>
    <row r="230" spans="2:23" s="362" customFormat="1" ht="12.75">
      <c r="B230" s="356"/>
      <c r="C230" s="363"/>
      <c r="D230" s="358"/>
      <c r="E230" s="363"/>
      <c r="F230" s="374">
        <v>164</v>
      </c>
      <c r="G230" s="451">
        <v>463</v>
      </c>
      <c r="H230" s="1240" t="s">
        <v>107</v>
      </c>
      <c r="I230" s="1224"/>
      <c r="J230" s="1241"/>
      <c r="K230" s="980">
        <v>120000</v>
      </c>
      <c r="L230" s="980">
        <v>0</v>
      </c>
      <c r="M230" s="980">
        <v>120000</v>
      </c>
      <c r="N230" s="360">
        <v>0</v>
      </c>
      <c r="O230" s="417">
        <v>0</v>
      </c>
      <c r="P230" s="417">
        <v>0</v>
      </c>
      <c r="Q230" s="420">
        <v>0</v>
      </c>
      <c r="R230" s="417">
        <v>0</v>
      </c>
      <c r="S230" s="420">
        <v>0</v>
      </c>
      <c r="T230" s="423">
        <f t="shared" si="64"/>
        <v>0</v>
      </c>
      <c r="U230" s="628">
        <f t="shared" si="68"/>
        <v>120000</v>
      </c>
      <c r="V230" s="628">
        <v>120000</v>
      </c>
      <c r="W230" s="628">
        <v>120000</v>
      </c>
    </row>
    <row r="231" spans="2:23" ht="26.25" customHeight="1">
      <c r="B231" s="287"/>
      <c r="C231" s="288"/>
      <c r="D231" s="435"/>
      <c r="E231" s="352" t="s">
        <v>860</v>
      </c>
      <c r="F231" s="435"/>
      <c r="G231" s="436"/>
      <c r="H231" s="1191" t="s">
        <v>1349</v>
      </c>
      <c r="I231" s="1192"/>
      <c r="J231" s="1193"/>
      <c r="K231" s="1122">
        <f aca="true" t="shared" si="69" ref="K231:S231">K232</f>
        <v>17877000</v>
      </c>
      <c r="L231" s="1122">
        <f t="shared" si="69"/>
        <v>16271190.01</v>
      </c>
      <c r="M231" s="1122">
        <f t="shared" si="69"/>
        <v>25877000</v>
      </c>
      <c r="N231" s="293">
        <f t="shared" si="69"/>
        <v>0</v>
      </c>
      <c r="O231" s="293">
        <f t="shared" si="69"/>
        <v>0</v>
      </c>
      <c r="P231" s="293">
        <f t="shared" si="69"/>
        <v>1492500</v>
      </c>
      <c r="Q231" s="293">
        <f t="shared" si="69"/>
        <v>0</v>
      </c>
      <c r="R231" s="293">
        <f t="shared" si="69"/>
        <v>0</v>
      </c>
      <c r="S231" s="340">
        <f t="shared" si="69"/>
        <v>0</v>
      </c>
      <c r="T231" s="340">
        <f t="shared" si="64"/>
        <v>1492500</v>
      </c>
      <c r="U231" s="884">
        <f t="shared" si="68"/>
        <v>27369500</v>
      </c>
      <c r="V231" s="884">
        <v>27369500</v>
      </c>
      <c r="W231" s="884">
        <v>27369500</v>
      </c>
    </row>
    <row r="232" spans="2:23" s="23" customFormat="1" ht="12.75">
      <c r="B232" s="561"/>
      <c r="C232" s="562"/>
      <c r="D232" s="182" t="s">
        <v>21</v>
      </c>
      <c r="E232" s="58"/>
      <c r="F232" s="563"/>
      <c r="G232" s="564"/>
      <c r="H232" s="74" t="s">
        <v>111</v>
      </c>
      <c r="I232" s="75"/>
      <c r="J232" s="729"/>
      <c r="K232" s="183">
        <f>SUM(K233:K239)</f>
        <v>17877000</v>
      </c>
      <c r="L232" s="183">
        <f>SUM(L233:L239)</f>
        <v>16271190.01</v>
      </c>
      <c r="M232" s="780">
        <f>SUM(M233:M239)</f>
        <v>25877000</v>
      </c>
      <c r="N232" s="565">
        <f aca="true" t="shared" si="70" ref="N232:S232">SUM(N233:N239)</f>
        <v>0</v>
      </c>
      <c r="O232" s="565">
        <f t="shared" si="70"/>
        <v>0</v>
      </c>
      <c r="P232" s="565">
        <f t="shared" si="70"/>
        <v>1492500</v>
      </c>
      <c r="Q232" s="565">
        <f t="shared" si="70"/>
        <v>0</v>
      </c>
      <c r="R232" s="565">
        <f t="shared" si="70"/>
        <v>0</v>
      </c>
      <c r="S232" s="565">
        <f t="shared" si="70"/>
        <v>0</v>
      </c>
      <c r="T232" s="864">
        <f t="shared" si="64"/>
        <v>1492500</v>
      </c>
      <c r="U232" s="876">
        <f t="shared" si="68"/>
        <v>27369500</v>
      </c>
      <c r="V232" s="876">
        <v>27369500</v>
      </c>
      <c r="W232" s="876">
        <v>27369500</v>
      </c>
    </row>
    <row r="233" spans="2:23" s="362" customFormat="1" ht="12.75">
      <c r="B233" s="356"/>
      <c r="C233" s="363"/>
      <c r="D233" s="358"/>
      <c r="E233" s="363"/>
      <c r="F233" s="374">
        <v>165</v>
      </c>
      <c r="G233" s="451">
        <v>463</v>
      </c>
      <c r="H233" s="1205" t="s">
        <v>1413</v>
      </c>
      <c r="I233" s="1206"/>
      <c r="J233" s="1207"/>
      <c r="K233" s="775">
        <v>698000</v>
      </c>
      <c r="L233" s="775">
        <v>325492.19999999995</v>
      </c>
      <c r="M233" s="775">
        <v>698000</v>
      </c>
      <c r="N233" s="360">
        <v>0</v>
      </c>
      <c r="O233" s="417">
        <v>0</v>
      </c>
      <c r="P233" s="417">
        <v>0</v>
      </c>
      <c r="Q233" s="417">
        <v>0</v>
      </c>
      <c r="R233" s="417">
        <v>0</v>
      </c>
      <c r="S233" s="420">
        <v>0</v>
      </c>
      <c r="T233" s="423">
        <f t="shared" si="64"/>
        <v>0</v>
      </c>
      <c r="U233" s="628">
        <f t="shared" si="68"/>
        <v>698000</v>
      </c>
      <c r="V233" s="628">
        <v>698000</v>
      </c>
      <c r="W233" s="628">
        <v>698000</v>
      </c>
    </row>
    <row r="234" spans="2:23" s="524" customFormat="1" ht="12.75">
      <c r="B234" s="525"/>
      <c r="C234" s="459"/>
      <c r="D234" s="526"/>
      <c r="E234" s="459"/>
      <c r="F234" s="374">
        <v>166</v>
      </c>
      <c r="G234" s="441">
        <v>463</v>
      </c>
      <c r="H234" s="1205" t="s">
        <v>1414</v>
      </c>
      <c r="I234" s="1206"/>
      <c r="J234" s="1207"/>
      <c r="K234" s="775">
        <v>15902000</v>
      </c>
      <c r="L234" s="775">
        <v>15504140.81</v>
      </c>
      <c r="M234" s="775">
        <v>23902000</v>
      </c>
      <c r="N234" s="360">
        <v>0</v>
      </c>
      <c r="O234" s="527">
        <v>0</v>
      </c>
      <c r="P234" s="417">
        <v>1368500</v>
      </c>
      <c r="Q234" s="417">
        <v>0</v>
      </c>
      <c r="R234" s="417">
        <v>0</v>
      </c>
      <c r="S234" s="422">
        <v>0</v>
      </c>
      <c r="T234" s="528">
        <f t="shared" si="64"/>
        <v>1368500</v>
      </c>
      <c r="U234" s="882">
        <f t="shared" si="68"/>
        <v>25270500</v>
      </c>
      <c r="V234" s="882">
        <v>25270500</v>
      </c>
      <c r="W234" s="882">
        <v>25270500</v>
      </c>
    </row>
    <row r="235" spans="2:23" s="524" customFormat="1" ht="12.75">
      <c r="B235" s="525"/>
      <c r="C235" s="459"/>
      <c r="D235" s="526"/>
      <c r="E235" s="459"/>
      <c r="F235" s="374">
        <v>167</v>
      </c>
      <c r="G235" s="441">
        <v>463</v>
      </c>
      <c r="H235" s="408" t="s">
        <v>103</v>
      </c>
      <c r="I235" s="446"/>
      <c r="J235" s="447"/>
      <c r="K235" s="775">
        <v>120000</v>
      </c>
      <c r="L235" s="775">
        <v>69600</v>
      </c>
      <c r="M235" s="775">
        <v>120000</v>
      </c>
      <c r="N235" s="360">
        <v>0</v>
      </c>
      <c r="O235" s="527">
        <v>0</v>
      </c>
      <c r="P235" s="417">
        <v>0</v>
      </c>
      <c r="Q235" s="545">
        <v>0</v>
      </c>
      <c r="R235" s="545">
        <v>0</v>
      </c>
      <c r="S235" s="1123">
        <v>0</v>
      </c>
      <c r="T235" s="528">
        <f t="shared" si="64"/>
        <v>0</v>
      </c>
      <c r="U235" s="882">
        <f>SUM(M235:T235)</f>
        <v>120000</v>
      </c>
      <c r="V235" s="882">
        <v>120000</v>
      </c>
      <c r="W235" s="882">
        <v>120000</v>
      </c>
    </row>
    <row r="236" spans="2:23" s="362" customFormat="1" ht="12.75">
      <c r="B236" s="356"/>
      <c r="C236" s="363"/>
      <c r="D236" s="358"/>
      <c r="E236" s="363"/>
      <c r="F236" s="368" t="s">
        <v>1476</v>
      </c>
      <c r="G236" s="451">
        <v>463</v>
      </c>
      <c r="H236" s="1205" t="s">
        <v>1415</v>
      </c>
      <c r="I236" s="1206"/>
      <c r="J236" s="1207"/>
      <c r="K236" s="775">
        <v>80000</v>
      </c>
      <c r="L236" s="775">
        <v>19037.5</v>
      </c>
      <c r="M236" s="775">
        <v>80000</v>
      </c>
      <c r="N236" s="360">
        <v>0</v>
      </c>
      <c r="O236" s="417">
        <v>0</v>
      </c>
      <c r="P236" s="417">
        <v>0</v>
      </c>
      <c r="Q236" s="545">
        <v>0</v>
      </c>
      <c r="R236" s="545">
        <v>0</v>
      </c>
      <c r="S236" s="545">
        <v>0</v>
      </c>
      <c r="T236" s="528">
        <f t="shared" si="64"/>
        <v>0</v>
      </c>
      <c r="U236" s="628">
        <f>SUM(M236:S236)</f>
        <v>80000</v>
      </c>
      <c r="V236" s="628">
        <v>80000</v>
      </c>
      <c r="W236" s="628">
        <v>80000</v>
      </c>
    </row>
    <row r="237" spans="2:23" s="362" customFormat="1" ht="12.75">
      <c r="B237" s="356"/>
      <c r="C237" s="363"/>
      <c r="D237" s="580"/>
      <c r="E237" s="492"/>
      <c r="F237" s="368" t="s">
        <v>1477</v>
      </c>
      <c r="G237" s="547">
        <v>463</v>
      </c>
      <c r="H237" s="1205" t="s">
        <v>1416</v>
      </c>
      <c r="I237" s="1206"/>
      <c r="J237" s="1207"/>
      <c r="K237" s="980">
        <v>980000</v>
      </c>
      <c r="L237" s="980">
        <v>283059.5</v>
      </c>
      <c r="M237" s="980">
        <v>980000</v>
      </c>
      <c r="N237" s="360">
        <v>0</v>
      </c>
      <c r="O237" s="417">
        <v>0</v>
      </c>
      <c r="P237" s="420">
        <v>124000</v>
      </c>
      <c r="Q237" s="464">
        <v>0</v>
      </c>
      <c r="R237" s="464">
        <v>0</v>
      </c>
      <c r="S237" s="464">
        <v>0</v>
      </c>
      <c r="T237" s="528">
        <f t="shared" si="64"/>
        <v>124000</v>
      </c>
      <c r="U237" s="628">
        <f>SUM(M237:S237)</f>
        <v>1104000</v>
      </c>
      <c r="V237" s="628">
        <v>1104000</v>
      </c>
      <c r="W237" s="628">
        <v>1104000</v>
      </c>
    </row>
    <row r="238" spans="2:23" s="362" customFormat="1" ht="12.75">
      <c r="B238" s="356"/>
      <c r="C238" s="603"/>
      <c r="D238" s="546"/>
      <c r="E238" s="494"/>
      <c r="F238" s="368" t="s">
        <v>461</v>
      </c>
      <c r="G238" s="491">
        <v>463</v>
      </c>
      <c r="H238" s="1223" t="s">
        <v>1417</v>
      </c>
      <c r="I238" s="1224"/>
      <c r="J238" s="1224"/>
      <c r="K238" s="555">
        <v>17000</v>
      </c>
      <c r="L238" s="555">
        <v>0</v>
      </c>
      <c r="M238" s="555">
        <v>17000</v>
      </c>
      <c r="N238" s="360">
        <v>0</v>
      </c>
      <c r="O238" s="417">
        <v>0</v>
      </c>
      <c r="P238" s="420">
        <v>0</v>
      </c>
      <c r="Q238" s="464">
        <v>0</v>
      </c>
      <c r="R238" s="464">
        <v>0</v>
      </c>
      <c r="S238" s="464">
        <v>0</v>
      </c>
      <c r="T238" s="528">
        <f t="shared" si="64"/>
        <v>0</v>
      </c>
      <c r="U238" s="628">
        <f>SUM(M238:S238)</f>
        <v>17000</v>
      </c>
      <c r="V238" s="628">
        <v>17000</v>
      </c>
      <c r="W238" s="628">
        <v>17000</v>
      </c>
    </row>
    <row r="239" spans="2:23" s="362" customFormat="1" ht="12.75">
      <c r="B239" s="375"/>
      <c r="C239" s="540"/>
      <c r="D239" s="546"/>
      <c r="E239" s="494"/>
      <c r="F239" s="368" t="s">
        <v>1478</v>
      </c>
      <c r="G239" s="539">
        <v>463</v>
      </c>
      <c r="H239" s="1259" t="s">
        <v>1418</v>
      </c>
      <c r="I239" s="1260"/>
      <c r="J239" s="1260"/>
      <c r="K239" s="999">
        <v>80000</v>
      </c>
      <c r="L239" s="999">
        <v>69860</v>
      </c>
      <c r="M239" s="999">
        <v>80000</v>
      </c>
      <c r="N239" s="360">
        <v>0</v>
      </c>
      <c r="O239" s="411">
        <v>0</v>
      </c>
      <c r="P239" s="429">
        <v>0</v>
      </c>
      <c r="Q239" s="464">
        <v>0</v>
      </c>
      <c r="R239" s="464">
        <v>0</v>
      </c>
      <c r="S239" s="464">
        <v>0</v>
      </c>
      <c r="T239" s="528">
        <f t="shared" si="64"/>
        <v>0</v>
      </c>
      <c r="U239" s="628">
        <f>SUM(M239:S239)</f>
        <v>80000</v>
      </c>
      <c r="V239" s="628">
        <v>80000</v>
      </c>
      <c r="W239" s="628">
        <v>80000</v>
      </c>
    </row>
    <row r="240" spans="2:23" ht="12.75" customHeight="1">
      <c r="B240" s="287"/>
      <c r="C240" s="671"/>
      <c r="D240" s="560"/>
      <c r="E240" s="557" t="s">
        <v>312</v>
      </c>
      <c r="F240" s="741"/>
      <c r="G240" s="558"/>
      <c r="H240" s="1191" t="s">
        <v>1365</v>
      </c>
      <c r="I240" s="1192"/>
      <c r="J240" s="1193"/>
      <c r="K240" s="960">
        <f aca="true" t="shared" si="71" ref="K240:S240">K241</f>
        <v>13050000</v>
      </c>
      <c r="L240" s="960">
        <f t="shared" si="71"/>
        <v>6863974.88</v>
      </c>
      <c r="M240" s="960">
        <f t="shared" si="71"/>
        <v>14550000</v>
      </c>
      <c r="N240" s="289">
        <f t="shared" si="71"/>
        <v>0</v>
      </c>
      <c r="O240" s="289">
        <f t="shared" si="71"/>
        <v>0</v>
      </c>
      <c r="P240" s="339">
        <f t="shared" si="71"/>
        <v>2478872</v>
      </c>
      <c r="Q240" s="638">
        <f t="shared" si="71"/>
        <v>0</v>
      </c>
      <c r="R240" s="638">
        <f t="shared" si="71"/>
        <v>0</v>
      </c>
      <c r="S240" s="638">
        <f t="shared" si="71"/>
        <v>0</v>
      </c>
      <c r="T240" s="863">
        <f t="shared" si="64"/>
        <v>2478872</v>
      </c>
      <c r="U240" s="674">
        <f aca="true" t="shared" si="72" ref="U240:U253">SUM(M240:S240)</f>
        <v>17028872</v>
      </c>
      <c r="V240" s="674">
        <v>17028872</v>
      </c>
      <c r="W240" s="674">
        <v>17028872</v>
      </c>
    </row>
    <row r="241" spans="2:23" s="42" customFormat="1" ht="12.75">
      <c r="B241" s="639"/>
      <c r="C241" s="1134"/>
      <c r="D241" s="553" t="s">
        <v>22</v>
      </c>
      <c r="E241" s="553"/>
      <c r="F241" s="1135"/>
      <c r="G241" s="1136"/>
      <c r="H241" s="1185" t="s">
        <v>94</v>
      </c>
      <c r="I241" s="1186"/>
      <c r="J241" s="753"/>
      <c r="K241" s="554">
        <f>SUM(K242:K247)</f>
        <v>13050000</v>
      </c>
      <c r="L241" s="554">
        <f>SUM(L242:L247)</f>
        <v>6863974.88</v>
      </c>
      <c r="M241" s="554">
        <f>SUM(M242:M247)</f>
        <v>14550000</v>
      </c>
      <c r="N241" s="66">
        <f aca="true" t="shared" si="73" ref="N241:S241">SUM(N242:N247)</f>
        <v>0</v>
      </c>
      <c r="O241" s="66">
        <f t="shared" si="73"/>
        <v>0</v>
      </c>
      <c r="P241" s="344">
        <f t="shared" si="73"/>
        <v>2478872</v>
      </c>
      <c r="Q241" s="675">
        <f t="shared" si="73"/>
        <v>0</v>
      </c>
      <c r="R241" s="675">
        <f t="shared" si="73"/>
        <v>0</v>
      </c>
      <c r="S241" s="675">
        <f t="shared" si="73"/>
        <v>0</v>
      </c>
      <c r="T241" s="865">
        <f t="shared" si="64"/>
        <v>2478872</v>
      </c>
      <c r="U241" s="381">
        <f t="shared" si="72"/>
        <v>17028872</v>
      </c>
      <c r="V241" s="381">
        <v>17028872</v>
      </c>
      <c r="W241" s="381">
        <v>17028872</v>
      </c>
    </row>
    <row r="242" spans="2:23" s="362" customFormat="1" ht="12.75">
      <c r="B242" s="356"/>
      <c r="C242" s="363"/>
      <c r="D242" s="369"/>
      <c r="E242" s="368"/>
      <c r="F242" s="368" t="s">
        <v>1479</v>
      </c>
      <c r="G242" s="451">
        <v>472</v>
      </c>
      <c r="H242" s="354" t="s">
        <v>1461</v>
      </c>
      <c r="I242" s="449"/>
      <c r="J242" s="450"/>
      <c r="K242" s="980">
        <v>4100000</v>
      </c>
      <c r="L242" s="980">
        <v>2488198.88</v>
      </c>
      <c r="M242" s="980">
        <v>6000000</v>
      </c>
      <c r="N242" s="360">
        <v>0</v>
      </c>
      <c r="O242" s="417">
        <v>0</v>
      </c>
      <c r="P242" s="420">
        <v>1929672</v>
      </c>
      <c r="Q242" s="464">
        <v>0</v>
      </c>
      <c r="R242" s="464">
        <v>0</v>
      </c>
      <c r="S242" s="464">
        <v>0</v>
      </c>
      <c r="T242" s="644">
        <f t="shared" si="64"/>
        <v>1929672</v>
      </c>
      <c r="U242" s="628">
        <f t="shared" si="72"/>
        <v>7929672</v>
      </c>
      <c r="V242" s="628">
        <v>7929672</v>
      </c>
      <c r="W242" s="628">
        <v>7929672</v>
      </c>
    </row>
    <row r="243" spans="2:23" s="362" customFormat="1" ht="12.75">
      <c r="B243" s="356"/>
      <c r="C243" s="363"/>
      <c r="D243" s="369"/>
      <c r="E243" s="368"/>
      <c r="F243" s="368" t="s">
        <v>1480</v>
      </c>
      <c r="G243" s="451">
        <v>472</v>
      </c>
      <c r="H243" s="1205" t="s">
        <v>1445</v>
      </c>
      <c r="I243" s="1206"/>
      <c r="J243" s="1206"/>
      <c r="K243" s="555">
        <v>800000</v>
      </c>
      <c r="L243" s="555">
        <v>333856</v>
      </c>
      <c r="M243" s="555">
        <v>800000</v>
      </c>
      <c r="N243" s="360">
        <v>0</v>
      </c>
      <c r="O243" s="417">
        <v>0</v>
      </c>
      <c r="P243" s="420">
        <v>0</v>
      </c>
      <c r="Q243" s="464">
        <v>0</v>
      </c>
      <c r="R243" s="464">
        <v>0</v>
      </c>
      <c r="S243" s="464">
        <v>0</v>
      </c>
      <c r="T243" s="644">
        <f t="shared" si="64"/>
        <v>0</v>
      </c>
      <c r="U243" s="628">
        <f t="shared" si="72"/>
        <v>800000</v>
      </c>
      <c r="V243" s="628">
        <v>800000</v>
      </c>
      <c r="W243" s="464">
        <v>800000</v>
      </c>
    </row>
    <row r="244" spans="2:23" s="362" customFormat="1" ht="12.75">
      <c r="B244" s="356"/>
      <c r="C244" s="363"/>
      <c r="D244" s="369"/>
      <c r="E244" s="368"/>
      <c r="F244" s="374">
        <v>174</v>
      </c>
      <c r="G244" s="451">
        <v>472</v>
      </c>
      <c r="H244" s="1205" t="s">
        <v>1446</v>
      </c>
      <c r="I244" s="1206"/>
      <c r="J244" s="1206"/>
      <c r="K244" s="555">
        <v>2000000</v>
      </c>
      <c r="L244" s="555">
        <v>860000</v>
      </c>
      <c r="M244" s="555">
        <v>1600000</v>
      </c>
      <c r="N244" s="360">
        <v>0</v>
      </c>
      <c r="O244" s="417">
        <v>0</v>
      </c>
      <c r="P244" s="420">
        <v>0</v>
      </c>
      <c r="Q244" s="464">
        <v>0</v>
      </c>
      <c r="R244" s="464">
        <v>0</v>
      </c>
      <c r="S244" s="464">
        <v>0</v>
      </c>
      <c r="T244" s="644">
        <f t="shared" si="64"/>
        <v>0</v>
      </c>
      <c r="U244" s="628">
        <f t="shared" si="72"/>
        <v>1600000</v>
      </c>
      <c r="V244" s="628">
        <v>1600000</v>
      </c>
      <c r="W244" s="464">
        <v>1600000</v>
      </c>
    </row>
    <row r="245" spans="2:23" s="362" customFormat="1" ht="12.75">
      <c r="B245" s="356"/>
      <c r="C245" s="363"/>
      <c r="D245" s="369"/>
      <c r="E245" s="368"/>
      <c r="F245" s="374">
        <v>175</v>
      </c>
      <c r="G245" s="451">
        <v>472</v>
      </c>
      <c r="H245" s="1205" t="s">
        <v>1524</v>
      </c>
      <c r="I245" s="1206"/>
      <c r="J245" s="1206"/>
      <c r="K245" s="555">
        <v>200000</v>
      </c>
      <c r="L245" s="555">
        <v>0</v>
      </c>
      <c r="M245" s="555">
        <v>200000</v>
      </c>
      <c r="N245" s="360">
        <v>0</v>
      </c>
      <c r="O245" s="417">
        <v>0</v>
      </c>
      <c r="P245" s="420">
        <v>549200</v>
      </c>
      <c r="Q245" s="464">
        <v>0</v>
      </c>
      <c r="R245" s="464">
        <v>0</v>
      </c>
      <c r="S245" s="464">
        <v>0</v>
      </c>
      <c r="T245" s="757">
        <f t="shared" si="64"/>
        <v>549200</v>
      </c>
      <c r="U245" s="628">
        <f t="shared" si="72"/>
        <v>749200</v>
      </c>
      <c r="V245" s="628">
        <v>749200</v>
      </c>
      <c r="W245" s="464">
        <v>749200</v>
      </c>
    </row>
    <row r="246" spans="2:23" s="362" customFormat="1" ht="12.75">
      <c r="B246" s="356"/>
      <c r="C246" s="363"/>
      <c r="D246" s="369"/>
      <c r="E246" s="368"/>
      <c r="F246" s="529">
        <v>176</v>
      </c>
      <c r="G246" s="451">
        <v>472</v>
      </c>
      <c r="H246" s="1205" t="s">
        <v>1447</v>
      </c>
      <c r="I246" s="1206"/>
      <c r="J246" s="1206"/>
      <c r="K246" s="555">
        <v>350000</v>
      </c>
      <c r="L246" s="555">
        <v>0</v>
      </c>
      <c r="M246" s="555">
        <v>350000</v>
      </c>
      <c r="N246" s="360">
        <v>0</v>
      </c>
      <c r="O246" s="417">
        <v>0</v>
      </c>
      <c r="P246" s="420">
        <v>0</v>
      </c>
      <c r="Q246" s="464">
        <v>0</v>
      </c>
      <c r="R246" s="464">
        <v>0</v>
      </c>
      <c r="S246" s="464">
        <v>0</v>
      </c>
      <c r="T246" s="757">
        <f t="shared" si="64"/>
        <v>0</v>
      </c>
      <c r="U246" s="628">
        <f t="shared" si="72"/>
        <v>350000</v>
      </c>
      <c r="V246" s="628">
        <v>350000</v>
      </c>
      <c r="W246" s="464">
        <v>350000</v>
      </c>
    </row>
    <row r="247" spans="2:23" s="362" customFormat="1" ht="12.75">
      <c r="B247" s="356"/>
      <c r="C247" s="363"/>
      <c r="D247" s="358"/>
      <c r="E247" s="363"/>
      <c r="F247" s="529">
        <v>177</v>
      </c>
      <c r="G247" s="451">
        <v>472</v>
      </c>
      <c r="H247" s="1240" t="s">
        <v>1448</v>
      </c>
      <c r="I247" s="1224"/>
      <c r="J247" s="1241"/>
      <c r="K247" s="984">
        <v>5600000</v>
      </c>
      <c r="L247" s="984">
        <v>3181920</v>
      </c>
      <c r="M247" s="984">
        <v>5600000</v>
      </c>
      <c r="N247" s="360">
        <v>0</v>
      </c>
      <c r="O247" s="417">
        <v>0</v>
      </c>
      <c r="P247" s="420">
        <v>0</v>
      </c>
      <c r="Q247" s="464">
        <v>0</v>
      </c>
      <c r="R247" s="464">
        <v>0</v>
      </c>
      <c r="S247" s="464">
        <v>0</v>
      </c>
      <c r="T247" s="757">
        <f t="shared" si="64"/>
        <v>0</v>
      </c>
      <c r="U247" s="628">
        <f t="shared" si="72"/>
        <v>5600000</v>
      </c>
      <c r="V247" s="628">
        <v>5600000</v>
      </c>
      <c r="W247" s="464">
        <v>5600000</v>
      </c>
    </row>
    <row r="248" spans="2:23" ht="12.75" customHeight="1">
      <c r="B248" s="287"/>
      <c r="C248" s="288"/>
      <c r="D248" s="435"/>
      <c r="E248" s="352" t="s">
        <v>310</v>
      </c>
      <c r="F248" s="435"/>
      <c r="G248" s="436"/>
      <c r="H248" s="1191" t="s">
        <v>1240</v>
      </c>
      <c r="I248" s="1192"/>
      <c r="J248" s="1193"/>
      <c r="K248" s="960">
        <f aca="true" t="shared" si="74" ref="K248:S248">K249</f>
        <v>3320000</v>
      </c>
      <c r="L248" s="960">
        <f t="shared" si="74"/>
        <v>2463500</v>
      </c>
      <c r="M248" s="960">
        <f t="shared" si="74"/>
        <v>4020000</v>
      </c>
      <c r="N248" s="293">
        <f t="shared" si="74"/>
        <v>0</v>
      </c>
      <c r="O248" s="293">
        <f t="shared" si="74"/>
        <v>0</v>
      </c>
      <c r="P248" s="293">
        <f t="shared" si="74"/>
        <v>0</v>
      </c>
      <c r="Q248" s="293">
        <f t="shared" si="74"/>
        <v>0</v>
      </c>
      <c r="R248" s="293">
        <f t="shared" si="74"/>
        <v>0</v>
      </c>
      <c r="S248" s="340">
        <f t="shared" si="74"/>
        <v>0</v>
      </c>
      <c r="T248" s="340">
        <f t="shared" si="64"/>
        <v>0</v>
      </c>
      <c r="U248" s="674">
        <f t="shared" si="72"/>
        <v>4020000</v>
      </c>
      <c r="V248" s="674">
        <v>4020000</v>
      </c>
      <c r="W248" s="674">
        <v>4020000</v>
      </c>
    </row>
    <row r="249" spans="2:23" s="362" customFormat="1" ht="12.75">
      <c r="B249" s="356"/>
      <c r="C249" s="363"/>
      <c r="D249" s="182" t="s">
        <v>21</v>
      </c>
      <c r="E249" s="182"/>
      <c r="F249" s="358"/>
      <c r="G249" s="359"/>
      <c r="H249" s="1185" t="s">
        <v>111</v>
      </c>
      <c r="I249" s="1186"/>
      <c r="J249" s="1187"/>
      <c r="K249" s="183">
        <f>SUM(K250:K251)</f>
        <v>3320000</v>
      </c>
      <c r="L249" s="183">
        <f>SUM(L250:L251)</f>
        <v>2463500</v>
      </c>
      <c r="M249" s="183">
        <f>SUM(M250:M251)</f>
        <v>4020000</v>
      </c>
      <c r="N249" s="57">
        <f aca="true" t="shared" si="75" ref="N249:S249">SUM(N250:N251)</f>
        <v>0</v>
      </c>
      <c r="O249" s="57">
        <f t="shared" si="75"/>
        <v>0</v>
      </c>
      <c r="P249" s="57">
        <f t="shared" si="75"/>
        <v>0</v>
      </c>
      <c r="Q249" s="57">
        <f t="shared" si="75"/>
        <v>0</v>
      </c>
      <c r="R249" s="57">
        <f t="shared" si="75"/>
        <v>0</v>
      </c>
      <c r="S249" s="345">
        <f t="shared" si="75"/>
        <v>0</v>
      </c>
      <c r="T249" s="344">
        <f t="shared" si="64"/>
        <v>0</v>
      </c>
      <c r="U249" s="381">
        <f t="shared" si="72"/>
        <v>4020000</v>
      </c>
      <c r="V249" s="381">
        <v>4020000</v>
      </c>
      <c r="W249" s="381">
        <v>4020000</v>
      </c>
    </row>
    <row r="250" spans="2:23" s="362" customFormat="1" ht="12.75">
      <c r="B250" s="356"/>
      <c r="C250" s="363"/>
      <c r="D250" s="358"/>
      <c r="E250" s="363"/>
      <c r="F250" s="529">
        <v>178</v>
      </c>
      <c r="G250" s="451">
        <v>481</v>
      </c>
      <c r="H250" s="1188" t="s">
        <v>1443</v>
      </c>
      <c r="I250" s="1189"/>
      <c r="J250" s="1190"/>
      <c r="K250" s="775">
        <v>920000</v>
      </c>
      <c r="L250" s="775">
        <v>619000</v>
      </c>
      <c r="M250" s="775">
        <v>1570000</v>
      </c>
      <c r="N250" s="360">
        <v>0</v>
      </c>
      <c r="O250" s="417">
        <v>0</v>
      </c>
      <c r="P250" s="417">
        <v>0</v>
      </c>
      <c r="Q250" s="420">
        <v>0</v>
      </c>
      <c r="R250" s="417">
        <v>0</v>
      </c>
      <c r="S250" s="420">
        <v>0</v>
      </c>
      <c r="T250" s="423">
        <f t="shared" si="64"/>
        <v>0</v>
      </c>
      <c r="U250" s="628">
        <f t="shared" si="72"/>
        <v>1570000</v>
      </c>
      <c r="V250" s="628">
        <v>1570000</v>
      </c>
      <c r="W250" s="628">
        <v>1570000</v>
      </c>
    </row>
    <row r="251" spans="2:23" s="362" customFormat="1" ht="12.75">
      <c r="B251" s="356"/>
      <c r="C251" s="363"/>
      <c r="D251" s="358"/>
      <c r="E251" s="363"/>
      <c r="F251" s="374">
        <v>179</v>
      </c>
      <c r="G251" s="451">
        <v>472</v>
      </c>
      <c r="H251" s="1188" t="s">
        <v>1444</v>
      </c>
      <c r="I251" s="1189"/>
      <c r="J251" s="1190"/>
      <c r="K251" s="775">
        <v>2400000</v>
      </c>
      <c r="L251" s="775">
        <v>1844500</v>
      </c>
      <c r="M251" s="775">
        <v>2450000</v>
      </c>
      <c r="N251" s="360">
        <v>0</v>
      </c>
      <c r="O251" s="417">
        <v>0</v>
      </c>
      <c r="P251" s="417">
        <v>0</v>
      </c>
      <c r="Q251" s="420">
        <v>0</v>
      </c>
      <c r="R251" s="417">
        <v>0</v>
      </c>
      <c r="S251" s="420">
        <v>0</v>
      </c>
      <c r="T251" s="423">
        <f t="shared" si="64"/>
        <v>0</v>
      </c>
      <c r="U251" s="628">
        <f t="shared" si="72"/>
        <v>2450000</v>
      </c>
      <c r="V251" s="628">
        <v>2450000</v>
      </c>
      <c r="W251" s="628">
        <v>2450000</v>
      </c>
    </row>
    <row r="252" spans="2:23" ht="12.75">
      <c r="B252" s="594"/>
      <c r="C252" s="595"/>
      <c r="D252" s="559"/>
      <c r="E252" s="633" t="s">
        <v>305</v>
      </c>
      <c r="F252" s="559"/>
      <c r="G252" s="436"/>
      <c r="H252" s="1211" t="s">
        <v>1241</v>
      </c>
      <c r="I252" s="1212"/>
      <c r="J252" s="1213"/>
      <c r="K252" s="977">
        <f>K253+K267+K264</f>
        <v>23260897</v>
      </c>
      <c r="L252" s="977">
        <f>L253+L267+L264</f>
        <v>14240576.390000002</v>
      </c>
      <c r="M252" s="977">
        <f>M253+M267+M264</f>
        <v>20561897</v>
      </c>
      <c r="N252" s="289">
        <f aca="true" t="shared" si="76" ref="N252:S252">N253+N267</f>
        <v>0</v>
      </c>
      <c r="O252" s="289">
        <f t="shared" si="76"/>
        <v>0</v>
      </c>
      <c r="P252" s="289">
        <f t="shared" si="76"/>
        <v>0</v>
      </c>
      <c r="Q252" s="289">
        <f t="shared" si="76"/>
        <v>0</v>
      </c>
      <c r="R252" s="289">
        <f t="shared" si="76"/>
        <v>0</v>
      </c>
      <c r="S252" s="289">
        <f t="shared" si="76"/>
        <v>0</v>
      </c>
      <c r="T252" s="339">
        <f t="shared" si="64"/>
        <v>0</v>
      </c>
      <c r="U252" s="674">
        <f t="shared" si="72"/>
        <v>20561897</v>
      </c>
      <c r="V252" s="674">
        <v>20561897</v>
      </c>
      <c r="W252" s="674">
        <v>20561897</v>
      </c>
    </row>
    <row r="253" spans="2:23" ht="26.25" customHeight="1">
      <c r="B253" s="597"/>
      <c r="C253" s="598"/>
      <c r="D253" s="560" t="s">
        <v>1197</v>
      </c>
      <c r="E253" s="557" t="s">
        <v>306</v>
      </c>
      <c r="F253" s="560"/>
      <c r="G253" s="558"/>
      <c r="H253" s="1191" t="s">
        <v>1227</v>
      </c>
      <c r="I253" s="1232"/>
      <c r="J253" s="1233"/>
      <c r="K253" s="981">
        <f aca="true" t="shared" si="77" ref="K253:S253">K254</f>
        <v>16796897</v>
      </c>
      <c r="L253" s="981">
        <f t="shared" si="77"/>
        <v>14135527.680000002</v>
      </c>
      <c r="M253" s="981">
        <f>M254</f>
        <v>20360897</v>
      </c>
      <c r="N253" s="293">
        <f t="shared" si="77"/>
        <v>0</v>
      </c>
      <c r="O253" s="293">
        <f t="shared" si="77"/>
        <v>0</v>
      </c>
      <c r="P253" s="293">
        <f t="shared" si="77"/>
        <v>0</v>
      </c>
      <c r="Q253" s="293">
        <f t="shared" si="77"/>
        <v>0</v>
      </c>
      <c r="R253" s="293">
        <f t="shared" si="77"/>
        <v>0</v>
      </c>
      <c r="S253" s="340">
        <f t="shared" si="77"/>
        <v>0</v>
      </c>
      <c r="T253" s="340">
        <f t="shared" si="64"/>
        <v>0</v>
      </c>
      <c r="U253" s="674">
        <f t="shared" si="72"/>
        <v>20360897</v>
      </c>
      <c r="V253" s="674">
        <v>20360897</v>
      </c>
      <c r="W253" s="674">
        <v>20360897</v>
      </c>
    </row>
    <row r="254" spans="2:23" s="23" customFormat="1" ht="12.75">
      <c r="B254" s="600"/>
      <c r="C254" s="601"/>
      <c r="D254" s="551" t="s">
        <v>550</v>
      </c>
      <c r="E254" s="531"/>
      <c r="F254" s="602"/>
      <c r="G254" s="564"/>
      <c r="H254" s="1185" t="s">
        <v>88</v>
      </c>
      <c r="I254" s="1186"/>
      <c r="J254" s="1187"/>
      <c r="K254" s="183">
        <f>SUM(K255:K263)</f>
        <v>16796897</v>
      </c>
      <c r="L254" s="183">
        <f>SUM(L255:L263)</f>
        <v>14135527.680000002</v>
      </c>
      <c r="M254" s="183">
        <f>SUM(M255:M263)</f>
        <v>20360897</v>
      </c>
      <c r="N254" s="599">
        <f aca="true" t="shared" si="78" ref="N254:T254">SUM(N255:N263)</f>
        <v>0</v>
      </c>
      <c r="O254" s="599">
        <f t="shared" si="78"/>
        <v>0</v>
      </c>
      <c r="P254" s="599">
        <f t="shared" si="78"/>
        <v>0</v>
      </c>
      <c r="Q254" s="599">
        <f t="shared" si="78"/>
        <v>0</v>
      </c>
      <c r="R254" s="599">
        <f t="shared" si="78"/>
        <v>0</v>
      </c>
      <c r="S254" s="599">
        <f t="shared" si="78"/>
        <v>0</v>
      </c>
      <c r="T254" s="866">
        <f t="shared" si="78"/>
        <v>0</v>
      </c>
      <c r="U254" s="885">
        <f>M254</f>
        <v>20360897</v>
      </c>
      <c r="V254" s="885">
        <v>20360897</v>
      </c>
      <c r="W254" s="885">
        <v>20360897</v>
      </c>
    </row>
    <row r="255" spans="2:23" ht="12.75">
      <c r="B255" s="530"/>
      <c r="C255" s="596"/>
      <c r="D255" s="531"/>
      <c r="E255" s="531"/>
      <c r="F255" s="529">
        <v>180</v>
      </c>
      <c r="G255" s="440">
        <v>464</v>
      </c>
      <c r="H255" s="1248" t="s">
        <v>112</v>
      </c>
      <c r="I255" s="1249"/>
      <c r="J255" s="1250"/>
      <c r="K255" s="958">
        <v>1800000</v>
      </c>
      <c r="L255" s="958">
        <v>1044129.03</v>
      </c>
      <c r="M255" s="958">
        <v>1600000</v>
      </c>
      <c r="N255" s="360">
        <v>0</v>
      </c>
      <c r="O255" s="467">
        <v>0</v>
      </c>
      <c r="P255" s="467">
        <v>0</v>
      </c>
      <c r="Q255" s="467">
        <v>0</v>
      </c>
      <c r="R255" s="467">
        <v>0</v>
      </c>
      <c r="S255" s="467">
        <v>0</v>
      </c>
      <c r="T255" s="425">
        <f t="shared" si="64"/>
        <v>0</v>
      </c>
      <c r="U255" s="795">
        <f aca="true" t="shared" si="79" ref="U255:U263">SUM(M255:S255)</f>
        <v>1600000</v>
      </c>
      <c r="V255" s="795">
        <v>1700000</v>
      </c>
      <c r="W255" s="795">
        <v>1700000</v>
      </c>
    </row>
    <row r="256" spans="2:23" ht="12.75">
      <c r="B256" s="530"/>
      <c r="C256" s="596"/>
      <c r="D256" s="531"/>
      <c r="E256" s="531"/>
      <c r="F256" s="529">
        <v>181</v>
      </c>
      <c r="G256" s="440">
        <v>464</v>
      </c>
      <c r="H256" s="1248" t="s">
        <v>113</v>
      </c>
      <c r="I256" s="1249"/>
      <c r="J256" s="1250"/>
      <c r="K256" s="959">
        <v>288000</v>
      </c>
      <c r="L256" s="959">
        <v>184777.78</v>
      </c>
      <c r="M256" s="959">
        <v>320000</v>
      </c>
      <c r="N256" s="360">
        <v>0</v>
      </c>
      <c r="O256" s="467">
        <v>0</v>
      </c>
      <c r="P256" s="467">
        <v>0</v>
      </c>
      <c r="Q256" s="467">
        <v>0</v>
      </c>
      <c r="R256" s="467">
        <v>0</v>
      </c>
      <c r="S256" s="467">
        <v>0</v>
      </c>
      <c r="T256" s="425">
        <f t="shared" si="64"/>
        <v>0</v>
      </c>
      <c r="U256" s="795">
        <f t="shared" si="79"/>
        <v>320000</v>
      </c>
      <c r="V256" s="795">
        <v>320000</v>
      </c>
      <c r="W256" s="795">
        <v>320000</v>
      </c>
    </row>
    <row r="257" spans="2:23" ht="12.75">
      <c r="B257" s="530"/>
      <c r="C257" s="596"/>
      <c r="D257" s="531"/>
      <c r="E257" s="531"/>
      <c r="F257" s="848">
        <v>183</v>
      </c>
      <c r="G257" s="440">
        <v>464</v>
      </c>
      <c r="H257" s="1202" t="s">
        <v>99</v>
      </c>
      <c r="I257" s="1203"/>
      <c r="J257" s="1203"/>
      <c r="K257" s="999">
        <v>420000</v>
      </c>
      <c r="L257" s="999">
        <v>314128.45999999996</v>
      </c>
      <c r="M257" s="999">
        <v>600000</v>
      </c>
      <c r="N257" s="360">
        <v>0</v>
      </c>
      <c r="O257" s="467">
        <v>0</v>
      </c>
      <c r="P257" s="467">
        <v>0</v>
      </c>
      <c r="Q257" s="425">
        <v>0</v>
      </c>
      <c r="R257" s="467">
        <v>0</v>
      </c>
      <c r="S257" s="425">
        <v>0</v>
      </c>
      <c r="T257" s="468">
        <v>0</v>
      </c>
      <c r="U257" s="795">
        <f t="shared" si="79"/>
        <v>600000</v>
      </c>
      <c r="V257" s="795">
        <v>600000</v>
      </c>
      <c r="W257" s="795">
        <v>600000</v>
      </c>
    </row>
    <row r="258" spans="2:23" ht="12.75">
      <c r="B258" s="530"/>
      <c r="C258" s="596"/>
      <c r="D258" s="531"/>
      <c r="E258" s="531"/>
      <c r="F258" s="848" t="s">
        <v>1581</v>
      </c>
      <c r="G258" s="440">
        <v>464</v>
      </c>
      <c r="H258" s="373" t="s">
        <v>100</v>
      </c>
      <c r="I258" s="444"/>
      <c r="J258" s="444"/>
      <c r="K258" s="999">
        <v>200000</v>
      </c>
      <c r="L258" s="999">
        <v>199274.09</v>
      </c>
      <c r="M258" s="999">
        <v>800000</v>
      </c>
      <c r="N258" s="360">
        <v>0</v>
      </c>
      <c r="O258" s="467">
        <v>0</v>
      </c>
      <c r="P258" s="467">
        <v>0</v>
      </c>
      <c r="Q258" s="425">
        <v>0</v>
      </c>
      <c r="R258" s="467">
        <v>0</v>
      </c>
      <c r="S258" s="425">
        <v>0</v>
      </c>
      <c r="T258" s="468"/>
      <c r="U258" s="795">
        <f t="shared" si="79"/>
        <v>800000</v>
      </c>
      <c r="V258" s="795">
        <v>1000000</v>
      </c>
      <c r="W258" s="795">
        <v>1000000</v>
      </c>
    </row>
    <row r="259" spans="2:23" ht="12.75">
      <c r="B259" s="437"/>
      <c r="C259" s="438"/>
      <c r="D259" s="466"/>
      <c r="E259" s="466"/>
      <c r="F259" s="848">
        <v>184</v>
      </c>
      <c r="G259" s="359">
        <v>464</v>
      </c>
      <c r="H259" s="354" t="s">
        <v>102</v>
      </c>
      <c r="I259" s="449"/>
      <c r="J259" s="449"/>
      <c r="K259" s="555">
        <v>4953000</v>
      </c>
      <c r="L259" s="555">
        <v>4855310.440000001</v>
      </c>
      <c r="M259" s="555">
        <v>7400000</v>
      </c>
      <c r="N259" s="360">
        <v>0</v>
      </c>
      <c r="O259" s="467">
        <v>0</v>
      </c>
      <c r="P259" s="467">
        <v>0</v>
      </c>
      <c r="Q259" s="425">
        <v>0</v>
      </c>
      <c r="R259" s="417">
        <v>0</v>
      </c>
      <c r="S259" s="425">
        <v>0</v>
      </c>
      <c r="T259" s="468">
        <f t="shared" si="64"/>
        <v>0</v>
      </c>
      <c r="U259" s="795">
        <f t="shared" si="79"/>
        <v>7400000</v>
      </c>
      <c r="V259" s="795">
        <v>7000000</v>
      </c>
      <c r="W259" s="795">
        <v>7000000</v>
      </c>
    </row>
    <row r="260" spans="2:23" ht="12.75">
      <c r="B260" s="437"/>
      <c r="C260" s="438"/>
      <c r="D260" s="466"/>
      <c r="E260" s="466"/>
      <c r="F260" s="529">
        <v>185</v>
      </c>
      <c r="G260" s="359">
        <v>464</v>
      </c>
      <c r="H260" s="354" t="s">
        <v>104</v>
      </c>
      <c r="I260" s="449"/>
      <c r="J260" s="449"/>
      <c r="K260" s="555">
        <v>675000</v>
      </c>
      <c r="L260" s="555">
        <v>645639</v>
      </c>
      <c r="M260" s="555">
        <v>900000</v>
      </c>
      <c r="N260" s="360">
        <v>0</v>
      </c>
      <c r="O260" s="467">
        <v>0</v>
      </c>
      <c r="P260" s="467">
        <v>0</v>
      </c>
      <c r="Q260" s="425">
        <v>0</v>
      </c>
      <c r="R260" s="417">
        <v>0</v>
      </c>
      <c r="S260" s="425">
        <v>0</v>
      </c>
      <c r="T260" s="468">
        <f t="shared" si="64"/>
        <v>0</v>
      </c>
      <c r="U260" s="795">
        <f t="shared" si="79"/>
        <v>900000</v>
      </c>
      <c r="V260" s="795">
        <v>900000</v>
      </c>
      <c r="W260" s="795">
        <v>900000</v>
      </c>
    </row>
    <row r="261" spans="2:23" ht="12.75">
      <c r="B261" s="437"/>
      <c r="C261" s="438"/>
      <c r="D261" s="466"/>
      <c r="E261" s="466"/>
      <c r="F261" s="848">
        <v>187</v>
      </c>
      <c r="G261" s="359">
        <v>464</v>
      </c>
      <c r="H261" s="354" t="s">
        <v>1419</v>
      </c>
      <c r="I261" s="449"/>
      <c r="J261" s="449"/>
      <c r="K261" s="555">
        <v>200000</v>
      </c>
      <c r="L261" s="555">
        <v>195625.6</v>
      </c>
      <c r="M261" s="555">
        <v>400000</v>
      </c>
      <c r="N261" s="360">
        <v>0</v>
      </c>
      <c r="O261" s="467">
        <v>0</v>
      </c>
      <c r="P261" s="467">
        <v>0</v>
      </c>
      <c r="Q261" s="425">
        <v>0</v>
      </c>
      <c r="R261" s="417">
        <v>0</v>
      </c>
      <c r="S261" s="425">
        <v>0</v>
      </c>
      <c r="T261" s="468">
        <f t="shared" si="64"/>
        <v>0</v>
      </c>
      <c r="U261" s="795">
        <f t="shared" si="79"/>
        <v>400000</v>
      </c>
      <c r="V261" s="795">
        <v>500000</v>
      </c>
      <c r="W261" s="795">
        <v>500000</v>
      </c>
    </row>
    <row r="262" spans="2:23" s="362" customFormat="1" ht="12.75">
      <c r="B262" s="845"/>
      <c r="C262" s="494"/>
      <c r="D262" s="546"/>
      <c r="E262" s="494"/>
      <c r="F262" s="848">
        <v>188</v>
      </c>
      <c r="G262" s="546">
        <v>464</v>
      </c>
      <c r="H262" s="1254" t="s">
        <v>107</v>
      </c>
      <c r="I262" s="1254"/>
      <c r="J262" s="850"/>
      <c r="K262" s="1139">
        <v>720000</v>
      </c>
      <c r="L262" s="1139">
        <v>684514</v>
      </c>
      <c r="M262" s="1139">
        <v>800000</v>
      </c>
      <c r="N262" s="360">
        <v>0</v>
      </c>
      <c r="O262" s="417">
        <v>0</v>
      </c>
      <c r="P262" s="417">
        <v>0</v>
      </c>
      <c r="Q262" s="420">
        <v>0</v>
      </c>
      <c r="R262" s="417">
        <v>0</v>
      </c>
      <c r="S262" s="420">
        <v>0</v>
      </c>
      <c r="T262" s="423">
        <f t="shared" si="64"/>
        <v>0</v>
      </c>
      <c r="U262" s="628">
        <f t="shared" si="79"/>
        <v>800000</v>
      </c>
      <c r="V262" s="628">
        <v>800000</v>
      </c>
      <c r="W262" s="628">
        <v>800000</v>
      </c>
    </row>
    <row r="263" spans="2:23" s="362" customFormat="1" ht="12.75">
      <c r="B263" s="462"/>
      <c r="C263" s="494"/>
      <c r="D263" s="546"/>
      <c r="E263" s="494"/>
      <c r="F263" s="848">
        <v>189</v>
      </c>
      <c r="G263" s="1098">
        <v>464</v>
      </c>
      <c r="H263" s="1099" t="s">
        <v>1482</v>
      </c>
      <c r="I263" s="1099"/>
      <c r="J263" s="1100"/>
      <c r="K263" s="1139">
        <v>7540897</v>
      </c>
      <c r="L263" s="1139">
        <v>6012129.28</v>
      </c>
      <c r="M263" s="1139">
        <v>7540897</v>
      </c>
      <c r="N263" s="413">
        <v>0</v>
      </c>
      <c r="O263" s="411">
        <v>0</v>
      </c>
      <c r="P263" s="411">
        <v>0</v>
      </c>
      <c r="Q263" s="429">
        <v>0</v>
      </c>
      <c r="R263" s="411">
        <v>0</v>
      </c>
      <c r="S263" s="429">
        <v>0</v>
      </c>
      <c r="T263" s="429">
        <v>0</v>
      </c>
      <c r="U263" s="628">
        <f t="shared" si="79"/>
        <v>7540897</v>
      </c>
      <c r="V263" s="628">
        <v>7540897</v>
      </c>
      <c r="W263" s="628">
        <v>7540897</v>
      </c>
    </row>
    <row r="264" spans="2:24" s="362" customFormat="1" ht="29.25" customHeight="1">
      <c r="B264" s="557"/>
      <c r="C264" s="1102"/>
      <c r="D264" s="1103"/>
      <c r="E264" s="1102" t="s">
        <v>1532</v>
      </c>
      <c r="F264" s="1103"/>
      <c r="G264" s="1104"/>
      <c r="H264" s="1261" t="s">
        <v>1533</v>
      </c>
      <c r="I264" s="1262"/>
      <c r="J264" s="1263"/>
      <c r="K264" s="1110">
        <f aca="true" t="shared" si="80" ref="K264:M265">K265</f>
        <v>6264000</v>
      </c>
      <c r="L264" s="1110">
        <f t="shared" si="80"/>
        <v>0</v>
      </c>
      <c r="M264" s="1110">
        <f t="shared" si="80"/>
        <v>1000</v>
      </c>
      <c r="N264" s="1112">
        <v>0</v>
      </c>
      <c r="O264" s="1111">
        <v>0</v>
      </c>
      <c r="P264" s="1111">
        <v>0</v>
      </c>
      <c r="Q264" s="1113">
        <v>0</v>
      </c>
      <c r="R264" s="1111">
        <v>0</v>
      </c>
      <c r="S264" s="1113">
        <v>0</v>
      </c>
      <c r="T264" s="1113">
        <v>0</v>
      </c>
      <c r="U264" s="1114">
        <f>SUM(M264:T264)</f>
        <v>1000</v>
      </c>
      <c r="V264" s="1120">
        <v>1000</v>
      </c>
      <c r="W264" s="1120">
        <v>1000</v>
      </c>
      <c r="X264" s="409"/>
    </row>
    <row r="265" spans="2:23" s="362" customFormat="1" ht="15.75" customHeight="1">
      <c r="B265" s="1106"/>
      <c r="C265" s="1106"/>
      <c r="D265" s="1118">
        <v>740</v>
      </c>
      <c r="E265" s="1106"/>
      <c r="F265" s="848"/>
      <c r="G265" s="848"/>
      <c r="H265" s="1255" t="s">
        <v>88</v>
      </c>
      <c r="I265" s="1256"/>
      <c r="J265" s="1257"/>
      <c r="K265" s="1115">
        <f t="shared" si="80"/>
        <v>6264000</v>
      </c>
      <c r="L265" s="1115">
        <f t="shared" si="80"/>
        <v>0</v>
      </c>
      <c r="M265" s="1115">
        <f t="shared" si="80"/>
        <v>1000</v>
      </c>
      <c r="N265" s="885">
        <v>0</v>
      </c>
      <c r="O265" s="1116">
        <v>0</v>
      </c>
      <c r="P265" s="1116">
        <v>0</v>
      </c>
      <c r="Q265" s="1116">
        <v>0</v>
      </c>
      <c r="R265" s="1116">
        <v>0</v>
      </c>
      <c r="S265" s="1116">
        <v>0</v>
      </c>
      <c r="T265" s="1116">
        <v>0</v>
      </c>
      <c r="U265" s="1117">
        <f>SUM(M265:T265)</f>
        <v>1000</v>
      </c>
      <c r="V265" s="1117">
        <v>1000</v>
      </c>
      <c r="W265" s="1117">
        <v>1000</v>
      </c>
    </row>
    <row r="266" spans="2:23" s="362" customFormat="1" ht="15.75" customHeight="1">
      <c r="B266" s="1106"/>
      <c r="C266" s="1101"/>
      <c r="D266" s="1097"/>
      <c r="E266" s="1101"/>
      <c r="F266" s="1097">
        <v>190</v>
      </c>
      <c r="G266" s="848">
        <v>512</v>
      </c>
      <c r="H266" s="1258" t="s">
        <v>1554</v>
      </c>
      <c r="I266" s="1256"/>
      <c r="J266" s="1257"/>
      <c r="K266" s="1107">
        <v>6264000</v>
      </c>
      <c r="L266" s="1107">
        <v>0</v>
      </c>
      <c r="M266" s="1107">
        <v>1000</v>
      </c>
      <c r="N266" s="1109">
        <v>0</v>
      </c>
      <c r="O266" s="1108">
        <v>0</v>
      </c>
      <c r="P266" s="1108">
        <v>0</v>
      </c>
      <c r="Q266" s="1108">
        <v>0</v>
      </c>
      <c r="R266" s="1108">
        <v>0</v>
      </c>
      <c r="S266" s="1108">
        <v>0</v>
      </c>
      <c r="T266" s="1108">
        <v>0</v>
      </c>
      <c r="U266" s="882">
        <f>SUM(M266:T266)</f>
        <v>1000</v>
      </c>
      <c r="V266" s="882">
        <v>1000</v>
      </c>
      <c r="W266" s="1117">
        <v>1000</v>
      </c>
    </row>
    <row r="267" spans="2:23" ht="15" customHeight="1">
      <c r="B267" s="597"/>
      <c r="C267" s="846"/>
      <c r="D267" s="741" t="s">
        <v>1197</v>
      </c>
      <c r="E267" s="847" t="s">
        <v>1243</v>
      </c>
      <c r="F267" s="741"/>
      <c r="G267" s="558"/>
      <c r="H267" s="1265" t="s">
        <v>1244</v>
      </c>
      <c r="I267" s="1266"/>
      <c r="J267" s="1266"/>
      <c r="K267" s="1129">
        <f aca="true" t="shared" si="81" ref="K267:S268">K268</f>
        <v>200000</v>
      </c>
      <c r="L267" s="1129">
        <f t="shared" si="81"/>
        <v>105048.71</v>
      </c>
      <c r="M267" s="1129">
        <f t="shared" si="81"/>
        <v>200000</v>
      </c>
      <c r="N267" s="293">
        <f t="shared" si="81"/>
        <v>0</v>
      </c>
      <c r="O267" s="293">
        <f t="shared" si="81"/>
        <v>0</v>
      </c>
      <c r="P267" s="293">
        <f t="shared" si="81"/>
        <v>0</v>
      </c>
      <c r="Q267" s="293">
        <f t="shared" si="81"/>
        <v>0</v>
      </c>
      <c r="R267" s="293">
        <f t="shared" si="81"/>
        <v>0</v>
      </c>
      <c r="S267" s="340">
        <f t="shared" si="81"/>
        <v>0</v>
      </c>
      <c r="T267" s="340">
        <f t="shared" si="64"/>
        <v>0</v>
      </c>
      <c r="U267" s="1105">
        <f aca="true" t="shared" si="82" ref="U267:U283">SUM(M267:S267)</f>
        <v>200000</v>
      </c>
      <c r="V267" s="674">
        <v>200000</v>
      </c>
      <c r="W267" s="674">
        <v>200000</v>
      </c>
    </row>
    <row r="268" spans="2:23" ht="12.75">
      <c r="B268" s="437"/>
      <c r="C268" s="438"/>
      <c r="D268" s="56">
        <v>721</v>
      </c>
      <c r="E268" s="182"/>
      <c r="F268" s="358"/>
      <c r="G268" s="359"/>
      <c r="H268" s="74" t="s">
        <v>343</v>
      </c>
      <c r="I268" s="75"/>
      <c r="J268" s="456"/>
      <c r="K268" s="750">
        <f t="shared" si="81"/>
        <v>200000</v>
      </c>
      <c r="L268" s="750">
        <f t="shared" si="81"/>
        <v>105048.71</v>
      </c>
      <c r="M268" s="750">
        <f t="shared" si="81"/>
        <v>200000</v>
      </c>
      <c r="N268" s="69">
        <f aca="true" t="shared" si="83" ref="N268:S268">N269</f>
        <v>0</v>
      </c>
      <c r="O268" s="69">
        <f t="shared" si="83"/>
        <v>0</v>
      </c>
      <c r="P268" s="69">
        <f t="shared" si="83"/>
        <v>0</v>
      </c>
      <c r="Q268" s="69">
        <f t="shared" si="83"/>
        <v>0</v>
      </c>
      <c r="R268" s="69">
        <f t="shared" si="83"/>
        <v>0</v>
      </c>
      <c r="S268" s="69">
        <f t="shared" si="83"/>
        <v>0</v>
      </c>
      <c r="T268" s="343">
        <f t="shared" si="64"/>
        <v>0</v>
      </c>
      <c r="U268" s="876">
        <f t="shared" si="82"/>
        <v>200000</v>
      </c>
      <c r="V268" s="876">
        <v>200000</v>
      </c>
      <c r="W268" s="876">
        <v>200000</v>
      </c>
    </row>
    <row r="269" spans="2:23" s="362" customFormat="1" ht="12.75">
      <c r="B269" s="356"/>
      <c r="C269" s="363"/>
      <c r="D269" s="358"/>
      <c r="E269" s="363"/>
      <c r="F269" s="374">
        <v>191</v>
      </c>
      <c r="G269" s="451">
        <v>424</v>
      </c>
      <c r="H269" s="1248" t="s">
        <v>1420</v>
      </c>
      <c r="I269" s="1249"/>
      <c r="J269" s="1249"/>
      <c r="K269" s="999">
        <v>200000</v>
      </c>
      <c r="L269" s="999">
        <v>105048.71</v>
      </c>
      <c r="M269" s="999">
        <v>200000</v>
      </c>
      <c r="N269" s="360">
        <v>0</v>
      </c>
      <c r="O269" s="417">
        <v>0</v>
      </c>
      <c r="P269" s="417">
        <v>0</v>
      </c>
      <c r="Q269" s="420">
        <v>0</v>
      </c>
      <c r="R269" s="420">
        <v>0</v>
      </c>
      <c r="S269" s="420">
        <v>0</v>
      </c>
      <c r="T269" s="420">
        <f t="shared" si="64"/>
        <v>0</v>
      </c>
      <c r="U269" s="628">
        <f t="shared" si="82"/>
        <v>200000</v>
      </c>
      <c r="V269" s="628">
        <v>200000</v>
      </c>
      <c r="W269" s="628">
        <v>200000</v>
      </c>
    </row>
    <row r="270" spans="2:23" ht="12.75">
      <c r="B270" s="287"/>
      <c r="C270" s="288"/>
      <c r="D270" s="435"/>
      <c r="E270" s="630" t="s">
        <v>317</v>
      </c>
      <c r="F270" s="435"/>
      <c r="G270" s="436"/>
      <c r="H270" s="1211" t="s">
        <v>1245</v>
      </c>
      <c r="I270" s="1212"/>
      <c r="J270" s="1213"/>
      <c r="K270" s="977">
        <f>K271+K284</f>
        <v>19000000</v>
      </c>
      <c r="L270" s="977">
        <f>L271+L284</f>
        <v>5612836.61</v>
      </c>
      <c r="M270" s="977">
        <f>M271+M284</f>
        <v>9000000</v>
      </c>
      <c r="N270" s="289">
        <f aca="true" t="shared" si="84" ref="N270:S270">N271+N284</f>
        <v>0</v>
      </c>
      <c r="O270" s="289">
        <f t="shared" si="84"/>
        <v>0</v>
      </c>
      <c r="P270" s="289">
        <f t="shared" si="84"/>
        <v>0</v>
      </c>
      <c r="Q270" s="289">
        <f t="shared" si="84"/>
        <v>73600000</v>
      </c>
      <c r="R270" s="289">
        <f t="shared" si="84"/>
        <v>0</v>
      </c>
      <c r="S270" s="289">
        <f t="shared" si="84"/>
        <v>0</v>
      </c>
      <c r="T270" s="339">
        <f t="shared" si="64"/>
        <v>73600000</v>
      </c>
      <c r="U270" s="674">
        <f t="shared" si="82"/>
        <v>82600000</v>
      </c>
      <c r="V270" s="674">
        <v>82600000</v>
      </c>
      <c r="W270" s="674">
        <v>82600000</v>
      </c>
    </row>
    <row r="271" spans="2:23" ht="26.25" customHeight="1">
      <c r="B271" s="287"/>
      <c r="C271" s="288"/>
      <c r="D271" s="435"/>
      <c r="E271" s="352" t="s">
        <v>318</v>
      </c>
      <c r="F271" s="435"/>
      <c r="G271" s="436"/>
      <c r="H271" s="1191" t="s">
        <v>1246</v>
      </c>
      <c r="I271" s="1192"/>
      <c r="J271" s="1193"/>
      <c r="K271" s="960">
        <f>K272</f>
        <v>14500000</v>
      </c>
      <c r="L271" s="960">
        <f>L272</f>
        <v>5612836.61</v>
      </c>
      <c r="M271" s="960">
        <f>M272</f>
        <v>8000000</v>
      </c>
      <c r="N271" s="293">
        <f aca="true" t="shared" si="85" ref="N271:S271">N272</f>
        <v>0</v>
      </c>
      <c r="O271" s="293">
        <f t="shared" si="85"/>
        <v>0</v>
      </c>
      <c r="P271" s="293">
        <f t="shared" si="85"/>
        <v>0</v>
      </c>
      <c r="Q271" s="293">
        <f t="shared" si="85"/>
        <v>73600000</v>
      </c>
      <c r="R271" s="293">
        <f t="shared" si="85"/>
        <v>0</v>
      </c>
      <c r="S271" s="293">
        <f t="shared" si="85"/>
        <v>0</v>
      </c>
      <c r="T271" s="340">
        <f t="shared" si="64"/>
        <v>73600000</v>
      </c>
      <c r="U271" s="674">
        <f t="shared" si="82"/>
        <v>81600000</v>
      </c>
      <c r="V271" s="674">
        <v>81600000</v>
      </c>
      <c r="W271" s="674">
        <v>81600000</v>
      </c>
    </row>
    <row r="272" spans="2:23" ht="12.75">
      <c r="B272" s="437"/>
      <c r="C272" s="438"/>
      <c r="D272" s="56">
        <v>420</v>
      </c>
      <c r="E272" s="182"/>
      <c r="F272" s="358"/>
      <c r="G272" s="359"/>
      <c r="H272" s="74" t="s">
        <v>214</v>
      </c>
      <c r="I272" s="75"/>
      <c r="J272" s="452"/>
      <c r="K272" s="971">
        <f>SUM(K273:K283)</f>
        <v>14500000</v>
      </c>
      <c r="L272" s="971">
        <f>SUM(L273:L283)</f>
        <v>5612836.61</v>
      </c>
      <c r="M272" s="971">
        <f>SUM(M273:M283)</f>
        <v>8000000</v>
      </c>
      <c r="N272" s="554">
        <f aca="true" t="shared" si="86" ref="N272:S272">SUM(N273:N283)</f>
        <v>0</v>
      </c>
      <c r="O272" s="554">
        <f t="shared" si="86"/>
        <v>0</v>
      </c>
      <c r="P272" s="554">
        <f t="shared" si="86"/>
        <v>0</v>
      </c>
      <c r="Q272" s="554">
        <f t="shared" si="86"/>
        <v>73600000</v>
      </c>
      <c r="R272" s="554">
        <f t="shared" si="86"/>
        <v>0</v>
      </c>
      <c r="S272" s="554">
        <f t="shared" si="86"/>
        <v>0</v>
      </c>
      <c r="T272" s="867">
        <f t="shared" si="64"/>
        <v>73600000</v>
      </c>
      <c r="U272" s="876">
        <f t="shared" si="82"/>
        <v>81600000</v>
      </c>
      <c r="V272" s="876">
        <v>81600000</v>
      </c>
      <c r="W272" s="876">
        <v>81600000</v>
      </c>
    </row>
    <row r="273" spans="2:23" s="524" customFormat="1" ht="12.75">
      <c r="B273" s="525"/>
      <c r="C273" s="459"/>
      <c r="D273" s="526"/>
      <c r="E273" s="459"/>
      <c r="F273" s="526">
        <v>192</v>
      </c>
      <c r="G273" s="441">
        <v>421</v>
      </c>
      <c r="H273" s="1237" t="s">
        <v>222</v>
      </c>
      <c r="I273" s="1238"/>
      <c r="J273" s="1239"/>
      <c r="K273" s="969">
        <v>300000</v>
      </c>
      <c r="L273" s="969">
        <v>3347</v>
      </c>
      <c r="M273" s="969">
        <v>300000</v>
      </c>
      <c r="N273" s="360">
        <v>0</v>
      </c>
      <c r="O273" s="527">
        <v>0</v>
      </c>
      <c r="P273" s="527">
        <v>0</v>
      </c>
      <c r="Q273" s="422">
        <v>0</v>
      </c>
      <c r="R273" s="420">
        <v>0</v>
      </c>
      <c r="S273" s="422">
        <v>0</v>
      </c>
      <c r="T273" s="422">
        <f t="shared" si="64"/>
        <v>0</v>
      </c>
      <c r="U273" s="882">
        <f t="shared" si="82"/>
        <v>300000</v>
      </c>
      <c r="V273" s="882">
        <v>300000</v>
      </c>
      <c r="W273" s="882">
        <v>300000</v>
      </c>
    </row>
    <row r="274" spans="2:23" s="362" customFormat="1" ht="12.75">
      <c r="B274" s="356"/>
      <c r="C274" s="363"/>
      <c r="D274" s="364"/>
      <c r="E274" s="357"/>
      <c r="F274" s="526">
        <v>193</v>
      </c>
      <c r="G274" s="359">
        <v>423</v>
      </c>
      <c r="H274" s="1205" t="s">
        <v>1421</v>
      </c>
      <c r="I274" s="1206"/>
      <c r="J274" s="1207"/>
      <c r="K274" s="775">
        <v>3000000</v>
      </c>
      <c r="L274" s="775">
        <v>507168</v>
      </c>
      <c r="M274" s="775">
        <v>3000000</v>
      </c>
      <c r="N274" s="360">
        <v>0</v>
      </c>
      <c r="O274" s="457">
        <v>0</v>
      </c>
      <c r="P274" s="457">
        <v>0</v>
      </c>
      <c r="Q274" s="424">
        <v>1000000</v>
      </c>
      <c r="R274" s="420">
        <v>0</v>
      </c>
      <c r="S274" s="424">
        <v>0</v>
      </c>
      <c r="T274" s="361">
        <f t="shared" si="64"/>
        <v>1000000</v>
      </c>
      <c r="U274" s="382">
        <f t="shared" si="82"/>
        <v>4000000</v>
      </c>
      <c r="V274" s="382">
        <v>4000000</v>
      </c>
      <c r="W274" s="382">
        <v>4000000</v>
      </c>
    </row>
    <row r="275" spans="2:23" s="362" customFormat="1" ht="12.75">
      <c r="B275" s="356"/>
      <c r="C275" s="363"/>
      <c r="D275" s="358"/>
      <c r="E275" s="363"/>
      <c r="F275" s="526">
        <v>194</v>
      </c>
      <c r="G275" s="451">
        <v>424</v>
      </c>
      <c r="H275" s="1188" t="s">
        <v>1426</v>
      </c>
      <c r="I275" s="1189"/>
      <c r="J275" s="1190"/>
      <c r="K275" s="775">
        <v>0</v>
      </c>
      <c r="L275" s="775">
        <v>0</v>
      </c>
      <c r="M275" s="775">
        <v>0</v>
      </c>
      <c r="N275" s="360">
        <v>0</v>
      </c>
      <c r="O275" s="417">
        <v>0</v>
      </c>
      <c r="P275" s="417">
        <v>0</v>
      </c>
      <c r="Q275" s="424">
        <v>2000000</v>
      </c>
      <c r="R275" s="420">
        <v>0</v>
      </c>
      <c r="S275" s="425">
        <v>0</v>
      </c>
      <c r="T275" s="425">
        <f t="shared" si="64"/>
        <v>2000000</v>
      </c>
      <c r="U275" s="628">
        <f t="shared" si="82"/>
        <v>2000000</v>
      </c>
      <c r="V275" s="628">
        <v>2000000</v>
      </c>
      <c r="W275" s="628">
        <v>2000000</v>
      </c>
    </row>
    <row r="276" spans="2:23" s="362" customFormat="1" ht="12.75">
      <c r="B276" s="356"/>
      <c r="C276" s="363"/>
      <c r="D276" s="358"/>
      <c r="E276" s="363"/>
      <c r="F276" s="526">
        <v>195</v>
      </c>
      <c r="G276" s="451">
        <v>424</v>
      </c>
      <c r="H276" s="1188" t="s">
        <v>1427</v>
      </c>
      <c r="I276" s="1189"/>
      <c r="J276" s="1190"/>
      <c r="K276" s="775">
        <v>3200000</v>
      </c>
      <c r="L276" s="775">
        <v>0</v>
      </c>
      <c r="M276" s="775">
        <v>3200000</v>
      </c>
      <c r="N276" s="360">
        <v>0</v>
      </c>
      <c r="O276" s="417">
        <v>0</v>
      </c>
      <c r="P276" s="417">
        <v>0</v>
      </c>
      <c r="Q276" s="425">
        <v>2600000</v>
      </c>
      <c r="R276" s="420">
        <v>0</v>
      </c>
      <c r="S276" s="425">
        <v>0</v>
      </c>
      <c r="T276" s="425">
        <f t="shared" si="64"/>
        <v>2600000</v>
      </c>
      <c r="U276" s="628">
        <f t="shared" si="82"/>
        <v>5800000</v>
      </c>
      <c r="V276" s="628">
        <v>5800000</v>
      </c>
      <c r="W276" s="628">
        <v>5800000</v>
      </c>
    </row>
    <row r="277" spans="2:23" s="362" customFormat="1" ht="12.75">
      <c r="B277" s="356"/>
      <c r="C277" s="363"/>
      <c r="D277" s="358"/>
      <c r="E277" s="363"/>
      <c r="F277" s="526">
        <v>196</v>
      </c>
      <c r="G277" s="451">
        <v>424</v>
      </c>
      <c r="H277" s="1188" t="s">
        <v>1428</v>
      </c>
      <c r="I277" s="1189"/>
      <c r="J277" s="1190"/>
      <c r="K277" s="775">
        <v>5000000</v>
      </c>
      <c r="L277" s="775">
        <v>5000000</v>
      </c>
      <c r="M277" s="775">
        <v>0</v>
      </c>
      <c r="N277" s="360">
        <v>0</v>
      </c>
      <c r="O277" s="417">
        <v>0</v>
      </c>
      <c r="P277" s="417">
        <v>0</v>
      </c>
      <c r="Q277" s="424">
        <v>43000000</v>
      </c>
      <c r="R277" s="420">
        <v>0</v>
      </c>
      <c r="S277" s="425">
        <v>0</v>
      </c>
      <c r="T277" s="425">
        <f aca="true" t="shared" si="87" ref="T277:T343">SUM(N277:S277)</f>
        <v>43000000</v>
      </c>
      <c r="U277" s="628">
        <f t="shared" si="82"/>
        <v>43000000</v>
      </c>
      <c r="V277" s="628">
        <v>43000000</v>
      </c>
      <c r="W277" s="628">
        <v>43000000</v>
      </c>
    </row>
    <row r="278" spans="2:23" s="362" customFormat="1" ht="12.75">
      <c r="B278" s="356"/>
      <c r="C278" s="363"/>
      <c r="D278" s="358"/>
      <c r="E278" s="363"/>
      <c r="F278" s="369">
        <v>197</v>
      </c>
      <c r="G278" s="451">
        <v>425</v>
      </c>
      <c r="H278" s="1205" t="s">
        <v>1523</v>
      </c>
      <c r="I278" s="1206"/>
      <c r="J278" s="1207"/>
      <c r="K278" s="775">
        <v>0</v>
      </c>
      <c r="L278" s="775">
        <v>0</v>
      </c>
      <c r="M278" s="980">
        <v>0</v>
      </c>
      <c r="N278" s="360">
        <v>0</v>
      </c>
      <c r="O278" s="417">
        <v>0</v>
      </c>
      <c r="P278" s="417">
        <v>0</v>
      </c>
      <c r="Q278" s="414">
        <v>10000000</v>
      </c>
      <c r="R278" s="420">
        <v>0</v>
      </c>
      <c r="S278" s="420">
        <v>0</v>
      </c>
      <c r="T278" s="420">
        <f t="shared" si="87"/>
        <v>10000000</v>
      </c>
      <c r="U278" s="628">
        <f t="shared" si="82"/>
        <v>10000000</v>
      </c>
      <c r="V278" s="628">
        <v>10000000</v>
      </c>
      <c r="W278" s="628">
        <v>10000000</v>
      </c>
    </row>
    <row r="279" spans="2:23" s="362" customFormat="1" ht="12.75">
      <c r="B279" s="356"/>
      <c r="C279" s="363"/>
      <c r="D279" s="358"/>
      <c r="E279" s="363"/>
      <c r="F279" s="369">
        <v>198</v>
      </c>
      <c r="G279" s="451">
        <v>426</v>
      </c>
      <c r="H279" s="1188" t="s">
        <v>1422</v>
      </c>
      <c r="I279" s="1189"/>
      <c r="J279" s="1190"/>
      <c r="K279" s="775">
        <v>500000</v>
      </c>
      <c r="L279" s="365">
        <v>25160</v>
      </c>
      <c r="M279" s="555">
        <v>500000</v>
      </c>
      <c r="N279" s="360">
        <v>0</v>
      </c>
      <c r="O279" s="417">
        <v>0</v>
      </c>
      <c r="P279" s="417">
        <v>0</v>
      </c>
      <c r="Q279" s="420">
        <v>0</v>
      </c>
      <c r="R279" s="420">
        <v>0</v>
      </c>
      <c r="S279" s="420">
        <v>0</v>
      </c>
      <c r="T279" s="420">
        <f t="shared" si="87"/>
        <v>0</v>
      </c>
      <c r="U279" s="628">
        <f t="shared" si="82"/>
        <v>500000</v>
      </c>
      <c r="V279" s="628">
        <v>500000</v>
      </c>
      <c r="W279" s="628">
        <v>500000</v>
      </c>
    </row>
    <row r="280" spans="2:23" s="362" customFormat="1" ht="12.75">
      <c r="B280" s="356"/>
      <c r="C280" s="363"/>
      <c r="D280" s="358"/>
      <c r="E280" s="363"/>
      <c r="F280" s="369">
        <v>199</v>
      </c>
      <c r="G280" s="451">
        <v>426</v>
      </c>
      <c r="H280" s="1188" t="s">
        <v>1423</v>
      </c>
      <c r="I280" s="1189"/>
      <c r="J280" s="1190"/>
      <c r="K280" s="775">
        <v>400000</v>
      </c>
      <c r="L280" s="365">
        <v>77161.61</v>
      </c>
      <c r="M280" s="555">
        <v>400000</v>
      </c>
      <c r="N280" s="360">
        <v>0</v>
      </c>
      <c r="O280" s="417">
        <v>0</v>
      </c>
      <c r="P280" s="417">
        <v>0</v>
      </c>
      <c r="Q280" s="420">
        <v>0</v>
      </c>
      <c r="R280" s="420">
        <v>0</v>
      </c>
      <c r="S280" s="420">
        <v>0</v>
      </c>
      <c r="T280" s="420">
        <f t="shared" si="87"/>
        <v>0</v>
      </c>
      <c r="U280" s="628">
        <f t="shared" si="82"/>
        <v>400000</v>
      </c>
      <c r="V280" s="628">
        <v>400000</v>
      </c>
      <c r="W280" s="628">
        <v>400000</v>
      </c>
    </row>
    <row r="281" spans="2:23" s="362" customFormat="1" ht="12.75">
      <c r="B281" s="356"/>
      <c r="C281" s="363"/>
      <c r="D281" s="358"/>
      <c r="E281" s="363"/>
      <c r="F281" s="369">
        <v>200</v>
      </c>
      <c r="G281" s="451">
        <v>451</v>
      </c>
      <c r="H281" s="1188" t="s">
        <v>1424</v>
      </c>
      <c r="I281" s="1189"/>
      <c r="J281" s="1190"/>
      <c r="K281" s="775">
        <v>0</v>
      </c>
      <c r="L281" s="365">
        <v>0</v>
      </c>
      <c r="M281" s="555">
        <v>0</v>
      </c>
      <c r="N281" s="360">
        <v>0</v>
      </c>
      <c r="O281" s="417">
        <v>0</v>
      </c>
      <c r="P281" s="417">
        <v>0</v>
      </c>
      <c r="Q281" s="420">
        <v>15000000</v>
      </c>
      <c r="R281" s="420">
        <v>0</v>
      </c>
      <c r="S281" s="420">
        <v>0</v>
      </c>
      <c r="T281" s="423">
        <f t="shared" si="87"/>
        <v>15000000</v>
      </c>
      <c r="U281" s="628">
        <f t="shared" si="82"/>
        <v>15000000</v>
      </c>
      <c r="V281" s="628">
        <v>15000000</v>
      </c>
      <c r="W281" s="628">
        <v>15000000</v>
      </c>
    </row>
    <row r="282" spans="2:23" s="524" customFormat="1" ht="12.75">
      <c r="B282" s="525"/>
      <c r="C282" s="459"/>
      <c r="D282" s="526"/>
      <c r="E282" s="459"/>
      <c r="F282" s="526">
        <v>201</v>
      </c>
      <c r="G282" s="441">
        <v>482</v>
      </c>
      <c r="H282" s="1237" t="s">
        <v>221</v>
      </c>
      <c r="I282" s="1238"/>
      <c r="J282" s="1239"/>
      <c r="K282" s="969">
        <v>100000</v>
      </c>
      <c r="L282" s="1157">
        <v>0</v>
      </c>
      <c r="M282" s="1124">
        <v>100000</v>
      </c>
      <c r="N282" s="360">
        <v>0</v>
      </c>
      <c r="O282" s="527">
        <v>0</v>
      </c>
      <c r="P282" s="527">
        <v>0</v>
      </c>
      <c r="Q282" s="422">
        <v>0</v>
      </c>
      <c r="R282" s="420">
        <v>0</v>
      </c>
      <c r="S282" s="422">
        <v>0</v>
      </c>
      <c r="T282" s="528">
        <f t="shared" si="87"/>
        <v>0</v>
      </c>
      <c r="U282" s="882">
        <f t="shared" si="82"/>
        <v>100000</v>
      </c>
      <c r="V282" s="882">
        <v>100000</v>
      </c>
      <c r="W282" s="882">
        <v>100000</v>
      </c>
    </row>
    <row r="283" spans="2:23" s="362" customFormat="1" ht="12.75">
      <c r="B283" s="356"/>
      <c r="C283" s="363"/>
      <c r="D283" s="358"/>
      <c r="E283" s="363"/>
      <c r="F283" s="526">
        <v>202</v>
      </c>
      <c r="G283" s="441">
        <v>512</v>
      </c>
      <c r="H283" s="1240" t="s">
        <v>1575</v>
      </c>
      <c r="I283" s="1224"/>
      <c r="J283" s="1241"/>
      <c r="K283" s="980">
        <v>2000000</v>
      </c>
      <c r="L283" s="1143">
        <v>0</v>
      </c>
      <c r="M283" s="555">
        <v>500000</v>
      </c>
      <c r="N283" s="360">
        <v>0</v>
      </c>
      <c r="O283" s="417">
        <v>0</v>
      </c>
      <c r="P283" s="417">
        <v>0</v>
      </c>
      <c r="Q283" s="420">
        <v>0</v>
      </c>
      <c r="R283" s="420">
        <v>0</v>
      </c>
      <c r="S283" s="420">
        <v>0</v>
      </c>
      <c r="T283" s="423">
        <f t="shared" si="87"/>
        <v>0</v>
      </c>
      <c r="U283" s="628">
        <f t="shared" si="82"/>
        <v>500000</v>
      </c>
      <c r="V283" s="628">
        <v>500000</v>
      </c>
      <c r="W283" s="628">
        <v>500000</v>
      </c>
    </row>
    <row r="284" spans="2:23" ht="14.25" customHeight="1">
      <c r="B284" s="287"/>
      <c r="C284" s="288"/>
      <c r="D284" s="435"/>
      <c r="E284" s="352" t="s">
        <v>319</v>
      </c>
      <c r="F284" s="435"/>
      <c r="G284" s="436"/>
      <c r="H284" s="1191" t="s">
        <v>1247</v>
      </c>
      <c r="I284" s="1192"/>
      <c r="J284" s="1193"/>
      <c r="K284" s="960">
        <f aca="true" t="shared" si="88" ref="K284:S285">K285</f>
        <v>4500000</v>
      </c>
      <c r="L284" s="1121">
        <f t="shared" si="88"/>
        <v>0</v>
      </c>
      <c r="M284" s="1129">
        <f t="shared" si="88"/>
        <v>1000000</v>
      </c>
      <c r="N284" s="293">
        <f t="shared" si="88"/>
        <v>0</v>
      </c>
      <c r="O284" s="293">
        <f t="shared" si="88"/>
        <v>0</v>
      </c>
      <c r="P284" s="293">
        <f t="shared" si="88"/>
        <v>0</v>
      </c>
      <c r="Q284" s="293">
        <f t="shared" si="88"/>
        <v>0</v>
      </c>
      <c r="R284" s="293">
        <f t="shared" si="88"/>
        <v>0</v>
      </c>
      <c r="S284" s="340">
        <f t="shared" si="88"/>
        <v>0</v>
      </c>
      <c r="T284" s="340">
        <f t="shared" si="87"/>
        <v>0</v>
      </c>
      <c r="U284" s="674">
        <f aca="true" t="shared" si="89" ref="U284:U292">SUM(M284:S284)</f>
        <v>1000000</v>
      </c>
      <c r="V284" s="674">
        <v>1000000</v>
      </c>
      <c r="W284" s="674">
        <v>1000000</v>
      </c>
    </row>
    <row r="285" spans="2:23" ht="12.75">
      <c r="B285" s="356"/>
      <c r="C285" s="59"/>
      <c r="D285" s="56">
        <v>620</v>
      </c>
      <c r="E285" s="182"/>
      <c r="F285" s="358"/>
      <c r="G285" s="359"/>
      <c r="H285" s="1185" t="s">
        <v>116</v>
      </c>
      <c r="I285" s="1186"/>
      <c r="J285" s="452"/>
      <c r="K285" s="537">
        <f t="shared" si="88"/>
        <v>4500000</v>
      </c>
      <c r="L285" s="749">
        <f t="shared" si="88"/>
        <v>0</v>
      </c>
      <c r="M285" s="750">
        <f t="shared" si="88"/>
        <v>1000000</v>
      </c>
      <c r="N285" s="385">
        <f t="shared" si="88"/>
        <v>0</v>
      </c>
      <c r="O285" s="385">
        <f t="shared" si="88"/>
        <v>0</v>
      </c>
      <c r="P285" s="385">
        <f t="shared" si="88"/>
        <v>0</v>
      </c>
      <c r="Q285" s="643">
        <f t="shared" si="88"/>
        <v>0</v>
      </c>
      <c r="R285" s="643">
        <f t="shared" si="88"/>
        <v>0</v>
      </c>
      <c r="S285" s="643">
        <f t="shared" si="88"/>
        <v>0</v>
      </c>
      <c r="T285" s="754">
        <f t="shared" si="87"/>
        <v>0</v>
      </c>
      <c r="U285" s="876">
        <f t="shared" si="89"/>
        <v>1000000</v>
      </c>
      <c r="V285" s="876">
        <v>1000000</v>
      </c>
      <c r="W285" s="876">
        <v>1000000</v>
      </c>
    </row>
    <row r="286" spans="2:23" ht="13.5" customHeight="1">
      <c r="B286" s="356"/>
      <c r="C286" s="59"/>
      <c r="D286" s="364"/>
      <c r="E286" s="357"/>
      <c r="F286" s="358">
        <v>203</v>
      </c>
      <c r="G286" s="359">
        <v>451</v>
      </c>
      <c r="H286" s="1205" t="s">
        <v>1425</v>
      </c>
      <c r="I286" s="1206"/>
      <c r="J286" s="1206"/>
      <c r="K286" s="379">
        <v>4500000</v>
      </c>
      <c r="L286" s="379">
        <v>0</v>
      </c>
      <c r="M286" s="555">
        <v>1000000</v>
      </c>
      <c r="N286" s="537">
        <v>0</v>
      </c>
      <c r="O286" s="537">
        <v>0</v>
      </c>
      <c r="P286" s="749">
        <v>0</v>
      </c>
      <c r="Q286" s="750">
        <v>0</v>
      </c>
      <c r="R286" s="750">
        <v>0</v>
      </c>
      <c r="S286" s="750">
        <v>0</v>
      </c>
      <c r="T286" s="361">
        <f t="shared" si="87"/>
        <v>0</v>
      </c>
      <c r="U286" s="795">
        <f t="shared" si="89"/>
        <v>1000000</v>
      </c>
      <c r="V286" s="795">
        <v>1000000</v>
      </c>
      <c r="W286" s="795">
        <v>1000000</v>
      </c>
    </row>
    <row r="287" spans="2:23" ht="12.75">
      <c r="B287" s="287"/>
      <c r="C287" s="288"/>
      <c r="D287" s="435"/>
      <c r="E287" s="630" t="s">
        <v>321</v>
      </c>
      <c r="F287" s="435"/>
      <c r="G287" s="436"/>
      <c r="H287" s="1211" t="s">
        <v>320</v>
      </c>
      <c r="I287" s="1212"/>
      <c r="J287" s="1213"/>
      <c r="K287" s="977">
        <f aca="true" t="shared" si="90" ref="K287:S287">K288+K293+K299</f>
        <v>15400000</v>
      </c>
      <c r="L287" s="1142">
        <f t="shared" si="90"/>
        <v>4370969.34</v>
      </c>
      <c r="M287" s="1140">
        <f t="shared" si="90"/>
        <v>13150000</v>
      </c>
      <c r="N287" s="289">
        <f t="shared" si="90"/>
        <v>0</v>
      </c>
      <c r="O287" s="289">
        <f t="shared" si="90"/>
        <v>0</v>
      </c>
      <c r="P287" s="289">
        <f t="shared" si="90"/>
        <v>0</v>
      </c>
      <c r="Q287" s="289">
        <f t="shared" si="90"/>
        <v>243000</v>
      </c>
      <c r="R287" s="289">
        <f t="shared" si="90"/>
        <v>0</v>
      </c>
      <c r="S287" s="289">
        <f t="shared" si="90"/>
        <v>0</v>
      </c>
      <c r="T287" s="339">
        <f t="shared" si="87"/>
        <v>243000</v>
      </c>
      <c r="U287" s="674">
        <f t="shared" si="89"/>
        <v>13393000</v>
      </c>
      <c r="V287" s="674">
        <v>13393000</v>
      </c>
      <c r="W287" s="674">
        <v>13393000</v>
      </c>
    </row>
    <row r="288" spans="2:23" ht="14.25" customHeight="1">
      <c r="B288" s="287"/>
      <c r="C288" s="288"/>
      <c r="D288" s="435"/>
      <c r="E288" s="352" t="s">
        <v>1248</v>
      </c>
      <c r="F288" s="435"/>
      <c r="G288" s="436"/>
      <c r="H288" s="1191" t="s">
        <v>333</v>
      </c>
      <c r="I288" s="1192"/>
      <c r="J288" s="1193"/>
      <c r="K288" s="960">
        <f aca="true" t="shared" si="91" ref="K288:S288">K289</f>
        <v>11100000</v>
      </c>
      <c r="L288" s="1121">
        <f t="shared" si="91"/>
        <v>1926089.34</v>
      </c>
      <c r="M288" s="1129">
        <f t="shared" si="91"/>
        <v>8850000</v>
      </c>
      <c r="N288" s="293">
        <f t="shared" si="91"/>
        <v>0</v>
      </c>
      <c r="O288" s="293">
        <f t="shared" si="91"/>
        <v>0</v>
      </c>
      <c r="P288" s="293">
        <f t="shared" si="91"/>
        <v>0</v>
      </c>
      <c r="Q288" s="293">
        <f t="shared" si="91"/>
        <v>0</v>
      </c>
      <c r="R288" s="293">
        <f t="shared" si="91"/>
        <v>0</v>
      </c>
      <c r="S288" s="293">
        <f t="shared" si="91"/>
        <v>0</v>
      </c>
      <c r="T288" s="340">
        <f t="shared" si="87"/>
        <v>0</v>
      </c>
      <c r="U288" s="674">
        <f t="shared" si="89"/>
        <v>8850000</v>
      </c>
      <c r="V288" s="674">
        <v>8850000</v>
      </c>
      <c r="W288" s="674">
        <v>8850000</v>
      </c>
    </row>
    <row r="289" spans="2:23" s="42" customFormat="1" ht="12.75">
      <c r="B289" s="639"/>
      <c r="C289" s="640"/>
      <c r="D289" s="56">
        <v>510</v>
      </c>
      <c r="E289" s="182"/>
      <c r="F289" s="641"/>
      <c r="G289" s="642"/>
      <c r="H289" s="1185" t="s">
        <v>1250</v>
      </c>
      <c r="I289" s="1186"/>
      <c r="J289" s="1187"/>
      <c r="K289" s="780">
        <f aca="true" t="shared" si="92" ref="K289:S289">SUM(K290:K292)</f>
        <v>11100000</v>
      </c>
      <c r="L289" s="1158">
        <f t="shared" si="92"/>
        <v>1926089.34</v>
      </c>
      <c r="M289" s="877">
        <f t="shared" si="92"/>
        <v>8850000</v>
      </c>
      <c r="N289" s="385">
        <f t="shared" si="92"/>
        <v>0</v>
      </c>
      <c r="O289" s="385">
        <f t="shared" si="92"/>
        <v>0</v>
      </c>
      <c r="P289" s="385">
        <f t="shared" si="92"/>
        <v>0</v>
      </c>
      <c r="Q289" s="385">
        <f t="shared" si="92"/>
        <v>0</v>
      </c>
      <c r="R289" s="385">
        <f t="shared" si="92"/>
        <v>0</v>
      </c>
      <c r="S289" s="385">
        <f t="shared" si="92"/>
        <v>0</v>
      </c>
      <c r="T289" s="868">
        <f t="shared" si="87"/>
        <v>0</v>
      </c>
      <c r="U289" s="381">
        <f t="shared" si="89"/>
        <v>8850000</v>
      </c>
      <c r="V289" s="381">
        <v>8850000</v>
      </c>
      <c r="W289" s="381">
        <v>8850000</v>
      </c>
    </row>
    <row r="290" spans="2:23" s="362" customFormat="1" ht="12.75" customHeight="1">
      <c r="B290" s="375"/>
      <c r="C290" s="338"/>
      <c r="D290" s="376"/>
      <c r="E290" s="377"/>
      <c r="F290" s="369">
        <v>204</v>
      </c>
      <c r="G290" s="370">
        <v>424</v>
      </c>
      <c r="H290" s="1205" t="s">
        <v>1578</v>
      </c>
      <c r="I290" s="1206"/>
      <c r="J290" s="1207"/>
      <c r="K290" s="378">
        <v>1000000</v>
      </c>
      <c r="L290" s="378">
        <v>39585.34</v>
      </c>
      <c r="M290" s="378">
        <v>1250000</v>
      </c>
      <c r="N290" s="360">
        <v>0</v>
      </c>
      <c r="O290" s="413">
        <v>0</v>
      </c>
      <c r="P290" s="413">
        <v>0</v>
      </c>
      <c r="Q290" s="646">
        <v>0</v>
      </c>
      <c r="R290" s="414">
        <v>0</v>
      </c>
      <c r="S290" s="644">
        <v>0</v>
      </c>
      <c r="T290" s="644">
        <f t="shared" si="87"/>
        <v>0</v>
      </c>
      <c r="U290" s="382">
        <f t="shared" si="89"/>
        <v>1250000</v>
      </c>
      <c r="V290" s="382">
        <v>1250000</v>
      </c>
      <c r="W290" s="382">
        <v>1250000</v>
      </c>
    </row>
    <row r="291" spans="2:23" s="362" customFormat="1" ht="12.75" customHeight="1">
      <c r="B291" s="375"/>
      <c r="C291" s="338"/>
      <c r="D291" s="376"/>
      <c r="E291" s="377"/>
      <c r="F291" s="369">
        <v>205</v>
      </c>
      <c r="G291" s="370">
        <v>424</v>
      </c>
      <c r="H291" s="1205" t="s">
        <v>1577</v>
      </c>
      <c r="I291" s="1206"/>
      <c r="J291" s="1207"/>
      <c r="K291" s="378">
        <v>100000</v>
      </c>
      <c r="L291" s="378">
        <v>0</v>
      </c>
      <c r="M291" s="378">
        <v>100000</v>
      </c>
      <c r="N291" s="360">
        <v>0</v>
      </c>
      <c r="O291" s="765">
        <v>0</v>
      </c>
      <c r="P291" s="426">
        <v>0</v>
      </c>
      <c r="Q291" s="766">
        <v>0</v>
      </c>
      <c r="R291" s="759">
        <v>0</v>
      </c>
      <c r="S291" s="644">
        <v>0</v>
      </c>
      <c r="T291" s="644">
        <f t="shared" si="87"/>
        <v>0</v>
      </c>
      <c r="U291" s="382">
        <f t="shared" si="89"/>
        <v>100000</v>
      </c>
      <c r="V291" s="382">
        <v>100000</v>
      </c>
      <c r="W291" s="382">
        <v>100000</v>
      </c>
    </row>
    <row r="292" spans="1:23" s="362" customFormat="1" ht="12.75">
      <c r="A292" s="362">
        <v>12600</v>
      </c>
      <c r="B292" s="375"/>
      <c r="C292" s="338"/>
      <c r="D292" s="376"/>
      <c r="E292" s="377"/>
      <c r="F292" s="369">
        <v>206</v>
      </c>
      <c r="G292" s="370">
        <v>451</v>
      </c>
      <c r="H292" s="1205" t="s">
        <v>1563</v>
      </c>
      <c r="I292" s="1206"/>
      <c r="J292" s="1207"/>
      <c r="K292" s="378">
        <v>10000000</v>
      </c>
      <c r="L292" s="378">
        <v>1886504</v>
      </c>
      <c r="M292" s="378">
        <v>7500000</v>
      </c>
      <c r="N292" s="360">
        <v>0</v>
      </c>
      <c r="O292" s="545">
        <v>0</v>
      </c>
      <c r="P292" s="420">
        <v>0</v>
      </c>
      <c r="Q292" s="420">
        <v>0</v>
      </c>
      <c r="R292" s="634">
        <v>0</v>
      </c>
      <c r="S292" s="645">
        <v>0</v>
      </c>
      <c r="T292" s="644">
        <f t="shared" si="87"/>
        <v>0</v>
      </c>
      <c r="U292" s="382">
        <f t="shared" si="89"/>
        <v>7500000</v>
      </c>
      <c r="V292" s="382">
        <v>7500000</v>
      </c>
      <c r="W292" s="382">
        <v>7500000</v>
      </c>
    </row>
    <row r="293" spans="2:23" ht="14.25" customHeight="1">
      <c r="B293" s="287"/>
      <c r="C293" s="288"/>
      <c r="D293" s="435"/>
      <c r="E293" s="352" t="s">
        <v>322</v>
      </c>
      <c r="F293" s="435"/>
      <c r="G293" s="436"/>
      <c r="H293" s="1191" t="s">
        <v>1249</v>
      </c>
      <c r="I293" s="1192"/>
      <c r="J293" s="1193"/>
      <c r="K293" s="960">
        <f aca="true" t="shared" si="93" ref="K293:S293">K294</f>
        <v>3800000</v>
      </c>
      <c r="L293" s="960">
        <f t="shared" si="93"/>
        <v>2444880</v>
      </c>
      <c r="M293" s="960">
        <f t="shared" si="93"/>
        <v>3800000</v>
      </c>
      <c r="N293" s="293">
        <f t="shared" si="93"/>
        <v>0</v>
      </c>
      <c r="O293" s="293">
        <f t="shared" si="93"/>
        <v>0</v>
      </c>
      <c r="P293" s="293">
        <f t="shared" si="93"/>
        <v>0</v>
      </c>
      <c r="Q293" s="293">
        <f t="shared" si="93"/>
        <v>243000</v>
      </c>
      <c r="R293" s="744">
        <f t="shared" si="93"/>
        <v>0</v>
      </c>
      <c r="S293" s="744">
        <f t="shared" si="93"/>
        <v>0</v>
      </c>
      <c r="T293" s="869">
        <f t="shared" si="87"/>
        <v>243000</v>
      </c>
      <c r="U293" s="674">
        <f aca="true" t="shared" si="94" ref="U293:U301">SUM(M293:S293)</f>
        <v>4043000</v>
      </c>
      <c r="V293" s="674">
        <v>4043000</v>
      </c>
      <c r="W293" s="674">
        <v>4043000</v>
      </c>
    </row>
    <row r="294" spans="2:23" s="42" customFormat="1" ht="12.75">
      <c r="B294" s="639"/>
      <c r="C294" s="640"/>
      <c r="D294" s="56">
        <v>560</v>
      </c>
      <c r="E294" s="182"/>
      <c r="F294" s="641"/>
      <c r="G294" s="642"/>
      <c r="H294" s="1185" t="s">
        <v>1251</v>
      </c>
      <c r="I294" s="1186"/>
      <c r="J294" s="1187"/>
      <c r="K294" s="780">
        <f>SUM(K295:K298)</f>
        <v>3800000</v>
      </c>
      <c r="L294" s="780">
        <f>SUM(L295:L298)</f>
        <v>2444880</v>
      </c>
      <c r="M294" s="780">
        <f>SUM(M295:M298)</f>
        <v>3800000</v>
      </c>
      <c r="N294" s="385">
        <f aca="true" t="shared" si="95" ref="N294:S294">SUM(N295:N298)</f>
        <v>0</v>
      </c>
      <c r="O294" s="385">
        <f t="shared" si="95"/>
        <v>0</v>
      </c>
      <c r="P294" s="385">
        <f t="shared" si="95"/>
        <v>0</v>
      </c>
      <c r="Q294" s="754">
        <f t="shared" si="95"/>
        <v>243000</v>
      </c>
      <c r="R294" s="758">
        <f t="shared" si="95"/>
        <v>0</v>
      </c>
      <c r="S294" s="758">
        <f t="shared" si="95"/>
        <v>0</v>
      </c>
      <c r="T294" s="870">
        <f t="shared" si="87"/>
        <v>243000</v>
      </c>
      <c r="U294" s="381">
        <f t="shared" si="94"/>
        <v>4043000</v>
      </c>
      <c r="V294" s="381">
        <v>4043000</v>
      </c>
      <c r="W294" s="381">
        <v>4043000</v>
      </c>
    </row>
    <row r="295" spans="2:23" s="362" customFormat="1" ht="12.75">
      <c r="B295" s="356"/>
      <c r="C295" s="59"/>
      <c r="D295" s="56"/>
      <c r="E295" s="182"/>
      <c r="F295" s="369">
        <v>207</v>
      </c>
      <c r="G295" s="359">
        <v>424</v>
      </c>
      <c r="H295" s="1188" t="s">
        <v>1470</v>
      </c>
      <c r="I295" s="1189"/>
      <c r="J295" s="1190"/>
      <c r="K295" s="980">
        <v>200000</v>
      </c>
      <c r="L295" s="980">
        <v>0</v>
      </c>
      <c r="M295" s="980">
        <v>200000</v>
      </c>
      <c r="N295" s="360">
        <v>0</v>
      </c>
      <c r="O295" s="428">
        <v>0</v>
      </c>
      <c r="P295" s="428">
        <v>0</v>
      </c>
      <c r="Q295" s="469">
        <v>243000</v>
      </c>
      <c r="R295" s="634">
        <v>0</v>
      </c>
      <c r="S295" s="634">
        <v>0</v>
      </c>
      <c r="T295" s="755">
        <f t="shared" si="87"/>
        <v>243000</v>
      </c>
      <c r="U295" s="382">
        <f t="shared" si="94"/>
        <v>443000</v>
      </c>
      <c r="V295" s="382">
        <v>443000</v>
      </c>
      <c r="W295" s="382">
        <v>443000</v>
      </c>
    </row>
    <row r="296" spans="2:23" s="362" customFormat="1" ht="12.75">
      <c r="B296" s="375"/>
      <c r="C296" s="338"/>
      <c r="D296" s="61"/>
      <c r="E296" s="551"/>
      <c r="F296" s="369">
        <v>208</v>
      </c>
      <c r="G296" s="370">
        <v>424</v>
      </c>
      <c r="H296" s="373" t="s">
        <v>1429</v>
      </c>
      <c r="I296" s="739"/>
      <c r="J296" s="739"/>
      <c r="K296" s="555">
        <v>3000000</v>
      </c>
      <c r="L296" s="555">
        <v>2444880</v>
      </c>
      <c r="M296" s="555">
        <v>3000000</v>
      </c>
      <c r="N296" s="360">
        <v>0</v>
      </c>
      <c r="O296" s="647">
        <v>0</v>
      </c>
      <c r="P296" s="427">
        <v>0</v>
      </c>
      <c r="Q296" s="755">
        <v>0</v>
      </c>
      <c r="R296" s="634">
        <v>0</v>
      </c>
      <c r="S296" s="634">
        <v>0</v>
      </c>
      <c r="T296" s="755">
        <f t="shared" si="87"/>
        <v>0</v>
      </c>
      <c r="U296" s="382">
        <f t="shared" si="94"/>
        <v>3000000</v>
      </c>
      <c r="V296" s="382">
        <v>3000000</v>
      </c>
      <c r="W296" s="382">
        <v>3000000</v>
      </c>
    </row>
    <row r="297" spans="2:23" s="362" customFormat="1" ht="12.75">
      <c r="B297" s="375"/>
      <c r="C297" s="338"/>
      <c r="D297" s="61"/>
      <c r="E297" s="551"/>
      <c r="F297" s="369">
        <v>209</v>
      </c>
      <c r="G297" s="370">
        <v>481</v>
      </c>
      <c r="H297" s="1240" t="s">
        <v>167</v>
      </c>
      <c r="I297" s="1224"/>
      <c r="J297" s="1224"/>
      <c r="K297" s="555">
        <v>100000</v>
      </c>
      <c r="L297" s="555">
        <v>0</v>
      </c>
      <c r="M297" s="555">
        <v>100000</v>
      </c>
      <c r="N297" s="360">
        <v>0</v>
      </c>
      <c r="O297" s="647">
        <v>0</v>
      </c>
      <c r="P297" s="647">
        <v>0</v>
      </c>
      <c r="Q297" s="756">
        <v>0</v>
      </c>
      <c r="R297" s="634">
        <v>0</v>
      </c>
      <c r="S297" s="634">
        <v>0</v>
      </c>
      <c r="T297" s="755">
        <f t="shared" si="87"/>
        <v>0</v>
      </c>
      <c r="U297" s="382">
        <f t="shared" si="94"/>
        <v>100000</v>
      </c>
      <c r="V297" s="382">
        <v>100000</v>
      </c>
      <c r="W297" s="382">
        <v>100000</v>
      </c>
    </row>
    <row r="298" spans="2:23" s="362" customFormat="1" ht="12.75">
      <c r="B298" s="375"/>
      <c r="C298" s="338"/>
      <c r="D298" s="61"/>
      <c r="E298" s="551"/>
      <c r="F298" s="369">
        <v>210</v>
      </c>
      <c r="G298" s="370">
        <v>424</v>
      </c>
      <c r="H298" s="1264" t="s">
        <v>1462</v>
      </c>
      <c r="I298" s="1209"/>
      <c r="J298" s="1209"/>
      <c r="K298" s="555">
        <v>500000</v>
      </c>
      <c r="L298" s="555">
        <v>0</v>
      </c>
      <c r="M298" s="555">
        <v>500000</v>
      </c>
      <c r="N298" s="360">
        <v>0</v>
      </c>
      <c r="O298" s="647">
        <v>0</v>
      </c>
      <c r="P298" s="427">
        <v>0</v>
      </c>
      <c r="Q298" s="757">
        <v>0</v>
      </c>
      <c r="R298" s="634">
        <v>0</v>
      </c>
      <c r="S298" s="634">
        <v>0</v>
      </c>
      <c r="T298" s="755">
        <f t="shared" si="87"/>
        <v>0</v>
      </c>
      <c r="U298" s="382">
        <f t="shared" si="94"/>
        <v>500000</v>
      </c>
      <c r="V298" s="382">
        <v>500000</v>
      </c>
      <c r="W298" s="382">
        <v>500000</v>
      </c>
    </row>
    <row r="299" spans="2:23" ht="14.25" customHeight="1">
      <c r="B299" s="287"/>
      <c r="C299" s="288"/>
      <c r="D299" s="435"/>
      <c r="E299" s="352" t="s">
        <v>855</v>
      </c>
      <c r="F299" s="435"/>
      <c r="G299" s="436"/>
      <c r="H299" s="1191" t="s">
        <v>1371</v>
      </c>
      <c r="I299" s="1232"/>
      <c r="J299" s="1233"/>
      <c r="K299" s="981">
        <f>K300</f>
        <v>500000</v>
      </c>
      <c r="L299" s="981">
        <f>L300</f>
        <v>0</v>
      </c>
      <c r="M299" s="981">
        <f>M300</f>
        <v>500000</v>
      </c>
      <c r="N299" s="293">
        <f aca="true" t="shared" si="96" ref="N299:S299">N300</f>
        <v>0</v>
      </c>
      <c r="O299" s="293">
        <f t="shared" si="96"/>
        <v>0</v>
      </c>
      <c r="P299" s="293">
        <f t="shared" si="96"/>
        <v>0</v>
      </c>
      <c r="Q299" s="293">
        <f t="shared" si="96"/>
        <v>0</v>
      </c>
      <c r="R299" s="293">
        <f t="shared" si="96"/>
        <v>0</v>
      </c>
      <c r="S299" s="293">
        <f t="shared" si="96"/>
        <v>0</v>
      </c>
      <c r="T299" s="340">
        <f t="shared" si="87"/>
        <v>0</v>
      </c>
      <c r="U299" s="674">
        <f t="shared" si="94"/>
        <v>500000</v>
      </c>
      <c r="V299" s="674">
        <v>500000</v>
      </c>
      <c r="W299" s="674">
        <v>500000</v>
      </c>
    </row>
    <row r="300" spans="2:23" s="42" customFormat="1" ht="12.75">
      <c r="B300" s="639"/>
      <c r="C300" s="640"/>
      <c r="D300" s="56">
        <v>520</v>
      </c>
      <c r="E300" s="182"/>
      <c r="F300" s="641"/>
      <c r="G300" s="642"/>
      <c r="H300" s="1185" t="s">
        <v>1371</v>
      </c>
      <c r="I300" s="1186"/>
      <c r="J300" s="1187"/>
      <c r="K300" s="780">
        <f aca="true" t="shared" si="97" ref="K300:S300">SUM(K301:K301)</f>
        <v>500000</v>
      </c>
      <c r="L300" s="780">
        <f t="shared" si="97"/>
        <v>0</v>
      </c>
      <c r="M300" s="780">
        <f t="shared" si="97"/>
        <v>500000</v>
      </c>
      <c r="N300" s="385">
        <f t="shared" si="97"/>
        <v>0</v>
      </c>
      <c r="O300" s="385">
        <f t="shared" si="97"/>
        <v>0</v>
      </c>
      <c r="P300" s="385">
        <f t="shared" si="97"/>
        <v>0</v>
      </c>
      <c r="Q300" s="385">
        <f t="shared" si="97"/>
        <v>0</v>
      </c>
      <c r="R300" s="385">
        <f t="shared" si="97"/>
        <v>0</v>
      </c>
      <c r="S300" s="385">
        <f t="shared" si="97"/>
        <v>0</v>
      </c>
      <c r="T300" s="868">
        <f t="shared" si="87"/>
        <v>0</v>
      </c>
      <c r="U300" s="381">
        <f t="shared" si="94"/>
        <v>500000</v>
      </c>
      <c r="V300" s="381">
        <v>500000</v>
      </c>
      <c r="W300" s="381">
        <v>500000</v>
      </c>
    </row>
    <row r="301" spans="2:23" s="362" customFormat="1" ht="12.75" customHeight="1">
      <c r="B301" s="375"/>
      <c r="C301" s="338"/>
      <c r="D301" s="376"/>
      <c r="E301" s="377"/>
      <c r="F301" s="369">
        <v>211</v>
      </c>
      <c r="G301" s="370">
        <v>425</v>
      </c>
      <c r="H301" s="1205" t="s">
        <v>1430</v>
      </c>
      <c r="I301" s="1206"/>
      <c r="J301" s="1207"/>
      <c r="K301" s="378">
        <v>500000</v>
      </c>
      <c r="L301" s="378">
        <v>0</v>
      </c>
      <c r="M301" s="378">
        <v>500000</v>
      </c>
      <c r="N301" s="360">
        <v>0</v>
      </c>
      <c r="O301" s="413">
        <v>0</v>
      </c>
      <c r="P301" s="765">
        <v>0</v>
      </c>
      <c r="Q301" s="646">
        <v>0</v>
      </c>
      <c r="R301" s="469">
        <v>0</v>
      </c>
      <c r="S301" s="768">
        <v>0</v>
      </c>
      <c r="T301" s="644">
        <f t="shared" si="87"/>
        <v>0</v>
      </c>
      <c r="U301" s="382">
        <f t="shared" si="94"/>
        <v>500000</v>
      </c>
      <c r="V301" s="382">
        <v>500000</v>
      </c>
      <c r="W301" s="382">
        <v>500000</v>
      </c>
    </row>
    <row r="302" spans="2:23" ht="12.75">
      <c r="B302" s="287"/>
      <c r="C302" s="288"/>
      <c r="D302" s="435"/>
      <c r="E302" s="630" t="s">
        <v>1259</v>
      </c>
      <c r="F302" s="435"/>
      <c r="G302" s="436"/>
      <c r="H302" s="1251" t="s">
        <v>326</v>
      </c>
      <c r="I302" s="1252"/>
      <c r="J302" s="1253"/>
      <c r="K302" s="977">
        <f aca="true" t="shared" si="98" ref="K302:S302">K303+K307+K313+K322+K327</f>
        <v>59500000</v>
      </c>
      <c r="L302" s="977">
        <f t="shared" si="98"/>
        <v>26962259.97</v>
      </c>
      <c r="M302" s="977">
        <f t="shared" si="98"/>
        <v>43142000</v>
      </c>
      <c r="N302" s="289">
        <f t="shared" si="98"/>
        <v>0</v>
      </c>
      <c r="O302" s="289">
        <f t="shared" si="98"/>
        <v>0</v>
      </c>
      <c r="P302" s="289">
        <f t="shared" si="98"/>
        <v>32216642.88</v>
      </c>
      <c r="Q302" s="289">
        <f t="shared" si="98"/>
        <v>37743357.12</v>
      </c>
      <c r="R302" s="289">
        <f t="shared" si="98"/>
        <v>0</v>
      </c>
      <c r="S302" s="289">
        <f t="shared" si="98"/>
        <v>0</v>
      </c>
      <c r="T302" s="339">
        <f t="shared" si="87"/>
        <v>69960000</v>
      </c>
      <c r="U302" s="674">
        <f>SUM(M302:S302)</f>
        <v>113102000</v>
      </c>
      <c r="V302" s="674">
        <v>113102000</v>
      </c>
      <c r="W302" s="674">
        <v>113102000</v>
      </c>
    </row>
    <row r="303" spans="2:23" ht="12.75" customHeight="1">
      <c r="B303" s="287"/>
      <c r="C303" s="288"/>
      <c r="D303" s="435"/>
      <c r="E303" s="352" t="s">
        <v>1254</v>
      </c>
      <c r="F303" s="435"/>
      <c r="G303" s="436"/>
      <c r="H303" s="1191" t="s">
        <v>1350</v>
      </c>
      <c r="I303" s="1192"/>
      <c r="J303" s="1193"/>
      <c r="K303" s="960">
        <f aca="true" t="shared" si="99" ref="K303:S303">K304</f>
        <v>8850000</v>
      </c>
      <c r="L303" s="960">
        <f t="shared" si="99"/>
        <v>5853646.6</v>
      </c>
      <c r="M303" s="960">
        <f t="shared" si="99"/>
        <v>8850000</v>
      </c>
      <c r="N303" s="293">
        <f t="shared" si="99"/>
        <v>0</v>
      </c>
      <c r="O303" s="293">
        <f t="shared" si="99"/>
        <v>0</v>
      </c>
      <c r="P303" s="293">
        <f t="shared" si="99"/>
        <v>0</v>
      </c>
      <c r="Q303" s="293">
        <f t="shared" si="99"/>
        <v>700000</v>
      </c>
      <c r="R303" s="293">
        <f t="shared" si="99"/>
        <v>0</v>
      </c>
      <c r="S303" s="293">
        <f t="shared" si="99"/>
        <v>0</v>
      </c>
      <c r="T303" s="340">
        <f t="shared" si="87"/>
        <v>700000</v>
      </c>
      <c r="U303" s="674">
        <f aca="true" t="shared" si="100" ref="U303:U310">SUM(M303:S303)</f>
        <v>9550000</v>
      </c>
      <c r="V303" s="674">
        <v>9550000</v>
      </c>
      <c r="W303" s="674">
        <v>9550000</v>
      </c>
    </row>
    <row r="304" spans="2:23" s="362" customFormat="1" ht="13.5" customHeight="1">
      <c r="B304" s="333"/>
      <c r="C304" s="334"/>
      <c r="D304" s="337">
        <v>640</v>
      </c>
      <c r="E304" s="368"/>
      <c r="F304" s="369"/>
      <c r="G304" s="370"/>
      <c r="H304" s="1245" t="s">
        <v>175</v>
      </c>
      <c r="I304" s="1246"/>
      <c r="J304" s="1247"/>
      <c r="K304" s="985">
        <f>SUM(K305:K306)</f>
        <v>8850000</v>
      </c>
      <c r="L304" s="985">
        <f>SUM(L305:L306)</f>
        <v>5853646.6</v>
      </c>
      <c r="M304" s="1144">
        <f>SUM(M305:M306)</f>
        <v>8850000</v>
      </c>
      <c r="N304" s="335">
        <f aca="true" t="shared" si="101" ref="N304:S304">SUM(N305:N306)</f>
        <v>0</v>
      </c>
      <c r="O304" s="335">
        <f t="shared" si="101"/>
        <v>0</v>
      </c>
      <c r="P304" s="335">
        <f t="shared" si="101"/>
        <v>0</v>
      </c>
      <c r="Q304" s="335">
        <f t="shared" si="101"/>
        <v>700000</v>
      </c>
      <c r="R304" s="335">
        <f t="shared" si="101"/>
        <v>0</v>
      </c>
      <c r="S304" s="335">
        <f t="shared" si="101"/>
        <v>0</v>
      </c>
      <c r="T304" s="346">
        <f t="shared" si="87"/>
        <v>700000</v>
      </c>
      <c r="U304" s="381">
        <f t="shared" si="100"/>
        <v>9550000</v>
      </c>
      <c r="V304" s="381">
        <v>9550000</v>
      </c>
      <c r="W304" s="381">
        <v>9550000</v>
      </c>
    </row>
    <row r="305" spans="2:23" s="362" customFormat="1" ht="13.5" customHeight="1">
      <c r="B305" s="356"/>
      <c r="C305" s="363"/>
      <c r="D305" s="358"/>
      <c r="E305" s="363"/>
      <c r="F305" s="374">
        <v>212</v>
      </c>
      <c r="G305" s="451">
        <v>421</v>
      </c>
      <c r="H305" s="1274" t="s">
        <v>33</v>
      </c>
      <c r="I305" s="1275"/>
      <c r="J305" s="1276"/>
      <c r="K305" s="980">
        <v>8000000</v>
      </c>
      <c r="L305" s="1143">
        <v>5377822.6</v>
      </c>
      <c r="M305" s="555">
        <v>8000000</v>
      </c>
      <c r="N305" s="360">
        <v>0</v>
      </c>
      <c r="O305" s="417">
        <v>0</v>
      </c>
      <c r="P305" s="417">
        <v>0</v>
      </c>
      <c r="Q305" s="414">
        <v>700000</v>
      </c>
      <c r="R305" s="414">
        <v>0</v>
      </c>
      <c r="S305" s="420">
        <v>0</v>
      </c>
      <c r="T305" s="423">
        <f t="shared" si="87"/>
        <v>700000</v>
      </c>
      <c r="U305" s="628">
        <f t="shared" si="100"/>
        <v>8700000</v>
      </c>
      <c r="V305" s="628">
        <v>8700000</v>
      </c>
      <c r="W305" s="628">
        <v>8700000</v>
      </c>
    </row>
    <row r="306" spans="2:23" s="362" customFormat="1" ht="12.75">
      <c r="B306" s="375"/>
      <c r="C306" s="368"/>
      <c r="D306" s="369"/>
      <c r="E306" s="368"/>
      <c r="F306" s="471">
        <v>213</v>
      </c>
      <c r="G306" s="472">
        <v>425</v>
      </c>
      <c r="H306" s="716" t="s">
        <v>91</v>
      </c>
      <c r="I306" s="716"/>
      <c r="J306" s="716"/>
      <c r="K306" s="968">
        <v>850000</v>
      </c>
      <c r="L306" s="968">
        <v>475824</v>
      </c>
      <c r="M306" s="555">
        <v>850000</v>
      </c>
      <c r="N306" s="360">
        <v>0</v>
      </c>
      <c r="O306" s="411">
        <v>0</v>
      </c>
      <c r="P306" s="411">
        <v>0</v>
      </c>
      <c r="Q306" s="427">
        <v>0</v>
      </c>
      <c r="R306" s="414">
        <v>0</v>
      </c>
      <c r="S306" s="429">
        <v>0</v>
      </c>
      <c r="T306" s="429">
        <f t="shared" si="87"/>
        <v>0</v>
      </c>
      <c r="U306" s="628">
        <f t="shared" si="100"/>
        <v>850000</v>
      </c>
      <c r="V306" s="628">
        <v>850000</v>
      </c>
      <c r="W306" s="628">
        <v>850000</v>
      </c>
    </row>
    <row r="307" spans="2:23" ht="12.75" customHeight="1">
      <c r="B307" s="287"/>
      <c r="C307" s="288"/>
      <c r="D307" s="435"/>
      <c r="E307" s="352" t="s">
        <v>1255</v>
      </c>
      <c r="F307" s="435"/>
      <c r="G307" s="436"/>
      <c r="H307" s="1191" t="s">
        <v>1252</v>
      </c>
      <c r="I307" s="1192"/>
      <c r="J307" s="1193"/>
      <c r="K307" s="960">
        <f>K308</f>
        <v>21700000</v>
      </c>
      <c r="L307" s="1121">
        <f>L308</f>
        <v>16538538.569999998</v>
      </c>
      <c r="M307" s="1129">
        <f>M308</f>
        <v>21700000</v>
      </c>
      <c r="N307" s="293">
        <f aca="true" t="shared" si="102" ref="N307:S307">N308</f>
        <v>0</v>
      </c>
      <c r="O307" s="293">
        <f t="shared" si="102"/>
        <v>0</v>
      </c>
      <c r="P307" s="293">
        <f t="shared" si="102"/>
        <v>0</v>
      </c>
      <c r="Q307" s="293">
        <f t="shared" si="102"/>
        <v>7000000</v>
      </c>
      <c r="R307" s="293">
        <f t="shared" si="102"/>
        <v>0</v>
      </c>
      <c r="S307" s="293">
        <f t="shared" si="102"/>
        <v>0</v>
      </c>
      <c r="T307" s="340">
        <f t="shared" si="87"/>
        <v>7000000</v>
      </c>
      <c r="U307" s="674">
        <f t="shared" si="100"/>
        <v>28700000</v>
      </c>
      <c r="V307" s="674">
        <v>28700000</v>
      </c>
      <c r="W307" s="674">
        <v>28700000</v>
      </c>
    </row>
    <row r="308" spans="2:23" s="362" customFormat="1" ht="12.75">
      <c r="B308" s="356"/>
      <c r="C308" s="363"/>
      <c r="D308" s="56">
        <v>540</v>
      </c>
      <c r="E308" s="182"/>
      <c r="F308" s="358"/>
      <c r="G308" s="359"/>
      <c r="H308" s="74" t="s">
        <v>1269</v>
      </c>
      <c r="I308" s="75"/>
      <c r="J308" s="452"/>
      <c r="K308" s="971">
        <f>SUM(K309:K312)</f>
        <v>21700000</v>
      </c>
      <c r="L308" s="997">
        <f>SUM(L309:L312)</f>
        <v>16538538.569999998</v>
      </c>
      <c r="M308" s="750">
        <f>SUM(M309:M312)</f>
        <v>21700000</v>
      </c>
      <c r="N308" s="66">
        <f aca="true" t="shared" si="103" ref="N308:S308">SUM(N309:N312)</f>
        <v>0</v>
      </c>
      <c r="O308" s="66">
        <f t="shared" si="103"/>
        <v>0</v>
      </c>
      <c r="P308" s="66">
        <f t="shared" si="103"/>
        <v>0</v>
      </c>
      <c r="Q308" s="66">
        <f t="shared" si="103"/>
        <v>7000000</v>
      </c>
      <c r="R308" s="66">
        <f t="shared" si="103"/>
        <v>0</v>
      </c>
      <c r="S308" s="66">
        <f t="shared" si="103"/>
        <v>0</v>
      </c>
      <c r="T308" s="344">
        <f t="shared" si="87"/>
        <v>7000000</v>
      </c>
      <c r="U308" s="381">
        <f t="shared" si="100"/>
        <v>28700000</v>
      </c>
      <c r="V308" s="381">
        <v>28700000</v>
      </c>
      <c r="W308" s="381">
        <v>28700000</v>
      </c>
    </row>
    <row r="309" spans="2:23" s="362" customFormat="1" ht="12.75">
      <c r="B309" s="356"/>
      <c r="C309" s="363"/>
      <c r="D309" s="358"/>
      <c r="E309" s="363"/>
      <c r="F309" s="374">
        <v>214</v>
      </c>
      <c r="G309" s="451">
        <v>424</v>
      </c>
      <c r="H309" s="1205" t="s">
        <v>1463</v>
      </c>
      <c r="I309" s="1206"/>
      <c r="J309" s="1207"/>
      <c r="K309" s="775">
        <v>10000000</v>
      </c>
      <c r="L309" s="365">
        <v>9007795.629999999</v>
      </c>
      <c r="M309" s="555">
        <v>10000000</v>
      </c>
      <c r="N309" s="360">
        <v>0</v>
      </c>
      <c r="O309" s="417">
        <v>0</v>
      </c>
      <c r="P309" s="417">
        <v>0</v>
      </c>
      <c r="Q309" s="414">
        <v>0</v>
      </c>
      <c r="R309" s="414">
        <v>0</v>
      </c>
      <c r="S309" s="420">
        <v>0</v>
      </c>
      <c r="T309" s="423">
        <f t="shared" si="87"/>
        <v>0</v>
      </c>
      <c r="U309" s="628">
        <f t="shared" si="100"/>
        <v>10000000</v>
      </c>
      <c r="V309" s="628">
        <v>10000000</v>
      </c>
      <c r="W309" s="628">
        <v>10000000</v>
      </c>
    </row>
    <row r="310" spans="2:23" s="362" customFormat="1" ht="12.75">
      <c r="B310" s="356"/>
      <c r="C310" s="363"/>
      <c r="D310" s="358"/>
      <c r="E310" s="363"/>
      <c r="F310" s="374">
        <v>215</v>
      </c>
      <c r="G310" s="451">
        <v>424</v>
      </c>
      <c r="H310" s="1205" t="s">
        <v>1464</v>
      </c>
      <c r="I310" s="1206"/>
      <c r="J310" s="1207"/>
      <c r="K310" s="775">
        <v>200000</v>
      </c>
      <c r="L310" s="365">
        <v>191920</v>
      </c>
      <c r="M310" s="555">
        <v>200000</v>
      </c>
      <c r="N310" s="423">
        <v>0</v>
      </c>
      <c r="O310" s="420">
        <v>0</v>
      </c>
      <c r="P310" s="420">
        <v>0</v>
      </c>
      <c r="Q310" s="420">
        <v>0</v>
      </c>
      <c r="R310" s="420">
        <v>0</v>
      </c>
      <c r="S310" s="420">
        <v>0</v>
      </c>
      <c r="T310" s="423"/>
      <c r="U310" s="628">
        <f t="shared" si="100"/>
        <v>200000</v>
      </c>
      <c r="V310" s="628">
        <v>200000</v>
      </c>
      <c r="W310" s="628">
        <v>200000</v>
      </c>
    </row>
    <row r="311" spans="2:23" s="362" customFormat="1" ht="12.75">
      <c r="B311" s="356"/>
      <c r="C311" s="59"/>
      <c r="D311" s="56"/>
      <c r="E311" s="182"/>
      <c r="F311" s="374">
        <v>216</v>
      </c>
      <c r="G311" s="359">
        <v>425</v>
      </c>
      <c r="H311" s="1205" t="s">
        <v>1579</v>
      </c>
      <c r="I311" s="1206"/>
      <c r="J311" s="1207"/>
      <c r="K311" s="775">
        <v>6500000</v>
      </c>
      <c r="L311" s="365">
        <v>2482624.44</v>
      </c>
      <c r="M311" s="555">
        <v>6500000</v>
      </c>
      <c r="N311" s="360">
        <v>0</v>
      </c>
      <c r="O311" s="428">
        <v>0</v>
      </c>
      <c r="P311" s="428">
        <v>0</v>
      </c>
      <c r="Q311" s="414">
        <v>0</v>
      </c>
      <c r="R311" s="420">
        <v>0</v>
      </c>
      <c r="S311" s="420">
        <v>0</v>
      </c>
      <c r="T311" s="415">
        <f t="shared" si="87"/>
        <v>0</v>
      </c>
      <c r="U311" s="382">
        <f>SUM(M311:S311)</f>
        <v>6500000</v>
      </c>
      <c r="V311" s="382">
        <v>6500000</v>
      </c>
      <c r="W311" s="382">
        <v>6500000</v>
      </c>
    </row>
    <row r="312" spans="2:23" s="362" customFormat="1" ht="12.75">
      <c r="B312" s="375"/>
      <c r="C312" s="338"/>
      <c r="D312" s="61"/>
      <c r="E312" s="551"/>
      <c r="F312" s="374">
        <v>217</v>
      </c>
      <c r="G312" s="370">
        <v>511</v>
      </c>
      <c r="H312" s="1240" t="s">
        <v>1431</v>
      </c>
      <c r="I312" s="1224"/>
      <c r="J312" s="1241"/>
      <c r="K312" s="984">
        <v>5000000</v>
      </c>
      <c r="L312" s="968">
        <v>4856198.5</v>
      </c>
      <c r="M312" s="555">
        <v>5000000</v>
      </c>
      <c r="N312" s="413">
        <v>0</v>
      </c>
      <c r="O312" s="647">
        <v>0</v>
      </c>
      <c r="P312" s="647">
        <v>0</v>
      </c>
      <c r="Q312" s="427">
        <v>7000000</v>
      </c>
      <c r="R312" s="420">
        <v>0</v>
      </c>
      <c r="S312" s="420">
        <v>0</v>
      </c>
      <c r="T312" s="427">
        <f t="shared" si="87"/>
        <v>7000000</v>
      </c>
      <c r="U312" s="382">
        <f>SUM(M312:S312)</f>
        <v>12000000</v>
      </c>
      <c r="V312" s="382">
        <v>12000000</v>
      </c>
      <c r="W312" s="382">
        <v>12000000</v>
      </c>
    </row>
    <row r="313" spans="2:23" ht="14.25" customHeight="1">
      <c r="B313" s="287"/>
      <c r="C313" s="288"/>
      <c r="D313" s="435"/>
      <c r="E313" s="352" t="s">
        <v>1257</v>
      </c>
      <c r="F313" s="435"/>
      <c r="G313" s="436"/>
      <c r="H313" s="1191" t="s">
        <v>1352</v>
      </c>
      <c r="I313" s="1192"/>
      <c r="J313" s="1193"/>
      <c r="K313" s="960">
        <f>K314</f>
        <v>14000000</v>
      </c>
      <c r="L313" s="1121">
        <f>L314</f>
        <v>3194688.8</v>
      </c>
      <c r="M313" s="1129">
        <f>M314</f>
        <v>9642000</v>
      </c>
      <c r="N313" s="293">
        <f aca="true" t="shared" si="104" ref="N313:S313">N314</f>
        <v>0</v>
      </c>
      <c r="O313" s="293">
        <f t="shared" si="104"/>
        <v>0</v>
      </c>
      <c r="P313" s="293">
        <f t="shared" si="104"/>
        <v>32216642.88</v>
      </c>
      <c r="Q313" s="293">
        <f t="shared" si="104"/>
        <v>13043357.12</v>
      </c>
      <c r="R313" s="293">
        <f t="shared" si="104"/>
        <v>0</v>
      </c>
      <c r="S313" s="340">
        <f t="shared" si="104"/>
        <v>0</v>
      </c>
      <c r="T313" s="340">
        <f t="shared" si="87"/>
        <v>45260000</v>
      </c>
      <c r="U313" s="674">
        <f>SUM(M313:S313)</f>
        <v>54901999.99999999</v>
      </c>
      <c r="V313" s="674">
        <v>54901999.99999999</v>
      </c>
      <c r="W313" s="674">
        <v>54901999.99999999</v>
      </c>
    </row>
    <row r="314" spans="2:23" ht="12.75">
      <c r="B314" s="356"/>
      <c r="C314" s="59"/>
      <c r="D314" s="56">
        <v>630</v>
      </c>
      <c r="E314" s="182"/>
      <c r="F314" s="358"/>
      <c r="G314" s="359"/>
      <c r="H314" s="1185" t="s">
        <v>334</v>
      </c>
      <c r="I314" s="1186"/>
      <c r="J314" s="452"/>
      <c r="K314" s="385">
        <f>SUM(K315:K321)</f>
        <v>14000000</v>
      </c>
      <c r="L314" s="754">
        <f>SUM(L315:L321)</f>
        <v>3194688.8</v>
      </c>
      <c r="M314" s="758">
        <f>SUM(M315:M321)</f>
        <v>9642000</v>
      </c>
      <c r="N314" s="385">
        <f aca="true" t="shared" si="105" ref="N314:T314">SUM(N316:N321)</f>
        <v>0</v>
      </c>
      <c r="O314" s="385">
        <f t="shared" si="105"/>
        <v>0</v>
      </c>
      <c r="P314" s="385">
        <f t="shared" si="105"/>
        <v>32216642.88</v>
      </c>
      <c r="Q314" s="385">
        <f t="shared" si="105"/>
        <v>13043357.12</v>
      </c>
      <c r="R314" s="385">
        <f t="shared" si="105"/>
        <v>0</v>
      </c>
      <c r="S314" s="385">
        <f t="shared" si="105"/>
        <v>0</v>
      </c>
      <c r="T314" s="385">
        <f t="shared" si="105"/>
        <v>45260000</v>
      </c>
      <c r="U314" s="876">
        <f>SUM(M314:S314)</f>
        <v>54901999.99999999</v>
      </c>
      <c r="V314" s="876">
        <v>54901999.99999999</v>
      </c>
      <c r="W314" s="758">
        <v>54901999.99999999</v>
      </c>
    </row>
    <row r="315" spans="2:23" ht="12.75">
      <c r="B315" s="375"/>
      <c r="C315" s="338"/>
      <c r="D315" s="61"/>
      <c r="E315" s="551"/>
      <c r="F315" s="370">
        <v>218</v>
      </c>
      <c r="G315" s="370">
        <v>424</v>
      </c>
      <c r="H315" s="354" t="s">
        <v>1561</v>
      </c>
      <c r="I315" s="449"/>
      <c r="J315" s="452"/>
      <c r="K315" s="537">
        <v>2600000</v>
      </c>
      <c r="L315" s="749">
        <v>1041750</v>
      </c>
      <c r="M315" s="750">
        <v>2600000</v>
      </c>
      <c r="N315" s="537">
        <v>0</v>
      </c>
      <c r="O315" s="537">
        <v>0</v>
      </c>
      <c r="P315" s="749">
        <v>0</v>
      </c>
      <c r="Q315" s="983">
        <v>0</v>
      </c>
      <c r="R315" s="983">
        <v>0</v>
      </c>
      <c r="S315" s="983">
        <v>0</v>
      </c>
      <c r="T315" s="754"/>
      <c r="U315" s="795">
        <f>SUM(M315:T315)</f>
        <v>2600000</v>
      </c>
      <c r="V315" s="795">
        <v>2600000</v>
      </c>
      <c r="W315" s="795">
        <v>2600000</v>
      </c>
    </row>
    <row r="316" spans="2:23" ht="12.75">
      <c r="B316" s="375"/>
      <c r="C316" s="338"/>
      <c r="D316" s="61"/>
      <c r="E316" s="551"/>
      <c r="F316" s="823">
        <v>219</v>
      </c>
      <c r="G316" s="370">
        <v>425</v>
      </c>
      <c r="H316" s="354" t="s">
        <v>1556</v>
      </c>
      <c r="I316" s="75"/>
      <c r="J316" s="753"/>
      <c r="K316" s="537">
        <v>1500000</v>
      </c>
      <c r="L316" s="749">
        <v>0</v>
      </c>
      <c r="M316" s="750">
        <v>1500000</v>
      </c>
      <c r="N316" s="537">
        <v>0</v>
      </c>
      <c r="O316" s="537">
        <v>0</v>
      </c>
      <c r="P316" s="749">
        <v>0</v>
      </c>
      <c r="Q316" s="983">
        <v>0</v>
      </c>
      <c r="R316" s="983">
        <v>0</v>
      </c>
      <c r="S316" s="983">
        <v>0</v>
      </c>
      <c r="T316" s="752"/>
      <c r="U316" s="795">
        <f aca="true" t="shared" si="106" ref="U316:U326">SUM(M316:S316)</f>
        <v>1500000</v>
      </c>
      <c r="V316" s="795">
        <v>1500000</v>
      </c>
      <c r="W316" s="750">
        <v>1500000</v>
      </c>
    </row>
    <row r="317" spans="2:23" s="366" customFormat="1" ht="25.5" customHeight="1">
      <c r="B317" s="802"/>
      <c r="C317" s="821"/>
      <c r="D317" s="822"/>
      <c r="E317" s="803"/>
      <c r="F317" s="823">
        <v>220</v>
      </c>
      <c r="G317" s="823">
        <v>511</v>
      </c>
      <c r="H317" s="1234" t="s">
        <v>1560</v>
      </c>
      <c r="I317" s="1235"/>
      <c r="J317" s="1236"/>
      <c r="K317" s="986">
        <v>3400000</v>
      </c>
      <c r="L317" s="986">
        <v>0</v>
      </c>
      <c r="M317" s="986">
        <v>1400000</v>
      </c>
      <c r="N317" s="815">
        <v>0</v>
      </c>
      <c r="O317" s="371">
        <v>0</v>
      </c>
      <c r="P317" s="372">
        <v>0</v>
      </c>
      <c r="Q317" s="382">
        <v>0</v>
      </c>
      <c r="R317" s="382">
        <v>0</v>
      </c>
      <c r="S317" s="382">
        <v>0</v>
      </c>
      <c r="T317" s="871">
        <f t="shared" si="87"/>
        <v>0</v>
      </c>
      <c r="U317" s="886">
        <f t="shared" si="106"/>
        <v>1400000</v>
      </c>
      <c r="V317" s="886">
        <v>1400000</v>
      </c>
      <c r="W317" s="886">
        <v>1400000</v>
      </c>
    </row>
    <row r="318" spans="2:23" ht="12.75">
      <c r="B318" s="375"/>
      <c r="C318" s="338"/>
      <c r="D318" s="470"/>
      <c r="E318" s="377"/>
      <c r="F318" s="573">
        <v>221</v>
      </c>
      <c r="G318" s="370">
        <v>511</v>
      </c>
      <c r="H318" s="1205" t="s">
        <v>1526</v>
      </c>
      <c r="I318" s="1206"/>
      <c r="J318" s="1207"/>
      <c r="K318" s="378">
        <v>500000</v>
      </c>
      <c r="L318" s="378">
        <v>0</v>
      </c>
      <c r="M318" s="378">
        <v>500000</v>
      </c>
      <c r="N318" s="360">
        <v>0</v>
      </c>
      <c r="O318" s="545">
        <v>0</v>
      </c>
      <c r="P318" s="413">
        <v>0</v>
      </c>
      <c r="Q318" s="426">
        <v>0</v>
      </c>
      <c r="R318" s="413">
        <v>0</v>
      </c>
      <c r="S318" s="426">
        <v>0</v>
      </c>
      <c r="T318" s="752">
        <f t="shared" si="87"/>
        <v>0</v>
      </c>
      <c r="U318" s="795">
        <f t="shared" si="106"/>
        <v>500000</v>
      </c>
      <c r="V318" s="795">
        <v>500000</v>
      </c>
      <c r="W318" s="382">
        <v>500000</v>
      </c>
    </row>
    <row r="319" spans="2:23" ht="12.75">
      <c r="B319" s="375"/>
      <c r="C319" s="338"/>
      <c r="D319" s="470"/>
      <c r="E319" s="377"/>
      <c r="F319" s="823">
        <v>222</v>
      </c>
      <c r="G319" s="370">
        <v>511</v>
      </c>
      <c r="H319" s="1205" t="s">
        <v>1527</v>
      </c>
      <c r="I319" s="1206"/>
      <c r="J319" s="1207"/>
      <c r="K319" s="378">
        <v>5000000</v>
      </c>
      <c r="L319" s="378">
        <v>2152938.8</v>
      </c>
      <c r="M319" s="378">
        <v>3640000</v>
      </c>
      <c r="N319" s="360">
        <v>0</v>
      </c>
      <c r="O319" s="545">
        <v>0</v>
      </c>
      <c r="P319" s="413">
        <v>32216642.88</v>
      </c>
      <c r="Q319" s="426">
        <v>13043357.12</v>
      </c>
      <c r="R319" s="413">
        <v>0</v>
      </c>
      <c r="S319" s="426">
        <v>0</v>
      </c>
      <c r="T319" s="752">
        <f t="shared" si="87"/>
        <v>45260000</v>
      </c>
      <c r="U319" s="795">
        <f t="shared" si="106"/>
        <v>48899999.99999999</v>
      </c>
      <c r="V319" s="795">
        <v>48899999.99999999</v>
      </c>
      <c r="W319" s="382">
        <v>48899999.99999999</v>
      </c>
    </row>
    <row r="320" spans="2:23" ht="12.75">
      <c r="B320" s="375"/>
      <c r="C320" s="338"/>
      <c r="D320" s="470"/>
      <c r="E320" s="377"/>
      <c r="F320" s="573">
        <v>223</v>
      </c>
      <c r="G320" s="370">
        <v>511</v>
      </c>
      <c r="H320" s="1205" t="s">
        <v>1432</v>
      </c>
      <c r="I320" s="1206"/>
      <c r="J320" s="1207"/>
      <c r="K320" s="378">
        <v>700000</v>
      </c>
      <c r="L320" s="378">
        <v>0</v>
      </c>
      <c r="M320" s="378">
        <v>1000</v>
      </c>
      <c r="N320" s="360">
        <v>0</v>
      </c>
      <c r="O320" s="545">
        <v>0</v>
      </c>
      <c r="P320" s="413">
        <v>0</v>
      </c>
      <c r="Q320" s="426">
        <v>0</v>
      </c>
      <c r="R320" s="426">
        <v>0</v>
      </c>
      <c r="S320" s="426">
        <v>0</v>
      </c>
      <c r="T320" s="752">
        <f t="shared" si="87"/>
        <v>0</v>
      </c>
      <c r="U320" s="795">
        <f t="shared" si="106"/>
        <v>1000</v>
      </c>
      <c r="V320" s="795">
        <v>1000</v>
      </c>
      <c r="W320" s="382">
        <v>1000</v>
      </c>
    </row>
    <row r="321" spans="2:23" s="362" customFormat="1" ht="12.75">
      <c r="B321" s="356"/>
      <c r="C321" s="59"/>
      <c r="D321" s="56"/>
      <c r="E321" s="182"/>
      <c r="F321" s="573">
        <v>224</v>
      </c>
      <c r="G321" s="359">
        <v>511</v>
      </c>
      <c r="H321" s="1205" t="s">
        <v>1580</v>
      </c>
      <c r="I321" s="1206"/>
      <c r="J321" s="1207"/>
      <c r="K321" s="775">
        <v>300000</v>
      </c>
      <c r="L321" s="775">
        <v>0</v>
      </c>
      <c r="M321" s="775">
        <v>1000</v>
      </c>
      <c r="N321" s="360">
        <v>0</v>
      </c>
      <c r="O321" s="428">
        <v>0</v>
      </c>
      <c r="P321" s="428">
        <v>0</v>
      </c>
      <c r="Q321" s="414">
        <v>0</v>
      </c>
      <c r="R321" s="414">
        <v>0</v>
      </c>
      <c r="S321" s="414">
        <v>0</v>
      </c>
      <c r="T321" s="415">
        <f t="shared" si="87"/>
        <v>0</v>
      </c>
      <c r="U321" s="382">
        <f t="shared" si="106"/>
        <v>1000</v>
      </c>
      <c r="V321" s="382">
        <v>1000</v>
      </c>
      <c r="W321" s="382">
        <v>1000</v>
      </c>
    </row>
    <row r="322" spans="2:23" ht="14.25" customHeight="1">
      <c r="B322" s="287"/>
      <c r="C322" s="288"/>
      <c r="D322" s="435"/>
      <c r="E322" s="352" t="s">
        <v>1258</v>
      </c>
      <c r="F322" s="435"/>
      <c r="G322" s="436"/>
      <c r="H322" s="1191" t="s">
        <v>1253</v>
      </c>
      <c r="I322" s="1192"/>
      <c r="J322" s="1193"/>
      <c r="K322" s="960">
        <f aca="true" t="shared" si="107" ref="K322:S322">K323</f>
        <v>2950000</v>
      </c>
      <c r="L322" s="960">
        <f t="shared" si="107"/>
        <v>1375386</v>
      </c>
      <c r="M322" s="960">
        <f t="shared" si="107"/>
        <v>2950000</v>
      </c>
      <c r="N322" s="293">
        <f t="shared" si="107"/>
        <v>0</v>
      </c>
      <c r="O322" s="293">
        <f t="shared" si="107"/>
        <v>0</v>
      </c>
      <c r="P322" s="293">
        <f t="shared" si="107"/>
        <v>0</v>
      </c>
      <c r="Q322" s="293">
        <f t="shared" si="107"/>
        <v>0</v>
      </c>
      <c r="R322" s="293">
        <f t="shared" si="107"/>
        <v>0</v>
      </c>
      <c r="S322" s="340">
        <f t="shared" si="107"/>
        <v>0</v>
      </c>
      <c r="T322" s="340">
        <f t="shared" si="87"/>
        <v>0</v>
      </c>
      <c r="U322" s="674">
        <f t="shared" si="106"/>
        <v>2950000</v>
      </c>
      <c r="V322" s="674">
        <v>2950000</v>
      </c>
      <c r="W322" s="674">
        <v>2950000</v>
      </c>
    </row>
    <row r="323" spans="2:23" s="23" customFormat="1" ht="12.75">
      <c r="B323" s="561"/>
      <c r="C323" s="562"/>
      <c r="D323" s="182" t="s">
        <v>421</v>
      </c>
      <c r="E323" s="182"/>
      <c r="F323" s="563"/>
      <c r="G323" s="564"/>
      <c r="H323" s="74" t="s">
        <v>1269</v>
      </c>
      <c r="I323" s="75"/>
      <c r="J323" s="753"/>
      <c r="K323" s="554">
        <f>SUM(K324:K326)</f>
        <v>2950000</v>
      </c>
      <c r="L323" s="554">
        <f>SUM(L324:L326)</f>
        <v>1375386</v>
      </c>
      <c r="M323" s="554">
        <f>SUM(M324:M326)</f>
        <v>2950000</v>
      </c>
      <c r="N323" s="66">
        <f aca="true" t="shared" si="108" ref="N323:S323">SUM(N324:N326)</f>
        <v>0</v>
      </c>
      <c r="O323" s="66">
        <f t="shared" si="108"/>
        <v>0</v>
      </c>
      <c r="P323" s="66">
        <f t="shared" si="108"/>
        <v>0</v>
      </c>
      <c r="Q323" s="66">
        <f t="shared" si="108"/>
        <v>0</v>
      </c>
      <c r="R323" s="66">
        <f t="shared" si="108"/>
        <v>0</v>
      </c>
      <c r="S323" s="66">
        <f t="shared" si="108"/>
        <v>0</v>
      </c>
      <c r="T323" s="344">
        <f t="shared" si="87"/>
        <v>0</v>
      </c>
      <c r="U323" s="876">
        <f t="shared" si="106"/>
        <v>2950000</v>
      </c>
      <c r="V323" s="876">
        <v>2950000</v>
      </c>
      <c r="W323" s="876">
        <v>2950000</v>
      </c>
    </row>
    <row r="324" spans="2:23" ht="12.75">
      <c r="B324" s="437"/>
      <c r="C324" s="438"/>
      <c r="D324" s="466"/>
      <c r="E324" s="357"/>
      <c r="F324" s="439">
        <v>225</v>
      </c>
      <c r="G324" s="440">
        <v>423</v>
      </c>
      <c r="H324" s="1205" t="s">
        <v>1433</v>
      </c>
      <c r="I324" s="1206"/>
      <c r="J324" s="1207"/>
      <c r="K324" s="775">
        <v>2400000</v>
      </c>
      <c r="L324" s="775">
        <v>1018410</v>
      </c>
      <c r="M324" s="775">
        <v>2400000</v>
      </c>
      <c r="N324" s="360">
        <v>0</v>
      </c>
      <c r="O324" s="360">
        <v>0</v>
      </c>
      <c r="P324" s="360">
        <v>0</v>
      </c>
      <c r="Q324" s="361">
        <v>0</v>
      </c>
      <c r="R324" s="414">
        <v>0</v>
      </c>
      <c r="S324" s="361">
        <v>0</v>
      </c>
      <c r="T324" s="361">
        <f t="shared" si="87"/>
        <v>0</v>
      </c>
      <c r="U324" s="795">
        <f t="shared" si="106"/>
        <v>2400000</v>
      </c>
      <c r="V324" s="795">
        <v>2400000</v>
      </c>
      <c r="W324" s="795">
        <v>2400000</v>
      </c>
    </row>
    <row r="325" spans="2:23" s="362" customFormat="1" ht="12.75">
      <c r="B325" s="356"/>
      <c r="C325" s="59"/>
      <c r="D325" s="56"/>
      <c r="E325" s="182"/>
      <c r="F325" s="439">
        <v>226</v>
      </c>
      <c r="G325" s="359">
        <v>424</v>
      </c>
      <c r="H325" s="1248" t="s">
        <v>1434</v>
      </c>
      <c r="I325" s="1249"/>
      <c r="J325" s="1250"/>
      <c r="K325" s="958">
        <v>450000</v>
      </c>
      <c r="L325" s="958">
        <v>257976</v>
      </c>
      <c r="M325" s="958">
        <v>450000</v>
      </c>
      <c r="N325" s="360">
        <v>0</v>
      </c>
      <c r="O325" s="428">
        <v>0</v>
      </c>
      <c r="P325" s="428">
        <v>0</v>
      </c>
      <c r="Q325" s="414">
        <v>0</v>
      </c>
      <c r="R325" s="414">
        <v>0</v>
      </c>
      <c r="S325" s="414">
        <v>0</v>
      </c>
      <c r="T325" s="415">
        <f t="shared" si="87"/>
        <v>0</v>
      </c>
      <c r="U325" s="382">
        <f t="shared" si="106"/>
        <v>450000</v>
      </c>
      <c r="V325" s="382">
        <v>450000</v>
      </c>
      <c r="W325" s="382">
        <v>450000</v>
      </c>
    </row>
    <row r="326" spans="2:23" s="362" customFormat="1" ht="12.75">
      <c r="B326" s="375"/>
      <c r="C326" s="338"/>
      <c r="D326" s="61"/>
      <c r="E326" s="551"/>
      <c r="F326" s="529">
        <v>227</v>
      </c>
      <c r="G326" s="370">
        <v>424</v>
      </c>
      <c r="H326" s="1242" t="s">
        <v>1576</v>
      </c>
      <c r="I326" s="1243"/>
      <c r="J326" s="1244"/>
      <c r="K326" s="978">
        <v>100000</v>
      </c>
      <c r="L326" s="978">
        <v>99000</v>
      </c>
      <c r="M326" s="978">
        <v>100000</v>
      </c>
      <c r="N326" s="413">
        <v>0</v>
      </c>
      <c r="O326" s="647">
        <v>0</v>
      </c>
      <c r="P326" s="647">
        <v>0</v>
      </c>
      <c r="Q326" s="427">
        <v>0</v>
      </c>
      <c r="R326" s="427">
        <v>0</v>
      </c>
      <c r="S326" s="427">
        <v>0</v>
      </c>
      <c r="T326" s="427">
        <f t="shared" si="87"/>
        <v>0</v>
      </c>
      <c r="U326" s="382">
        <f t="shared" si="106"/>
        <v>100000</v>
      </c>
      <c r="V326" s="382">
        <v>100000</v>
      </c>
      <c r="W326" s="382">
        <v>100000</v>
      </c>
    </row>
    <row r="327" spans="2:23" ht="12.75" customHeight="1">
      <c r="B327" s="287"/>
      <c r="C327" s="288"/>
      <c r="D327" s="435"/>
      <c r="E327" s="352" t="s">
        <v>1256</v>
      </c>
      <c r="F327" s="435"/>
      <c r="G327" s="436"/>
      <c r="H327" s="1191" t="s">
        <v>1584</v>
      </c>
      <c r="I327" s="1192"/>
      <c r="J327" s="1193"/>
      <c r="K327" s="960">
        <f>SUM(K329)</f>
        <v>12000000</v>
      </c>
      <c r="L327" s="960">
        <f aca="true" t="shared" si="109" ref="L327:U327">SUM(L329)</f>
        <v>0</v>
      </c>
      <c r="M327" s="960">
        <f t="shared" si="109"/>
        <v>0</v>
      </c>
      <c r="N327" s="960">
        <f t="shared" si="109"/>
        <v>0</v>
      </c>
      <c r="O327" s="960">
        <f t="shared" si="109"/>
        <v>0</v>
      </c>
      <c r="P327" s="960">
        <f t="shared" si="109"/>
        <v>0</v>
      </c>
      <c r="Q327" s="960">
        <f t="shared" si="109"/>
        <v>17000000</v>
      </c>
      <c r="R327" s="960">
        <f t="shared" si="109"/>
        <v>0</v>
      </c>
      <c r="S327" s="960">
        <f t="shared" si="109"/>
        <v>0</v>
      </c>
      <c r="T327" s="960">
        <f t="shared" si="109"/>
        <v>17000000</v>
      </c>
      <c r="U327" s="960">
        <f t="shared" si="109"/>
        <v>17000000</v>
      </c>
      <c r="V327" s="674">
        <v>17000000</v>
      </c>
      <c r="W327" s="674">
        <v>17000000</v>
      </c>
    </row>
    <row r="328" spans="2:23" s="23" customFormat="1" ht="12.75">
      <c r="B328" s="639"/>
      <c r="C328" s="640"/>
      <c r="D328" s="56">
        <v>620</v>
      </c>
      <c r="E328" s="58"/>
      <c r="F328" s="563"/>
      <c r="G328" s="564"/>
      <c r="H328" s="74" t="s">
        <v>116</v>
      </c>
      <c r="I328" s="75"/>
      <c r="J328" s="753"/>
      <c r="K328" s="554">
        <f>K329</f>
        <v>12000000</v>
      </c>
      <c r="L328" s="554">
        <f aca="true" t="shared" si="110" ref="L328:U328">L329</f>
        <v>0</v>
      </c>
      <c r="M328" s="554">
        <f t="shared" si="110"/>
        <v>0</v>
      </c>
      <c r="N328" s="554">
        <f t="shared" si="110"/>
        <v>0</v>
      </c>
      <c r="O328" s="554">
        <f t="shared" si="110"/>
        <v>0</v>
      </c>
      <c r="P328" s="554">
        <f t="shared" si="110"/>
        <v>0</v>
      </c>
      <c r="Q328" s="554">
        <f t="shared" si="110"/>
        <v>17000000</v>
      </c>
      <c r="R328" s="554">
        <f t="shared" si="110"/>
        <v>0</v>
      </c>
      <c r="S328" s="554">
        <f t="shared" si="110"/>
        <v>0</v>
      </c>
      <c r="T328" s="554">
        <f t="shared" si="110"/>
        <v>17000000</v>
      </c>
      <c r="U328" s="554">
        <f t="shared" si="110"/>
        <v>17000000</v>
      </c>
      <c r="V328" s="876">
        <v>17000000</v>
      </c>
      <c r="W328" s="876">
        <v>17000000</v>
      </c>
    </row>
    <row r="329" spans="2:23" ht="12.75">
      <c r="B329" s="375"/>
      <c r="C329" s="338"/>
      <c r="D329" s="376"/>
      <c r="E329" s="466"/>
      <c r="F329" s="439">
        <v>228</v>
      </c>
      <c r="G329" s="440">
        <v>512</v>
      </c>
      <c r="H329" s="354" t="s">
        <v>1585</v>
      </c>
      <c r="I329" s="449"/>
      <c r="J329" s="452"/>
      <c r="K329" s="537">
        <v>12000000</v>
      </c>
      <c r="L329" s="537">
        <v>0</v>
      </c>
      <c r="M329" s="537">
        <v>0</v>
      </c>
      <c r="N329" s="1172">
        <v>0</v>
      </c>
      <c r="O329" s="1172">
        <v>0</v>
      </c>
      <c r="P329" s="1172">
        <v>0</v>
      </c>
      <c r="Q329" s="1172">
        <v>17000000</v>
      </c>
      <c r="R329" s="1173">
        <v>0</v>
      </c>
      <c r="S329" s="1172">
        <v>0</v>
      </c>
      <c r="T329" s="971">
        <f t="shared" si="87"/>
        <v>17000000</v>
      </c>
      <c r="U329" s="971">
        <f aca="true" t="shared" si="111" ref="U329:U343">SUM(M329:S329)</f>
        <v>17000000</v>
      </c>
      <c r="V329" s="795">
        <v>17000000</v>
      </c>
      <c r="W329" s="795">
        <v>17000000</v>
      </c>
    </row>
    <row r="330" spans="2:23" ht="27" customHeight="1">
      <c r="B330" s="287"/>
      <c r="C330" s="288"/>
      <c r="D330" s="435"/>
      <c r="E330" s="652" t="s">
        <v>307</v>
      </c>
      <c r="F330" s="653"/>
      <c r="G330" s="653"/>
      <c r="H330" s="1268" t="s">
        <v>1370</v>
      </c>
      <c r="I330" s="1269"/>
      <c r="J330" s="1269"/>
      <c r="K330" s="987">
        <f>K331+K334</f>
        <v>26860000</v>
      </c>
      <c r="L330" s="987">
        <f>L331+L334</f>
        <v>14537080</v>
      </c>
      <c r="M330" s="987">
        <f>M331+M334</f>
        <v>10503000</v>
      </c>
      <c r="N330" s="293">
        <f aca="true" t="shared" si="112" ref="N330:S330">N331+N334</f>
        <v>0</v>
      </c>
      <c r="O330" s="293">
        <f t="shared" si="112"/>
        <v>0</v>
      </c>
      <c r="P330" s="293">
        <f t="shared" si="112"/>
        <v>0</v>
      </c>
      <c r="Q330" s="293">
        <f t="shared" si="112"/>
        <v>11700000</v>
      </c>
      <c r="R330" s="293">
        <f t="shared" si="112"/>
        <v>0</v>
      </c>
      <c r="S330" s="293">
        <f t="shared" si="112"/>
        <v>0</v>
      </c>
      <c r="T330" s="340">
        <f t="shared" si="87"/>
        <v>11700000</v>
      </c>
      <c r="U330" s="674">
        <f t="shared" si="111"/>
        <v>22203000</v>
      </c>
      <c r="V330" s="674">
        <v>22203000</v>
      </c>
      <c r="W330" s="674">
        <v>22203000</v>
      </c>
    </row>
    <row r="331" spans="2:23" ht="15" customHeight="1">
      <c r="B331" s="287"/>
      <c r="C331" s="288"/>
      <c r="D331" s="435"/>
      <c r="E331" s="352" t="s">
        <v>323</v>
      </c>
      <c r="F331" s="435"/>
      <c r="G331" s="436"/>
      <c r="H331" s="1265" t="s">
        <v>1261</v>
      </c>
      <c r="I331" s="1266"/>
      <c r="J331" s="1267"/>
      <c r="K331" s="960">
        <f aca="true" t="shared" si="113" ref="K331:S331">K332</f>
        <v>9900000</v>
      </c>
      <c r="L331" s="960">
        <f t="shared" si="113"/>
        <v>6537080</v>
      </c>
      <c r="M331" s="960">
        <f t="shared" si="113"/>
        <v>10000000</v>
      </c>
      <c r="N331" s="293">
        <f t="shared" si="113"/>
        <v>0</v>
      </c>
      <c r="O331" s="293">
        <f t="shared" si="113"/>
        <v>0</v>
      </c>
      <c r="P331" s="293">
        <f t="shared" si="113"/>
        <v>0</v>
      </c>
      <c r="Q331" s="744">
        <f t="shared" si="113"/>
        <v>3000000</v>
      </c>
      <c r="R331" s="293">
        <f t="shared" si="113"/>
        <v>0</v>
      </c>
      <c r="S331" s="340">
        <f t="shared" si="113"/>
        <v>0</v>
      </c>
      <c r="T331" s="340">
        <f t="shared" si="87"/>
        <v>3000000</v>
      </c>
      <c r="U331" s="674">
        <f t="shared" si="111"/>
        <v>13000000</v>
      </c>
      <c r="V331" s="674">
        <v>13000000</v>
      </c>
      <c r="W331" s="674">
        <v>13000000</v>
      </c>
    </row>
    <row r="332" spans="2:23" s="23" customFormat="1" ht="12.75">
      <c r="B332" s="639"/>
      <c r="C332" s="640"/>
      <c r="D332" s="56">
        <v>620</v>
      </c>
      <c r="E332" s="182"/>
      <c r="F332" s="641"/>
      <c r="G332" s="642"/>
      <c r="H332" s="1185" t="s">
        <v>116</v>
      </c>
      <c r="I332" s="1186"/>
      <c r="J332" s="753"/>
      <c r="K332" s="554">
        <f aca="true" t="shared" si="114" ref="K332:S332">SUM(K333:K333)</f>
        <v>9900000</v>
      </c>
      <c r="L332" s="554">
        <f t="shared" si="114"/>
        <v>6537080</v>
      </c>
      <c r="M332" s="554">
        <f t="shared" si="114"/>
        <v>10000000</v>
      </c>
      <c r="N332" s="66">
        <f t="shared" si="114"/>
        <v>0</v>
      </c>
      <c r="O332" s="66">
        <f t="shared" si="114"/>
        <v>0</v>
      </c>
      <c r="P332" s="344">
        <f t="shared" si="114"/>
        <v>0</v>
      </c>
      <c r="Q332" s="675">
        <f t="shared" si="114"/>
        <v>3000000</v>
      </c>
      <c r="R332" s="66">
        <f t="shared" si="114"/>
        <v>0</v>
      </c>
      <c r="S332" s="66">
        <f t="shared" si="114"/>
        <v>0</v>
      </c>
      <c r="T332" s="612">
        <f t="shared" si="87"/>
        <v>3000000</v>
      </c>
      <c r="U332" s="876">
        <f t="shared" si="111"/>
        <v>13000000</v>
      </c>
      <c r="V332" s="876">
        <v>13000000</v>
      </c>
      <c r="W332" s="876">
        <v>13000000</v>
      </c>
    </row>
    <row r="333" spans="2:23" s="499" customFormat="1" ht="26.25" customHeight="1">
      <c r="B333" s="810"/>
      <c r="C333" s="811"/>
      <c r="D333" s="812"/>
      <c r="E333" s="813"/>
      <c r="F333" s="812">
        <v>229</v>
      </c>
      <c r="G333" s="814">
        <v>511</v>
      </c>
      <c r="H333" s="1227" t="s">
        <v>1525</v>
      </c>
      <c r="I333" s="1228"/>
      <c r="J333" s="1363"/>
      <c r="K333" s="988">
        <v>9900000</v>
      </c>
      <c r="L333" s="988">
        <v>6537080</v>
      </c>
      <c r="M333" s="988">
        <v>10000000</v>
      </c>
      <c r="N333" s="815">
        <v>0</v>
      </c>
      <c r="O333" s="816">
        <v>0</v>
      </c>
      <c r="P333" s="817">
        <v>0</v>
      </c>
      <c r="Q333" s="818">
        <v>3000000</v>
      </c>
      <c r="R333" s="819">
        <v>0</v>
      </c>
      <c r="S333" s="820">
        <v>0</v>
      </c>
      <c r="T333" s="872">
        <f t="shared" si="87"/>
        <v>3000000</v>
      </c>
      <c r="U333" s="628">
        <f t="shared" si="111"/>
        <v>13000000</v>
      </c>
      <c r="V333" s="628">
        <v>13000000</v>
      </c>
      <c r="W333" s="628">
        <v>13000000</v>
      </c>
    </row>
    <row r="334" spans="2:23" ht="15" customHeight="1">
      <c r="B334" s="287"/>
      <c r="C334" s="288"/>
      <c r="D334" s="435"/>
      <c r="E334" s="352" t="s">
        <v>1263</v>
      </c>
      <c r="F334" s="435"/>
      <c r="G334" s="436"/>
      <c r="H334" s="1191" t="s">
        <v>1264</v>
      </c>
      <c r="I334" s="1192"/>
      <c r="J334" s="1193"/>
      <c r="K334" s="960">
        <f aca="true" t="shared" si="115" ref="K334:S334">K335</f>
        <v>16960000</v>
      </c>
      <c r="L334" s="960">
        <f t="shared" si="115"/>
        <v>8000000</v>
      </c>
      <c r="M334" s="960">
        <f t="shared" si="115"/>
        <v>503000</v>
      </c>
      <c r="N334" s="293">
        <f t="shared" si="115"/>
        <v>0</v>
      </c>
      <c r="O334" s="293">
        <f t="shared" si="115"/>
        <v>0</v>
      </c>
      <c r="P334" s="293">
        <f t="shared" si="115"/>
        <v>0</v>
      </c>
      <c r="Q334" s="293">
        <f t="shared" si="115"/>
        <v>8700000</v>
      </c>
      <c r="R334" s="293">
        <f t="shared" si="115"/>
        <v>0</v>
      </c>
      <c r="S334" s="340">
        <f t="shared" si="115"/>
        <v>0</v>
      </c>
      <c r="T334" s="340">
        <f t="shared" si="87"/>
        <v>8700000</v>
      </c>
      <c r="U334" s="674">
        <f t="shared" si="111"/>
        <v>9203000</v>
      </c>
      <c r="V334" s="674">
        <v>9203000</v>
      </c>
      <c r="W334" s="674">
        <v>9203000</v>
      </c>
    </row>
    <row r="335" spans="2:23" s="23" customFormat="1" ht="12.75">
      <c r="B335" s="639"/>
      <c r="C335" s="640"/>
      <c r="D335" s="56">
        <v>620</v>
      </c>
      <c r="E335" s="182"/>
      <c r="F335" s="641"/>
      <c r="G335" s="642"/>
      <c r="H335" s="789" t="s">
        <v>116</v>
      </c>
      <c r="I335" s="790"/>
      <c r="J335" s="1133"/>
      <c r="K335" s="796">
        <f>SUM(K336:K340)</f>
        <v>16960000</v>
      </c>
      <c r="L335" s="796">
        <f>SUM(L336:L340)</f>
        <v>8000000</v>
      </c>
      <c r="M335" s="796">
        <f>SUM(M336:M340)</f>
        <v>503000</v>
      </c>
      <c r="N335" s="590">
        <f aca="true" t="shared" si="116" ref="N335:T335">SUM(N336:N340)</f>
        <v>0</v>
      </c>
      <c r="O335" s="590">
        <f t="shared" si="116"/>
        <v>0</v>
      </c>
      <c r="P335" s="590">
        <f t="shared" si="116"/>
        <v>0</v>
      </c>
      <c r="Q335" s="590">
        <f t="shared" si="116"/>
        <v>8700000</v>
      </c>
      <c r="R335" s="590">
        <f t="shared" si="116"/>
        <v>0</v>
      </c>
      <c r="S335" s="590">
        <f t="shared" si="116"/>
        <v>0</v>
      </c>
      <c r="T335" s="590">
        <f t="shared" si="116"/>
        <v>8700000</v>
      </c>
      <c r="U335" s="876">
        <f t="shared" si="111"/>
        <v>9203000</v>
      </c>
      <c r="V335" s="876">
        <v>9203000</v>
      </c>
      <c r="W335" s="876">
        <v>9203000</v>
      </c>
    </row>
    <row r="336" spans="2:23" s="362" customFormat="1" ht="12.75">
      <c r="B336" s="356"/>
      <c r="C336" s="59"/>
      <c r="D336" s="56"/>
      <c r="E336" s="182"/>
      <c r="F336" s="370">
        <v>230</v>
      </c>
      <c r="G336" s="550">
        <v>424</v>
      </c>
      <c r="H336" s="1222" t="s">
        <v>1590</v>
      </c>
      <c r="I336" s="1222"/>
      <c r="J336" s="1222"/>
      <c r="K336" s="555">
        <v>500000</v>
      </c>
      <c r="L336" s="555">
        <v>0</v>
      </c>
      <c r="M336" s="555">
        <v>500000</v>
      </c>
      <c r="N336" s="645">
        <v>0</v>
      </c>
      <c r="O336" s="412">
        <v>0</v>
      </c>
      <c r="P336" s="428">
        <v>0</v>
      </c>
      <c r="Q336" s="414">
        <v>100000</v>
      </c>
      <c r="R336" s="428">
        <v>0</v>
      </c>
      <c r="S336" s="414">
        <v>0</v>
      </c>
      <c r="T336" s="415">
        <f t="shared" si="87"/>
        <v>100000</v>
      </c>
      <c r="U336" s="382">
        <f t="shared" si="111"/>
        <v>600000</v>
      </c>
      <c r="V336" s="382">
        <v>600000</v>
      </c>
      <c r="W336" s="382">
        <v>600000</v>
      </c>
    </row>
    <row r="337" spans="2:23" s="362" customFormat="1" ht="12.75">
      <c r="B337" s="375"/>
      <c r="C337" s="338"/>
      <c r="D337" s="61"/>
      <c r="E337" s="551"/>
      <c r="F337" s="370">
        <v>232</v>
      </c>
      <c r="G337" s="546">
        <v>424</v>
      </c>
      <c r="H337" s="799" t="s">
        <v>1471</v>
      </c>
      <c r="I337" s="800"/>
      <c r="J337" s="801"/>
      <c r="K337" s="989">
        <v>8000000</v>
      </c>
      <c r="L337" s="989">
        <v>8000000</v>
      </c>
      <c r="M337" s="989">
        <v>0</v>
      </c>
      <c r="N337" s="645">
        <v>0</v>
      </c>
      <c r="O337" s="647">
        <v>0</v>
      </c>
      <c r="P337" s="647">
        <v>0</v>
      </c>
      <c r="Q337" s="427">
        <v>8600000</v>
      </c>
      <c r="R337" s="647">
        <v>0</v>
      </c>
      <c r="S337" s="427">
        <v>0</v>
      </c>
      <c r="T337" s="427">
        <f>SUM(Q337:S337)</f>
        <v>8600000</v>
      </c>
      <c r="U337" s="382">
        <f t="shared" si="111"/>
        <v>8600000</v>
      </c>
      <c r="V337" s="382">
        <v>8600000</v>
      </c>
      <c r="W337" s="886">
        <v>8600000</v>
      </c>
    </row>
    <row r="338" spans="2:23" s="362" customFormat="1" ht="12.75">
      <c r="B338" s="375"/>
      <c r="C338" s="338"/>
      <c r="D338" s="61"/>
      <c r="E338" s="551"/>
      <c r="F338" s="369">
        <v>233</v>
      </c>
      <c r="G338" s="546">
        <v>511</v>
      </c>
      <c r="H338" s="1277" t="s">
        <v>1557</v>
      </c>
      <c r="I338" s="1277"/>
      <c r="J338" s="1277"/>
      <c r="K338" s="555">
        <v>2000000</v>
      </c>
      <c r="L338" s="555">
        <v>0</v>
      </c>
      <c r="M338" s="555">
        <v>1000</v>
      </c>
      <c r="N338" s="645">
        <v>0</v>
      </c>
      <c r="O338" s="647">
        <v>0</v>
      </c>
      <c r="P338" s="647">
        <v>0</v>
      </c>
      <c r="Q338" s="427">
        <v>0</v>
      </c>
      <c r="R338" s="647">
        <v>0</v>
      </c>
      <c r="S338" s="427">
        <v>0</v>
      </c>
      <c r="T338" s="427">
        <v>0</v>
      </c>
      <c r="U338" s="382">
        <f t="shared" si="111"/>
        <v>1000</v>
      </c>
      <c r="V338" s="382">
        <v>1000</v>
      </c>
      <c r="W338" s="382">
        <v>1000</v>
      </c>
    </row>
    <row r="339" spans="2:23" s="362" customFormat="1" ht="12.75">
      <c r="B339" s="375"/>
      <c r="C339" s="338"/>
      <c r="D339" s="61"/>
      <c r="E339" s="551"/>
      <c r="F339" s="369">
        <v>234</v>
      </c>
      <c r="G339" s="370">
        <v>511</v>
      </c>
      <c r="H339" s="1222" t="s">
        <v>1435</v>
      </c>
      <c r="I339" s="1222"/>
      <c r="J339" s="1222"/>
      <c r="K339" s="555">
        <v>1800000</v>
      </c>
      <c r="L339" s="555">
        <v>0</v>
      </c>
      <c r="M339" s="555">
        <v>1000</v>
      </c>
      <c r="N339" s="645">
        <v>0</v>
      </c>
      <c r="O339" s="647">
        <v>0</v>
      </c>
      <c r="P339" s="647">
        <v>0</v>
      </c>
      <c r="Q339" s="427">
        <v>0</v>
      </c>
      <c r="R339" s="647">
        <v>0</v>
      </c>
      <c r="S339" s="427">
        <v>0</v>
      </c>
      <c r="T339" s="427">
        <f t="shared" si="87"/>
        <v>0</v>
      </c>
      <c r="U339" s="382">
        <f t="shared" si="111"/>
        <v>1000</v>
      </c>
      <c r="V339" s="382">
        <v>1000</v>
      </c>
      <c r="W339" s="382">
        <v>1000</v>
      </c>
    </row>
    <row r="340" spans="2:23" s="362" customFormat="1" ht="12.75">
      <c r="B340" s="375"/>
      <c r="C340" s="338"/>
      <c r="D340" s="61"/>
      <c r="E340" s="551"/>
      <c r="F340" s="369">
        <v>235</v>
      </c>
      <c r="G340" s="370">
        <v>511</v>
      </c>
      <c r="H340" s="1222" t="s">
        <v>1558</v>
      </c>
      <c r="I340" s="1222"/>
      <c r="J340" s="1222"/>
      <c r="K340" s="968">
        <v>4660000</v>
      </c>
      <c r="L340" s="968">
        <v>0</v>
      </c>
      <c r="M340" s="555">
        <v>1000</v>
      </c>
      <c r="N340" s="767">
        <v>0</v>
      </c>
      <c r="O340" s="647">
        <v>0</v>
      </c>
      <c r="P340" s="647">
        <v>0</v>
      </c>
      <c r="Q340" s="427">
        <v>0</v>
      </c>
      <c r="R340" s="647">
        <v>0</v>
      </c>
      <c r="S340" s="427">
        <v>0</v>
      </c>
      <c r="T340" s="427">
        <v>0</v>
      </c>
      <c r="U340" s="382">
        <f t="shared" si="111"/>
        <v>1000</v>
      </c>
      <c r="V340" s="382">
        <v>1000</v>
      </c>
      <c r="W340" s="382">
        <v>1000</v>
      </c>
    </row>
    <row r="341" spans="2:23" ht="27" customHeight="1">
      <c r="B341" s="287"/>
      <c r="C341" s="288"/>
      <c r="D341" s="435"/>
      <c r="E341" s="630" t="s">
        <v>1265</v>
      </c>
      <c r="F341" s="435"/>
      <c r="G341" s="436"/>
      <c r="H341" s="1270" t="s">
        <v>1468</v>
      </c>
      <c r="I341" s="1212"/>
      <c r="J341" s="1213"/>
      <c r="K341" s="1140">
        <f aca="true" t="shared" si="117" ref="K341:M342">K342</f>
        <v>13500000</v>
      </c>
      <c r="L341" s="1140">
        <f t="shared" si="117"/>
        <v>3391933.7799999993</v>
      </c>
      <c r="M341" s="1140">
        <f t="shared" si="117"/>
        <v>4000000</v>
      </c>
      <c r="N341" s="293">
        <f aca="true" t="shared" si="118" ref="N341:S342">N342</f>
        <v>0</v>
      </c>
      <c r="O341" s="293">
        <f t="shared" si="118"/>
        <v>0</v>
      </c>
      <c r="P341" s="293">
        <f t="shared" si="118"/>
        <v>13000000</v>
      </c>
      <c r="Q341" s="293">
        <f t="shared" si="118"/>
        <v>0</v>
      </c>
      <c r="R341" s="293">
        <f t="shared" si="118"/>
        <v>0</v>
      </c>
      <c r="S341" s="293">
        <f t="shared" si="118"/>
        <v>0</v>
      </c>
      <c r="T341" s="340">
        <f t="shared" si="87"/>
        <v>13000000</v>
      </c>
      <c r="U341" s="674">
        <f t="shared" si="111"/>
        <v>17000000</v>
      </c>
      <c r="V341" s="674">
        <v>17000000</v>
      </c>
      <c r="W341" s="674">
        <v>17000000</v>
      </c>
    </row>
    <row r="342" spans="2:23" ht="14.25" customHeight="1">
      <c r="B342" s="287"/>
      <c r="C342" s="288"/>
      <c r="D342" s="435"/>
      <c r="E342" s="352" t="s">
        <v>1266</v>
      </c>
      <c r="F342" s="435"/>
      <c r="G342" s="436"/>
      <c r="H342" s="1191" t="s">
        <v>1353</v>
      </c>
      <c r="I342" s="1192"/>
      <c r="J342" s="1193"/>
      <c r="K342" s="960">
        <f t="shared" si="117"/>
        <v>13500000</v>
      </c>
      <c r="L342" s="1121">
        <f t="shared" si="117"/>
        <v>3391933.7799999993</v>
      </c>
      <c r="M342" s="1129">
        <f t="shared" si="117"/>
        <v>4000000</v>
      </c>
      <c r="N342" s="293">
        <f t="shared" si="118"/>
        <v>0</v>
      </c>
      <c r="O342" s="293">
        <f t="shared" si="118"/>
        <v>0</v>
      </c>
      <c r="P342" s="293">
        <f t="shared" si="118"/>
        <v>13000000</v>
      </c>
      <c r="Q342" s="293">
        <f t="shared" si="118"/>
        <v>0</v>
      </c>
      <c r="R342" s="293">
        <f t="shared" si="118"/>
        <v>0</v>
      </c>
      <c r="S342" s="293">
        <f t="shared" si="118"/>
        <v>0</v>
      </c>
      <c r="T342" s="340">
        <f t="shared" si="87"/>
        <v>13000000</v>
      </c>
      <c r="U342" s="674">
        <f t="shared" si="111"/>
        <v>17000000</v>
      </c>
      <c r="V342" s="674">
        <v>17000000</v>
      </c>
      <c r="W342" s="674">
        <v>17000000</v>
      </c>
    </row>
    <row r="343" spans="2:23" s="23" customFormat="1" ht="12.75">
      <c r="B343" s="639"/>
      <c r="C343" s="640"/>
      <c r="D343" s="56">
        <v>620</v>
      </c>
      <c r="E343" s="182"/>
      <c r="F343" s="641"/>
      <c r="G343" s="642"/>
      <c r="H343" s="1185" t="s">
        <v>116</v>
      </c>
      <c r="I343" s="1186"/>
      <c r="J343" s="753"/>
      <c r="K343" s="554">
        <f aca="true" t="shared" si="119" ref="K343:S343">SUM(K344:K344)</f>
        <v>13500000</v>
      </c>
      <c r="L343" s="554">
        <f t="shared" si="119"/>
        <v>3391933.7799999993</v>
      </c>
      <c r="M343" s="385">
        <f t="shared" si="119"/>
        <v>4000000</v>
      </c>
      <c r="N343" s="66">
        <f t="shared" si="119"/>
        <v>0</v>
      </c>
      <c r="O343" s="66">
        <f t="shared" si="119"/>
        <v>0</v>
      </c>
      <c r="P343" s="66">
        <f t="shared" si="119"/>
        <v>13000000</v>
      </c>
      <c r="Q343" s="66">
        <f t="shared" si="119"/>
        <v>0</v>
      </c>
      <c r="R343" s="66">
        <f t="shared" si="119"/>
        <v>0</v>
      </c>
      <c r="S343" s="66">
        <f t="shared" si="119"/>
        <v>0</v>
      </c>
      <c r="T343" s="612">
        <f t="shared" si="87"/>
        <v>13000000</v>
      </c>
      <c r="U343" s="876">
        <f t="shared" si="111"/>
        <v>17000000</v>
      </c>
      <c r="V343" s="876">
        <v>17000000</v>
      </c>
      <c r="W343" s="876">
        <v>17000000</v>
      </c>
    </row>
    <row r="344" spans="2:23" s="362" customFormat="1" ht="12.75">
      <c r="B344" s="356"/>
      <c r="C344" s="59"/>
      <c r="D344" s="56"/>
      <c r="E344" s="182"/>
      <c r="F344" s="358">
        <v>236</v>
      </c>
      <c r="G344" s="359">
        <v>511</v>
      </c>
      <c r="H344" s="1205" t="s">
        <v>1528</v>
      </c>
      <c r="I344" s="1206"/>
      <c r="J344" s="1207"/>
      <c r="K344" s="365">
        <v>13500000</v>
      </c>
      <c r="L344" s="365">
        <v>3391933.7799999993</v>
      </c>
      <c r="M344" s="1143">
        <v>4000000</v>
      </c>
      <c r="N344" s="428">
        <v>0</v>
      </c>
      <c r="O344" s="428">
        <v>0</v>
      </c>
      <c r="P344" s="428">
        <v>13000000</v>
      </c>
      <c r="Q344" s="428">
        <v>0</v>
      </c>
      <c r="R344" s="428">
        <v>0</v>
      </c>
      <c r="S344" s="428">
        <v>0</v>
      </c>
      <c r="T344" s="414">
        <f aca="true" t="shared" si="120" ref="T344:T407">SUM(N344:S344)</f>
        <v>13000000</v>
      </c>
      <c r="U344" s="382">
        <f aca="true" t="shared" si="121" ref="U344:U379">SUM(M344:S344)</f>
        <v>17000000</v>
      </c>
      <c r="V344" s="382">
        <v>17000000</v>
      </c>
      <c r="W344" s="382">
        <v>17000000</v>
      </c>
    </row>
    <row r="345" spans="2:23" ht="16.5" customHeight="1">
      <c r="B345" s="287"/>
      <c r="C345" s="288"/>
      <c r="D345" s="435"/>
      <c r="E345" s="630" t="s">
        <v>826</v>
      </c>
      <c r="F345" s="435"/>
      <c r="G345" s="436"/>
      <c r="H345" s="1270" t="s">
        <v>168</v>
      </c>
      <c r="I345" s="1212"/>
      <c r="J345" s="1213"/>
      <c r="K345" s="1140">
        <f>K346+K349+K357+K360+K354</f>
        <v>6030000</v>
      </c>
      <c r="L345" s="1140">
        <f>L346+L349+L357+L360+L354</f>
        <v>2957350.0700000003</v>
      </c>
      <c r="M345" s="1140">
        <f>M346+M349+M357+M360+M354</f>
        <v>6543000</v>
      </c>
      <c r="N345" s="293">
        <f aca="true" t="shared" si="122" ref="N345:S345">N346+N349+N357+N360+N354</f>
        <v>0</v>
      </c>
      <c r="O345" s="293">
        <f t="shared" si="122"/>
        <v>0</v>
      </c>
      <c r="P345" s="293">
        <f t="shared" si="122"/>
        <v>0</v>
      </c>
      <c r="Q345" s="293">
        <f t="shared" si="122"/>
        <v>100000</v>
      </c>
      <c r="R345" s="293">
        <f t="shared" si="122"/>
        <v>0</v>
      </c>
      <c r="S345" s="293">
        <f t="shared" si="122"/>
        <v>0</v>
      </c>
      <c r="T345" s="340">
        <f t="shared" si="120"/>
        <v>100000</v>
      </c>
      <c r="U345" s="674">
        <f t="shared" si="121"/>
        <v>6643000</v>
      </c>
      <c r="V345" s="674">
        <v>6643000</v>
      </c>
      <c r="W345" s="674">
        <v>6643000</v>
      </c>
    </row>
    <row r="346" spans="2:23" ht="12.75">
      <c r="B346" s="287"/>
      <c r="C346" s="288"/>
      <c r="D346" s="435"/>
      <c r="E346" s="352" t="s">
        <v>1281</v>
      </c>
      <c r="F346" s="435"/>
      <c r="G346" s="436"/>
      <c r="H346" s="1229" t="s">
        <v>309</v>
      </c>
      <c r="I346" s="1230"/>
      <c r="J346" s="1231"/>
      <c r="K346" s="1129">
        <f aca="true" t="shared" si="123" ref="K346:Q346">K347</f>
        <v>10000</v>
      </c>
      <c r="L346" s="1129">
        <f t="shared" si="123"/>
        <v>0</v>
      </c>
      <c r="M346" s="1129">
        <f t="shared" si="123"/>
        <v>10000</v>
      </c>
      <c r="N346" s="289">
        <f t="shared" si="123"/>
        <v>0</v>
      </c>
      <c r="O346" s="289">
        <f t="shared" si="123"/>
        <v>0</v>
      </c>
      <c r="P346" s="289">
        <f t="shared" si="123"/>
        <v>0</v>
      </c>
      <c r="Q346" s="289">
        <f t="shared" si="123"/>
        <v>0</v>
      </c>
      <c r="R346" s="289">
        <f aca="true" t="shared" si="124" ref="N346:S347">R347</f>
        <v>0</v>
      </c>
      <c r="S346" s="339">
        <f t="shared" si="124"/>
        <v>0</v>
      </c>
      <c r="T346" s="339">
        <f t="shared" si="120"/>
        <v>0</v>
      </c>
      <c r="U346" s="674">
        <f t="shared" si="121"/>
        <v>10000</v>
      </c>
      <c r="V346" s="674">
        <v>10000</v>
      </c>
      <c r="W346" s="674">
        <v>10000</v>
      </c>
    </row>
    <row r="347" spans="2:23" ht="12.75">
      <c r="B347" s="437"/>
      <c r="C347" s="438"/>
      <c r="D347" s="56">
        <v>490</v>
      </c>
      <c r="E347" s="58"/>
      <c r="F347" s="439"/>
      <c r="G347" s="440"/>
      <c r="H347" s="1185" t="s">
        <v>171</v>
      </c>
      <c r="I347" s="1186"/>
      <c r="J347" s="1187"/>
      <c r="K347" s="183">
        <f>K348</f>
        <v>10000</v>
      </c>
      <c r="L347" s="183">
        <f>L348</f>
        <v>0</v>
      </c>
      <c r="M347" s="780">
        <f>M348</f>
        <v>10000</v>
      </c>
      <c r="N347" s="66">
        <f t="shared" si="124"/>
        <v>0</v>
      </c>
      <c r="O347" s="66">
        <f t="shared" si="124"/>
        <v>0</v>
      </c>
      <c r="P347" s="66">
        <f t="shared" si="124"/>
        <v>0</v>
      </c>
      <c r="Q347" s="590">
        <f t="shared" si="124"/>
        <v>0</v>
      </c>
      <c r="R347" s="590">
        <f t="shared" si="124"/>
        <v>0</v>
      </c>
      <c r="S347" s="66">
        <f t="shared" si="124"/>
        <v>0</v>
      </c>
      <c r="T347" s="341">
        <f t="shared" si="120"/>
        <v>0</v>
      </c>
      <c r="U347" s="876">
        <f t="shared" si="121"/>
        <v>10000</v>
      </c>
      <c r="V347" s="876">
        <v>10000</v>
      </c>
      <c r="W347" s="876">
        <v>10000</v>
      </c>
    </row>
    <row r="348" spans="2:23" ht="12.75">
      <c r="B348" s="530"/>
      <c r="C348" s="596"/>
      <c r="D348" s="376"/>
      <c r="E348" s="743"/>
      <c r="F348" s="529">
        <v>237</v>
      </c>
      <c r="G348" s="742">
        <v>481</v>
      </c>
      <c r="H348" s="1202" t="s">
        <v>1436</v>
      </c>
      <c r="I348" s="1203"/>
      <c r="J348" s="1204"/>
      <c r="K348" s="966">
        <v>10000</v>
      </c>
      <c r="L348" s="966">
        <v>0</v>
      </c>
      <c r="M348" s="966">
        <v>10000</v>
      </c>
      <c r="N348" s="413">
        <v>0</v>
      </c>
      <c r="O348" s="413">
        <v>0</v>
      </c>
      <c r="P348" s="426">
        <v>0</v>
      </c>
      <c r="Q348" s="645">
        <v>0</v>
      </c>
      <c r="R348" s="645">
        <v>0</v>
      </c>
      <c r="S348" s="426">
        <v>0</v>
      </c>
      <c r="T348" s="365">
        <f t="shared" si="120"/>
        <v>0</v>
      </c>
      <c r="U348" s="795">
        <f t="shared" si="121"/>
        <v>10000</v>
      </c>
      <c r="V348" s="795">
        <v>10000</v>
      </c>
      <c r="W348" s="795">
        <v>10000</v>
      </c>
    </row>
    <row r="349" spans="2:23" s="663" customFormat="1" ht="28.5" customHeight="1">
      <c r="B349" s="682"/>
      <c r="C349" s="683"/>
      <c r="D349" s="684"/>
      <c r="E349" s="685" t="s">
        <v>1282</v>
      </c>
      <c r="F349" s="684"/>
      <c r="G349" s="686"/>
      <c r="H349" s="1327" t="s">
        <v>225</v>
      </c>
      <c r="I349" s="1328"/>
      <c r="J349" s="1329"/>
      <c r="K349" s="990">
        <f aca="true" t="shared" si="125" ref="K349:S349">K350</f>
        <v>1020000</v>
      </c>
      <c r="L349" s="990">
        <f t="shared" si="125"/>
        <v>0</v>
      </c>
      <c r="M349" s="990">
        <f t="shared" si="125"/>
        <v>1133000</v>
      </c>
      <c r="N349" s="293">
        <f t="shared" si="125"/>
        <v>0</v>
      </c>
      <c r="O349" s="293">
        <f t="shared" si="125"/>
        <v>0</v>
      </c>
      <c r="P349" s="293">
        <f t="shared" si="125"/>
        <v>0</v>
      </c>
      <c r="Q349" s="293">
        <f t="shared" si="125"/>
        <v>100000</v>
      </c>
      <c r="R349" s="293">
        <f t="shared" si="125"/>
        <v>0</v>
      </c>
      <c r="S349" s="340">
        <f t="shared" si="125"/>
        <v>0</v>
      </c>
      <c r="T349" s="340">
        <f t="shared" si="120"/>
        <v>100000</v>
      </c>
      <c r="U349" s="674">
        <f t="shared" si="121"/>
        <v>1233000</v>
      </c>
      <c r="V349" s="674">
        <v>1233000</v>
      </c>
      <c r="W349" s="674">
        <v>1233000</v>
      </c>
    </row>
    <row r="350" spans="2:23" s="362" customFormat="1" ht="12.75">
      <c r="B350" s="356"/>
      <c r="C350" s="363"/>
      <c r="D350" s="56">
        <v>610</v>
      </c>
      <c r="E350" s="182"/>
      <c r="F350" s="358"/>
      <c r="G350" s="359"/>
      <c r="H350" s="1185" t="s">
        <v>115</v>
      </c>
      <c r="I350" s="1186"/>
      <c r="J350" s="1187"/>
      <c r="K350" s="183">
        <f>SUM(K351:K353)</f>
        <v>1020000</v>
      </c>
      <c r="L350" s="183">
        <f>SUM(L351:L353)</f>
        <v>0</v>
      </c>
      <c r="M350" s="183">
        <f>SUM(M351:M353)</f>
        <v>1133000</v>
      </c>
      <c r="N350" s="183">
        <f aca="true" t="shared" si="126" ref="N350:S350">SUM(N351:N353)</f>
        <v>0</v>
      </c>
      <c r="O350" s="183">
        <f t="shared" si="126"/>
        <v>0</v>
      </c>
      <c r="P350" s="183">
        <f t="shared" si="126"/>
        <v>0</v>
      </c>
      <c r="Q350" s="183">
        <f t="shared" si="126"/>
        <v>100000</v>
      </c>
      <c r="R350" s="183">
        <f t="shared" si="126"/>
        <v>0</v>
      </c>
      <c r="S350" s="183">
        <f t="shared" si="126"/>
        <v>0</v>
      </c>
      <c r="T350" s="341">
        <f t="shared" si="120"/>
        <v>100000</v>
      </c>
      <c r="U350" s="381">
        <f t="shared" si="121"/>
        <v>1233000</v>
      </c>
      <c r="V350" s="381">
        <v>1233000</v>
      </c>
      <c r="W350" s="381">
        <v>1233000</v>
      </c>
    </row>
    <row r="351" spans="2:23" s="362" customFormat="1" ht="13.5" customHeight="1">
      <c r="B351" s="375"/>
      <c r="C351" s="368"/>
      <c r="D351" s="376"/>
      <c r="E351" s="377"/>
      <c r="F351" s="370">
        <v>238</v>
      </c>
      <c r="G351" s="546">
        <v>472</v>
      </c>
      <c r="H351" s="1206" t="s">
        <v>1437</v>
      </c>
      <c r="I351" s="1206"/>
      <c r="J351" s="1206"/>
      <c r="K351" s="379">
        <v>360000</v>
      </c>
      <c r="L351" s="379">
        <v>0</v>
      </c>
      <c r="M351" s="379">
        <v>1000</v>
      </c>
      <c r="N351" s="378">
        <v>0</v>
      </c>
      <c r="O351" s="378">
        <v>0</v>
      </c>
      <c r="P351" s="378">
        <v>0</v>
      </c>
      <c r="Q351" s="379">
        <v>100000</v>
      </c>
      <c r="R351" s="414">
        <v>0</v>
      </c>
      <c r="S351" s="555">
        <v>0</v>
      </c>
      <c r="T351" s="365">
        <f t="shared" si="120"/>
        <v>100000</v>
      </c>
      <c r="U351" s="382">
        <f t="shared" si="121"/>
        <v>101000</v>
      </c>
      <c r="V351" s="382">
        <v>101000</v>
      </c>
      <c r="W351" s="382">
        <v>101000</v>
      </c>
    </row>
    <row r="352" spans="2:23" s="362" customFormat="1" ht="13.5" customHeight="1">
      <c r="B352" s="375"/>
      <c r="C352" s="368"/>
      <c r="D352" s="376"/>
      <c r="E352" s="377"/>
      <c r="F352" s="370">
        <v>239</v>
      </c>
      <c r="G352" s="546">
        <v>472</v>
      </c>
      <c r="H352" s="1206" t="s">
        <v>1438</v>
      </c>
      <c r="I352" s="1206"/>
      <c r="J352" s="1206"/>
      <c r="K352" s="379">
        <v>160000</v>
      </c>
      <c r="L352" s="379">
        <v>0</v>
      </c>
      <c r="M352" s="379">
        <v>872000</v>
      </c>
      <c r="N352" s="378">
        <v>0</v>
      </c>
      <c r="O352" s="378">
        <v>0</v>
      </c>
      <c r="P352" s="378">
        <v>0</v>
      </c>
      <c r="Q352" s="379">
        <v>0</v>
      </c>
      <c r="R352" s="414">
        <v>0</v>
      </c>
      <c r="S352" s="555">
        <v>0</v>
      </c>
      <c r="T352" s="365">
        <f t="shared" si="120"/>
        <v>0</v>
      </c>
      <c r="U352" s="382">
        <f t="shared" si="121"/>
        <v>872000</v>
      </c>
      <c r="V352" s="382">
        <v>872000</v>
      </c>
      <c r="W352" s="382">
        <v>872000</v>
      </c>
    </row>
    <row r="353" spans="2:23" s="362" customFormat="1" ht="13.5" customHeight="1">
      <c r="B353" s="375"/>
      <c r="C353" s="368"/>
      <c r="D353" s="376"/>
      <c r="E353" s="377"/>
      <c r="F353" s="370">
        <v>240</v>
      </c>
      <c r="G353" s="546">
        <v>472</v>
      </c>
      <c r="H353" s="1223" t="s">
        <v>1439</v>
      </c>
      <c r="I353" s="1224"/>
      <c r="J353" s="1224"/>
      <c r="K353" s="968">
        <v>500000</v>
      </c>
      <c r="L353" s="968">
        <v>0</v>
      </c>
      <c r="M353" s="968">
        <v>260000</v>
      </c>
      <c r="N353" s="378">
        <v>0</v>
      </c>
      <c r="O353" s="378">
        <v>0</v>
      </c>
      <c r="P353" s="378">
        <v>0</v>
      </c>
      <c r="Q353" s="378">
        <v>0</v>
      </c>
      <c r="R353" s="414">
        <v>0</v>
      </c>
      <c r="S353" s="555">
        <v>0</v>
      </c>
      <c r="T353" s="365">
        <f t="shared" si="120"/>
        <v>0</v>
      </c>
      <c r="U353" s="382">
        <f t="shared" si="121"/>
        <v>260000</v>
      </c>
      <c r="V353" s="382">
        <v>260000</v>
      </c>
      <c r="W353" s="382">
        <v>260000</v>
      </c>
    </row>
    <row r="354" spans="2:23" s="362" customFormat="1" ht="13.5" customHeight="1">
      <c r="B354" s="776"/>
      <c r="C354" s="777"/>
      <c r="D354" s="618"/>
      <c r="E354" s="352" t="s">
        <v>844</v>
      </c>
      <c r="F354" s="618"/>
      <c r="G354" s="619"/>
      <c r="H354" s="1191" t="s">
        <v>1386</v>
      </c>
      <c r="I354" s="1192"/>
      <c r="J354" s="1193"/>
      <c r="K354" s="960">
        <f>K356</f>
        <v>2000000</v>
      </c>
      <c r="L354" s="960">
        <f>L356</f>
        <v>0</v>
      </c>
      <c r="M354" s="960">
        <f>M356</f>
        <v>2000000</v>
      </c>
      <c r="N354" s="778">
        <f aca="true" t="shared" si="127" ref="N354:S354">N356</f>
        <v>0</v>
      </c>
      <c r="O354" s="778">
        <f t="shared" si="127"/>
        <v>0</v>
      </c>
      <c r="P354" s="778">
        <f t="shared" si="127"/>
        <v>0</v>
      </c>
      <c r="Q354" s="778">
        <f t="shared" si="127"/>
        <v>0</v>
      </c>
      <c r="R354" s="778">
        <f t="shared" si="127"/>
        <v>0</v>
      </c>
      <c r="S354" s="778">
        <f t="shared" si="127"/>
        <v>0</v>
      </c>
      <c r="T354" s="779">
        <f t="shared" si="120"/>
        <v>0</v>
      </c>
      <c r="U354" s="887">
        <f t="shared" si="121"/>
        <v>2000000</v>
      </c>
      <c r="V354" s="887">
        <v>2000000</v>
      </c>
      <c r="W354" s="887">
        <v>2000000</v>
      </c>
    </row>
    <row r="355" spans="2:23" s="362" customFormat="1" ht="12.75">
      <c r="B355" s="356"/>
      <c r="C355" s="363"/>
      <c r="D355" s="56">
        <v>620</v>
      </c>
      <c r="E355" s="182"/>
      <c r="F355" s="358"/>
      <c r="G355" s="359"/>
      <c r="H355" s="1185" t="s">
        <v>116</v>
      </c>
      <c r="I355" s="1186"/>
      <c r="J355" s="1187"/>
      <c r="K355" s="183">
        <f aca="true" t="shared" si="128" ref="K355:S355">K356</f>
        <v>2000000</v>
      </c>
      <c r="L355" s="183">
        <f t="shared" si="128"/>
        <v>0</v>
      </c>
      <c r="M355" s="183">
        <f t="shared" si="128"/>
        <v>2000000</v>
      </c>
      <c r="N355" s="183">
        <f t="shared" si="128"/>
        <v>0</v>
      </c>
      <c r="O355" s="183">
        <f t="shared" si="128"/>
        <v>0</v>
      </c>
      <c r="P355" s="183">
        <f t="shared" si="128"/>
        <v>0</v>
      </c>
      <c r="Q355" s="183">
        <f t="shared" si="128"/>
        <v>0</v>
      </c>
      <c r="R355" s="183">
        <f t="shared" si="128"/>
        <v>0</v>
      </c>
      <c r="S355" s="341">
        <f t="shared" si="128"/>
        <v>0</v>
      </c>
      <c r="T355" s="341">
        <f t="shared" si="120"/>
        <v>0</v>
      </c>
      <c r="U355" s="381">
        <f t="shared" si="121"/>
        <v>2000000</v>
      </c>
      <c r="V355" s="381">
        <v>2000000</v>
      </c>
      <c r="W355" s="381">
        <v>2000000</v>
      </c>
    </row>
    <row r="356" spans="2:23" s="362" customFormat="1" ht="12.75">
      <c r="B356" s="375"/>
      <c r="C356" s="368"/>
      <c r="D356" s="369"/>
      <c r="E356" s="368"/>
      <c r="F356" s="471">
        <v>241</v>
      </c>
      <c r="G356" s="472">
        <v>511</v>
      </c>
      <c r="H356" s="1219" t="s">
        <v>1485</v>
      </c>
      <c r="I356" s="1220"/>
      <c r="J356" s="1221"/>
      <c r="K356" s="984">
        <v>2000000</v>
      </c>
      <c r="L356" s="984">
        <v>0</v>
      </c>
      <c r="M356" s="984">
        <v>2000000</v>
      </c>
      <c r="N356" s="411">
        <v>0</v>
      </c>
      <c r="O356" s="411">
        <v>0</v>
      </c>
      <c r="P356" s="411">
        <v>0</v>
      </c>
      <c r="Q356" s="429">
        <v>0</v>
      </c>
      <c r="R356" s="414">
        <v>0</v>
      </c>
      <c r="S356" s="429">
        <v>0</v>
      </c>
      <c r="T356" s="429">
        <f t="shared" si="120"/>
        <v>0</v>
      </c>
      <c r="U356" s="628">
        <f t="shared" si="121"/>
        <v>2000000</v>
      </c>
      <c r="V356" s="628">
        <v>2000000</v>
      </c>
      <c r="W356" s="628">
        <v>2000000</v>
      </c>
    </row>
    <row r="357" spans="2:23" s="362" customFormat="1" ht="13.5" customHeight="1">
      <c r="B357" s="776"/>
      <c r="C357" s="777"/>
      <c r="D357" s="618"/>
      <c r="E357" s="352" t="s">
        <v>847</v>
      </c>
      <c r="F357" s="618"/>
      <c r="G357" s="619"/>
      <c r="H357" s="1191" t="s">
        <v>1354</v>
      </c>
      <c r="I357" s="1192"/>
      <c r="J357" s="1193"/>
      <c r="K357" s="960">
        <f>K359</f>
        <v>1500000</v>
      </c>
      <c r="L357" s="960">
        <f>L359</f>
        <v>1457350.07</v>
      </c>
      <c r="M357" s="960">
        <f>M359</f>
        <v>1900000</v>
      </c>
      <c r="N357" s="778">
        <f aca="true" t="shared" si="129" ref="N357:S357">N359</f>
        <v>0</v>
      </c>
      <c r="O357" s="778">
        <f t="shared" si="129"/>
        <v>0</v>
      </c>
      <c r="P357" s="778">
        <f t="shared" si="129"/>
        <v>0</v>
      </c>
      <c r="Q357" s="778">
        <f t="shared" si="129"/>
        <v>0</v>
      </c>
      <c r="R357" s="778">
        <f t="shared" si="129"/>
        <v>0</v>
      </c>
      <c r="S357" s="779">
        <f t="shared" si="129"/>
        <v>0</v>
      </c>
      <c r="T357" s="779">
        <f t="shared" si="120"/>
        <v>0</v>
      </c>
      <c r="U357" s="887">
        <f t="shared" si="121"/>
        <v>1900000</v>
      </c>
      <c r="V357" s="887">
        <v>1900000</v>
      </c>
      <c r="W357" s="887">
        <v>1900000</v>
      </c>
    </row>
    <row r="358" spans="2:23" s="362" customFormat="1" ht="12.75">
      <c r="B358" s="356"/>
      <c r="C358" s="363"/>
      <c r="D358" s="56">
        <v>490</v>
      </c>
      <c r="E358" s="182"/>
      <c r="F358" s="358"/>
      <c r="G358" s="359"/>
      <c r="H358" s="1185" t="s">
        <v>170</v>
      </c>
      <c r="I358" s="1186"/>
      <c r="J358" s="1187"/>
      <c r="K358" s="183">
        <f aca="true" t="shared" si="130" ref="K358:S358">K359</f>
        <v>1500000</v>
      </c>
      <c r="L358" s="183">
        <f t="shared" si="130"/>
        <v>1457350.07</v>
      </c>
      <c r="M358" s="183">
        <f t="shared" si="130"/>
        <v>1900000</v>
      </c>
      <c r="N358" s="183">
        <f t="shared" si="130"/>
        <v>0</v>
      </c>
      <c r="O358" s="183">
        <f t="shared" si="130"/>
        <v>0</v>
      </c>
      <c r="P358" s="183">
        <f t="shared" si="130"/>
        <v>0</v>
      </c>
      <c r="Q358" s="183">
        <f t="shared" si="130"/>
        <v>0</v>
      </c>
      <c r="R358" s="183">
        <f t="shared" si="130"/>
        <v>0</v>
      </c>
      <c r="S358" s="341">
        <f t="shared" si="130"/>
        <v>0</v>
      </c>
      <c r="T358" s="341">
        <f t="shared" si="120"/>
        <v>0</v>
      </c>
      <c r="U358" s="381">
        <f t="shared" si="121"/>
        <v>1900000</v>
      </c>
      <c r="V358" s="381">
        <v>1900000</v>
      </c>
      <c r="W358" s="381">
        <v>1900000</v>
      </c>
    </row>
    <row r="359" spans="2:23" s="362" customFormat="1" ht="12.75">
      <c r="B359" s="375"/>
      <c r="C359" s="368"/>
      <c r="D359" s="369"/>
      <c r="E359" s="368"/>
      <c r="F359" s="471">
        <v>242</v>
      </c>
      <c r="G359" s="472">
        <v>481</v>
      </c>
      <c r="H359" s="1219" t="s">
        <v>169</v>
      </c>
      <c r="I359" s="1220"/>
      <c r="J359" s="1221"/>
      <c r="K359" s="984">
        <v>1500000</v>
      </c>
      <c r="L359" s="984">
        <v>1457350.07</v>
      </c>
      <c r="M359" s="984">
        <v>1900000</v>
      </c>
      <c r="N359" s="411">
        <v>0</v>
      </c>
      <c r="O359" s="411">
        <v>0</v>
      </c>
      <c r="P359" s="411">
        <v>0</v>
      </c>
      <c r="Q359" s="429">
        <v>0</v>
      </c>
      <c r="R359" s="414">
        <v>0</v>
      </c>
      <c r="S359" s="429">
        <v>0</v>
      </c>
      <c r="T359" s="429">
        <f t="shared" si="120"/>
        <v>0</v>
      </c>
      <c r="U359" s="628">
        <f t="shared" si="121"/>
        <v>1900000</v>
      </c>
      <c r="V359" s="628">
        <v>1900000</v>
      </c>
      <c r="W359" s="628">
        <v>1900000</v>
      </c>
    </row>
    <row r="360" spans="2:23" ht="13.5" customHeight="1">
      <c r="B360" s="287"/>
      <c r="C360" s="288"/>
      <c r="D360" s="435"/>
      <c r="E360" s="352" t="s">
        <v>845</v>
      </c>
      <c r="F360" s="435"/>
      <c r="G360" s="436"/>
      <c r="H360" s="1191" t="s">
        <v>1262</v>
      </c>
      <c r="I360" s="1192"/>
      <c r="J360" s="1193"/>
      <c r="K360" s="960">
        <f aca="true" t="shared" si="131" ref="K360:M361">K361</f>
        <v>1500000</v>
      </c>
      <c r="L360" s="960">
        <f t="shared" si="131"/>
        <v>1500000</v>
      </c>
      <c r="M360" s="960">
        <f t="shared" si="131"/>
        <v>1500000</v>
      </c>
      <c r="N360" s="293">
        <f aca="true" t="shared" si="132" ref="N360:S360">N361</f>
        <v>0</v>
      </c>
      <c r="O360" s="293">
        <f t="shared" si="132"/>
        <v>0</v>
      </c>
      <c r="P360" s="293">
        <f t="shared" si="132"/>
        <v>0</v>
      </c>
      <c r="Q360" s="293">
        <f t="shared" si="132"/>
        <v>0</v>
      </c>
      <c r="R360" s="293">
        <f t="shared" si="132"/>
        <v>0</v>
      </c>
      <c r="S360" s="293">
        <f t="shared" si="132"/>
        <v>0</v>
      </c>
      <c r="T360" s="340">
        <f t="shared" si="120"/>
        <v>0</v>
      </c>
      <c r="U360" s="674">
        <f t="shared" si="121"/>
        <v>1500000</v>
      </c>
      <c r="V360" s="674">
        <v>1500000</v>
      </c>
      <c r="W360" s="674">
        <v>1500000</v>
      </c>
    </row>
    <row r="361" spans="2:23" s="362" customFormat="1" ht="12.75">
      <c r="B361" s="356"/>
      <c r="C361" s="363"/>
      <c r="D361" s="56">
        <v>412</v>
      </c>
      <c r="E361" s="182"/>
      <c r="F361" s="358"/>
      <c r="G361" s="359"/>
      <c r="H361" s="1185" t="s">
        <v>377</v>
      </c>
      <c r="I361" s="1186"/>
      <c r="J361" s="1187"/>
      <c r="K361" s="798">
        <f t="shared" si="131"/>
        <v>1500000</v>
      </c>
      <c r="L361" s="798">
        <f t="shared" si="131"/>
        <v>1500000</v>
      </c>
      <c r="M361" s="798">
        <f t="shared" si="131"/>
        <v>1500000</v>
      </c>
      <c r="N361" s="183">
        <f aca="true" t="shared" si="133" ref="N361:S361">N362</f>
        <v>0</v>
      </c>
      <c r="O361" s="183">
        <f t="shared" si="133"/>
        <v>0</v>
      </c>
      <c r="P361" s="798">
        <f t="shared" si="133"/>
        <v>0</v>
      </c>
      <c r="Q361" s="798">
        <f t="shared" si="133"/>
        <v>0</v>
      </c>
      <c r="R361" s="798">
        <f t="shared" si="133"/>
        <v>0</v>
      </c>
      <c r="S361" s="798">
        <f t="shared" si="133"/>
        <v>0</v>
      </c>
      <c r="T361" s="341">
        <f t="shared" si="120"/>
        <v>0</v>
      </c>
      <c r="U361" s="381">
        <f t="shared" si="121"/>
        <v>1500000</v>
      </c>
      <c r="V361" s="381">
        <v>1500000</v>
      </c>
      <c r="W361" s="381">
        <v>1500000</v>
      </c>
    </row>
    <row r="362" spans="2:23" s="499" customFormat="1" ht="24.75" customHeight="1">
      <c r="B362" s="802"/>
      <c r="C362" s="803"/>
      <c r="D362" s="804"/>
      <c r="E362" s="803"/>
      <c r="F362" s="805">
        <v>243</v>
      </c>
      <c r="G362" s="806">
        <v>464</v>
      </c>
      <c r="H362" s="1227" t="s">
        <v>1474</v>
      </c>
      <c r="I362" s="1228"/>
      <c r="J362" s="1228"/>
      <c r="K362" s="809">
        <v>1500000</v>
      </c>
      <c r="L362" s="809">
        <v>1500000</v>
      </c>
      <c r="M362" s="809">
        <v>1500000</v>
      </c>
      <c r="N362" s="807">
        <v>0</v>
      </c>
      <c r="O362" s="808">
        <v>0</v>
      </c>
      <c r="P362" s="809">
        <v>0</v>
      </c>
      <c r="Q362" s="809">
        <v>0</v>
      </c>
      <c r="R362" s="809">
        <v>0</v>
      </c>
      <c r="S362" s="809">
        <v>0</v>
      </c>
      <c r="T362" s="808">
        <f t="shared" si="120"/>
        <v>0</v>
      </c>
      <c r="U362" s="382">
        <f t="shared" si="121"/>
        <v>1500000</v>
      </c>
      <c r="V362" s="382">
        <v>1500000</v>
      </c>
      <c r="W362" s="382">
        <v>1500000</v>
      </c>
    </row>
    <row r="363" spans="2:23" ht="14.25" customHeight="1">
      <c r="B363" s="287"/>
      <c r="C363" s="288"/>
      <c r="D363" s="435"/>
      <c r="E363" s="630" t="s">
        <v>324</v>
      </c>
      <c r="F363" s="435"/>
      <c r="G363" s="436"/>
      <c r="H363" s="1251" t="s">
        <v>1384</v>
      </c>
      <c r="I363" s="1252"/>
      <c r="J363" s="1252"/>
      <c r="K363" s="1140">
        <f>K364</f>
        <v>44190000</v>
      </c>
      <c r="L363" s="1140">
        <f>L364</f>
        <v>38247347.309999995</v>
      </c>
      <c r="M363" s="1140">
        <f>M364</f>
        <v>12190000</v>
      </c>
      <c r="N363" s="289">
        <f aca="true" t="shared" si="134" ref="N363:S363">N364</f>
        <v>0</v>
      </c>
      <c r="O363" s="289">
        <f t="shared" si="134"/>
        <v>0</v>
      </c>
      <c r="P363" s="289">
        <f t="shared" si="134"/>
        <v>0</v>
      </c>
      <c r="Q363" s="289">
        <f t="shared" si="134"/>
        <v>79990000</v>
      </c>
      <c r="R363" s="289">
        <f t="shared" si="134"/>
        <v>0</v>
      </c>
      <c r="S363" s="289">
        <f t="shared" si="134"/>
        <v>0</v>
      </c>
      <c r="T363" s="339">
        <f t="shared" si="120"/>
        <v>79990000</v>
      </c>
      <c r="U363" s="674">
        <f t="shared" si="121"/>
        <v>92180000</v>
      </c>
      <c r="V363" s="674">
        <v>92180000</v>
      </c>
      <c r="W363" s="674">
        <v>92180000</v>
      </c>
    </row>
    <row r="364" spans="2:23" ht="14.25" customHeight="1">
      <c r="B364" s="287"/>
      <c r="C364" s="288"/>
      <c r="D364" s="435"/>
      <c r="E364" s="352" t="s">
        <v>325</v>
      </c>
      <c r="F364" s="435"/>
      <c r="G364" s="436"/>
      <c r="H364" s="1225" t="s">
        <v>1356</v>
      </c>
      <c r="I364" s="1226"/>
      <c r="J364" s="1226"/>
      <c r="K364" s="1129">
        <f aca="true" t="shared" si="135" ref="K364:S364">K365</f>
        <v>44190000</v>
      </c>
      <c r="L364" s="1129">
        <f t="shared" si="135"/>
        <v>38247347.309999995</v>
      </c>
      <c r="M364" s="1129">
        <f t="shared" si="135"/>
        <v>12190000</v>
      </c>
      <c r="N364" s="293">
        <f t="shared" si="135"/>
        <v>0</v>
      </c>
      <c r="O364" s="293">
        <f t="shared" si="135"/>
        <v>0</v>
      </c>
      <c r="P364" s="293">
        <f t="shared" si="135"/>
        <v>0</v>
      </c>
      <c r="Q364" s="293">
        <f t="shared" si="135"/>
        <v>79990000</v>
      </c>
      <c r="R364" s="293">
        <f t="shared" si="135"/>
        <v>0</v>
      </c>
      <c r="S364" s="340">
        <f t="shared" si="135"/>
        <v>0</v>
      </c>
      <c r="T364" s="340">
        <f t="shared" si="120"/>
        <v>79990000</v>
      </c>
      <c r="U364" s="674">
        <f t="shared" si="121"/>
        <v>92180000</v>
      </c>
      <c r="V364" s="674">
        <v>92180000</v>
      </c>
      <c r="W364" s="674">
        <v>92180000</v>
      </c>
    </row>
    <row r="365" spans="2:23" ht="12.75">
      <c r="B365" s="356"/>
      <c r="C365" s="59"/>
      <c r="D365" s="56">
        <v>451</v>
      </c>
      <c r="E365" s="182"/>
      <c r="F365" s="358"/>
      <c r="G365" s="359"/>
      <c r="H365" s="1271" t="s">
        <v>390</v>
      </c>
      <c r="I365" s="1272"/>
      <c r="J365" s="1273"/>
      <c r="K365" s="991">
        <f>SUM(K366:K375)</f>
        <v>44190000</v>
      </c>
      <c r="L365" s="991">
        <f>SUM(L366:L375)</f>
        <v>38247347.309999995</v>
      </c>
      <c r="M365" s="991">
        <f>SUM(M366:M375)</f>
        <v>12190000</v>
      </c>
      <c r="N365" s="590">
        <f aca="true" t="shared" si="136" ref="N365:S365">SUM(N366:N375)</f>
        <v>0</v>
      </c>
      <c r="O365" s="590">
        <f t="shared" si="136"/>
        <v>0</v>
      </c>
      <c r="P365" s="590">
        <f t="shared" si="136"/>
        <v>0</v>
      </c>
      <c r="Q365" s="590">
        <f t="shared" si="136"/>
        <v>79990000</v>
      </c>
      <c r="R365" s="590">
        <f t="shared" si="136"/>
        <v>0</v>
      </c>
      <c r="S365" s="590">
        <f t="shared" si="136"/>
        <v>0</v>
      </c>
      <c r="T365" s="344">
        <f t="shared" si="120"/>
        <v>79990000</v>
      </c>
      <c r="U365" s="876">
        <f t="shared" si="121"/>
        <v>92180000</v>
      </c>
      <c r="V365" s="876">
        <v>92180000</v>
      </c>
      <c r="W365" s="876">
        <v>92180000</v>
      </c>
    </row>
    <row r="366" spans="2:23" s="362" customFormat="1" ht="12.75">
      <c r="B366" s="356"/>
      <c r="C366" s="59"/>
      <c r="D366" s="364"/>
      <c r="E366" s="357"/>
      <c r="F366" s="358">
        <v>244</v>
      </c>
      <c r="G366" s="359">
        <v>424</v>
      </c>
      <c r="H366" s="1208" t="s">
        <v>1331</v>
      </c>
      <c r="I366" s="1209"/>
      <c r="J366" s="1210"/>
      <c r="K366" s="992">
        <v>1200000</v>
      </c>
      <c r="L366" s="992">
        <v>724332.31</v>
      </c>
      <c r="M366" s="992">
        <v>1200000</v>
      </c>
      <c r="N366" s="410">
        <v>0</v>
      </c>
      <c r="O366" s="360">
        <v>0</v>
      </c>
      <c r="P366" s="360">
        <v>0</v>
      </c>
      <c r="Q366" s="360">
        <v>0</v>
      </c>
      <c r="R366" s="360">
        <v>0</v>
      </c>
      <c r="S366" s="361">
        <v>0</v>
      </c>
      <c r="T366" s="361">
        <f t="shared" si="120"/>
        <v>0</v>
      </c>
      <c r="U366" s="795">
        <f t="shared" si="121"/>
        <v>1200000</v>
      </c>
      <c r="V366" s="795">
        <v>1200000</v>
      </c>
      <c r="W366" s="795">
        <v>1200000</v>
      </c>
    </row>
    <row r="367" spans="2:23" s="362" customFormat="1" ht="12.75">
      <c r="B367" s="356"/>
      <c r="C367" s="59"/>
      <c r="D367" s="364"/>
      <c r="E367" s="357"/>
      <c r="F367" s="374">
        <v>245</v>
      </c>
      <c r="G367" s="359">
        <v>424</v>
      </c>
      <c r="H367" s="1208" t="s">
        <v>1366</v>
      </c>
      <c r="I367" s="1209"/>
      <c r="J367" s="1210"/>
      <c r="K367" s="992">
        <v>240000</v>
      </c>
      <c r="L367" s="992">
        <v>0</v>
      </c>
      <c r="M367" s="992">
        <v>240000</v>
      </c>
      <c r="N367" s="410">
        <v>0</v>
      </c>
      <c r="O367" s="545">
        <v>0</v>
      </c>
      <c r="P367" s="428">
        <v>0</v>
      </c>
      <c r="Q367" s="428">
        <v>0</v>
      </c>
      <c r="R367" s="360">
        <v>0</v>
      </c>
      <c r="S367" s="361">
        <v>0</v>
      </c>
      <c r="T367" s="361">
        <f t="shared" si="120"/>
        <v>0</v>
      </c>
      <c r="U367" s="795">
        <f t="shared" si="121"/>
        <v>240000</v>
      </c>
      <c r="V367" s="795">
        <v>240000</v>
      </c>
      <c r="W367" s="795">
        <v>240000</v>
      </c>
    </row>
    <row r="368" spans="2:23" s="362" customFormat="1" ht="12.75">
      <c r="B368" s="356"/>
      <c r="C368" s="59"/>
      <c r="D368" s="364"/>
      <c r="E368" s="357"/>
      <c r="F368" s="374">
        <v>246</v>
      </c>
      <c r="G368" s="359">
        <v>424</v>
      </c>
      <c r="H368" s="1208" t="s">
        <v>1393</v>
      </c>
      <c r="I368" s="1209"/>
      <c r="J368" s="1210"/>
      <c r="K368" s="992">
        <v>500000</v>
      </c>
      <c r="L368" s="992">
        <v>131916</v>
      </c>
      <c r="M368" s="992">
        <v>500000</v>
      </c>
      <c r="N368" s="410">
        <v>0</v>
      </c>
      <c r="O368" s="417">
        <v>0</v>
      </c>
      <c r="P368" s="417">
        <v>0</v>
      </c>
      <c r="Q368" s="417">
        <v>0</v>
      </c>
      <c r="R368" s="417">
        <v>0</v>
      </c>
      <c r="S368" s="417">
        <v>0</v>
      </c>
      <c r="T368" s="361">
        <f t="shared" si="120"/>
        <v>0</v>
      </c>
      <c r="U368" s="795">
        <f t="shared" si="121"/>
        <v>500000</v>
      </c>
      <c r="V368" s="795">
        <v>500000</v>
      </c>
      <c r="W368" s="795">
        <v>500000</v>
      </c>
    </row>
    <row r="369" spans="2:23" s="362" customFormat="1" ht="12.75">
      <c r="B369" s="356"/>
      <c r="C369" s="59"/>
      <c r="D369" s="364"/>
      <c r="E369" s="357"/>
      <c r="F369" s="374">
        <v>247</v>
      </c>
      <c r="G369" s="359">
        <v>424</v>
      </c>
      <c r="H369" s="1208" t="s">
        <v>1367</v>
      </c>
      <c r="I369" s="1209"/>
      <c r="J369" s="1210"/>
      <c r="K369" s="992">
        <v>150000</v>
      </c>
      <c r="L369" s="992">
        <v>4308</v>
      </c>
      <c r="M369" s="992">
        <v>150000</v>
      </c>
      <c r="N369" s="410">
        <v>0</v>
      </c>
      <c r="O369" s="417">
        <v>0</v>
      </c>
      <c r="P369" s="417">
        <v>0</v>
      </c>
      <c r="Q369" s="417">
        <v>0</v>
      </c>
      <c r="R369" s="417">
        <v>0</v>
      </c>
      <c r="S369" s="417">
        <v>0</v>
      </c>
      <c r="T369" s="361">
        <f t="shared" si="120"/>
        <v>0</v>
      </c>
      <c r="U369" s="795">
        <f t="shared" si="121"/>
        <v>150000</v>
      </c>
      <c r="V369" s="795">
        <v>150000</v>
      </c>
      <c r="W369" s="795">
        <v>150000</v>
      </c>
    </row>
    <row r="370" spans="2:23" s="362" customFormat="1" ht="12.75">
      <c r="B370" s="356"/>
      <c r="C370" s="59"/>
      <c r="D370" s="364"/>
      <c r="E370" s="357"/>
      <c r="F370" s="374">
        <v>248</v>
      </c>
      <c r="G370" s="359">
        <v>424</v>
      </c>
      <c r="H370" s="1208" t="s">
        <v>1553</v>
      </c>
      <c r="I370" s="1209"/>
      <c r="J370" s="1210"/>
      <c r="K370" s="992">
        <v>600000</v>
      </c>
      <c r="L370" s="992">
        <v>399570</v>
      </c>
      <c r="M370" s="992">
        <v>600000</v>
      </c>
      <c r="N370" s="410">
        <v>0</v>
      </c>
      <c r="O370" s="545">
        <v>0</v>
      </c>
      <c r="P370" s="417">
        <v>0</v>
      </c>
      <c r="Q370" s="417">
        <v>0</v>
      </c>
      <c r="R370" s="410">
        <v>0</v>
      </c>
      <c r="S370" s="423">
        <v>0</v>
      </c>
      <c r="T370" s="361">
        <f t="shared" si="120"/>
        <v>0</v>
      </c>
      <c r="U370" s="795">
        <f t="shared" si="121"/>
        <v>600000</v>
      </c>
      <c r="V370" s="795">
        <v>600000</v>
      </c>
      <c r="W370" s="795">
        <v>600000</v>
      </c>
    </row>
    <row r="371" spans="2:23" s="362" customFormat="1" ht="12.75">
      <c r="B371" s="356"/>
      <c r="C371" s="59"/>
      <c r="D371" s="364"/>
      <c r="E371" s="357"/>
      <c r="F371" s="374">
        <v>249</v>
      </c>
      <c r="G371" s="359">
        <v>424</v>
      </c>
      <c r="H371" s="1208" t="s">
        <v>1332</v>
      </c>
      <c r="I371" s="1209"/>
      <c r="J371" s="1210"/>
      <c r="K371" s="992">
        <v>3000000</v>
      </c>
      <c r="L371" s="992">
        <v>139293</v>
      </c>
      <c r="M371" s="992">
        <v>1000000</v>
      </c>
      <c r="N371" s="627">
        <v>0</v>
      </c>
      <c r="O371" s="545">
        <v>0</v>
      </c>
      <c r="P371" s="745">
        <v>0</v>
      </c>
      <c r="Q371" s="745">
        <v>0</v>
      </c>
      <c r="R371" s="746">
        <v>0</v>
      </c>
      <c r="S371" s="726">
        <v>0</v>
      </c>
      <c r="T371" s="361">
        <f t="shared" si="120"/>
        <v>0</v>
      </c>
      <c r="U371" s="795">
        <f t="shared" si="121"/>
        <v>1000000</v>
      </c>
      <c r="V371" s="795">
        <v>1000000</v>
      </c>
      <c r="W371" s="795">
        <v>1000000</v>
      </c>
    </row>
    <row r="372" spans="2:23" s="362" customFormat="1" ht="12.75">
      <c r="B372" s="356"/>
      <c r="C372" s="59"/>
      <c r="D372" s="364"/>
      <c r="E372" s="357"/>
      <c r="F372" s="374">
        <v>250</v>
      </c>
      <c r="G372" s="359">
        <v>425</v>
      </c>
      <c r="H372" s="1208" t="s">
        <v>1369</v>
      </c>
      <c r="I372" s="1209"/>
      <c r="J372" s="1210"/>
      <c r="K372" s="992">
        <v>1000000</v>
      </c>
      <c r="L372" s="992">
        <v>581892</v>
      </c>
      <c r="M372" s="992">
        <v>1000000</v>
      </c>
      <c r="N372" s="761">
        <v>0</v>
      </c>
      <c r="O372" s="464">
        <v>0</v>
      </c>
      <c r="P372" s="645">
        <v>0</v>
      </c>
      <c r="Q372" s="645">
        <v>0</v>
      </c>
      <c r="R372" s="645">
        <v>0</v>
      </c>
      <c r="S372" s="645">
        <v>0</v>
      </c>
      <c r="T372" s="361">
        <f t="shared" si="120"/>
        <v>0</v>
      </c>
      <c r="U372" s="795">
        <f t="shared" si="121"/>
        <v>1000000</v>
      </c>
      <c r="V372" s="795">
        <v>1000000</v>
      </c>
      <c r="W372" s="795">
        <v>1000000</v>
      </c>
    </row>
    <row r="373" spans="2:23" s="362" customFormat="1" ht="12.75">
      <c r="B373" s="356"/>
      <c r="C373" s="59"/>
      <c r="D373" s="364"/>
      <c r="E373" s="377"/>
      <c r="F373" s="374">
        <v>251</v>
      </c>
      <c r="G373" s="370">
        <v>425</v>
      </c>
      <c r="H373" s="1208" t="s">
        <v>1368</v>
      </c>
      <c r="I373" s="1209"/>
      <c r="J373" s="1210"/>
      <c r="K373" s="989">
        <v>4000000</v>
      </c>
      <c r="L373" s="989">
        <v>2766036</v>
      </c>
      <c r="M373" s="989">
        <v>4000000</v>
      </c>
      <c r="N373" s="665">
        <v>0</v>
      </c>
      <c r="O373" s="665">
        <v>0</v>
      </c>
      <c r="P373" s="793">
        <v>0</v>
      </c>
      <c r="Q373" s="793">
        <v>0</v>
      </c>
      <c r="R373" s="793">
        <v>0</v>
      </c>
      <c r="S373" s="793">
        <v>0</v>
      </c>
      <c r="T373" s="726">
        <f t="shared" si="120"/>
        <v>0</v>
      </c>
      <c r="U373" s="795">
        <f t="shared" si="121"/>
        <v>4000000</v>
      </c>
      <c r="V373" s="795">
        <v>4000000</v>
      </c>
      <c r="W373" s="795">
        <v>4000000</v>
      </c>
    </row>
    <row r="374" spans="2:23" s="362" customFormat="1" ht="12.75">
      <c r="B374" s="356"/>
      <c r="C374" s="59"/>
      <c r="D374" s="364"/>
      <c r="E374" s="377"/>
      <c r="F374" s="374">
        <v>252</v>
      </c>
      <c r="G374" s="370">
        <v>425</v>
      </c>
      <c r="H374" s="1208" t="s">
        <v>1440</v>
      </c>
      <c r="I374" s="1209"/>
      <c r="J374" s="1210"/>
      <c r="K374" s="992">
        <v>3500000</v>
      </c>
      <c r="L374" s="1154">
        <v>3500000</v>
      </c>
      <c r="M374" s="555">
        <v>3500000</v>
      </c>
      <c r="N374" s="761">
        <v>0</v>
      </c>
      <c r="O374" s="464">
        <v>0</v>
      </c>
      <c r="P374" s="645">
        <v>0</v>
      </c>
      <c r="Q374" s="645">
        <v>9700000</v>
      </c>
      <c r="R374" s="645">
        <v>0</v>
      </c>
      <c r="S374" s="645">
        <v>0</v>
      </c>
      <c r="T374" s="644">
        <f t="shared" si="120"/>
        <v>9700000</v>
      </c>
      <c r="U374" s="795">
        <f t="shared" si="121"/>
        <v>13200000</v>
      </c>
      <c r="V374" s="795">
        <v>13200000</v>
      </c>
      <c r="W374" s="795">
        <v>13200000</v>
      </c>
    </row>
    <row r="375" spans="2:23" s="362" customFormat="1" ht="12.75">
      <c r="B375" s="356"/>
      <c r="C375" s="59"/>
      <c r="D375" s="56"/>
      <c r="E375" s="551"/>
      <c r="F375" s="358">
        <v>253</v>
      </c>
      <c r="G375" s="370">
        <v>511</v>
      </c>
      <c r="H375" s="1216" t="s">
        <v>1465</v>
      </c>
      <c r="I375" s="1217"/>
      <c r="J375" s="1218"/>
      <c r="K375" s="989">
        <v>30000000</v>
      </c>
      <c r="L375" s="1155">
        <v>29999999.999999996</v>
      </c>
      <c r="M375" s="555">
        <v>0</v>
      </c>
      <c r="N375" s="761">
        <v>0</v>
      </c>
      <c r="O375" s="464">
        <v>0</v>
      </c>
      <c r="P375" s="634">
        <v>0</v>
      </c>
      <c r="Q375" s="634">
        <v>70290000</v>
      </c>
      <c r="R375" s="645">
        <v>0</v>
      </c>
      <c r="S375" s="634">
        <v>0</v>
      </c>
      <c r="T375" s="755">
        <f t="shared" si="120"/>
        <v>70290000</v>
      </c>
      <c r="U375" s="382">
        <f t="shared" si="121"/>
        <v>70290000</v>
      </c>
      <c r="V375" s="382">
        <v>70290000</v>
      </c>
      <c r="W375" s="382">
        <v>70290000</v>
      </c>
    </row>
    <row r="376" spans="2:23" s="362" customFormat="1" ht="12.75">
      <c r="B376" s="51"/>
      <c r="C376" s="52" t="s">
        <v>1320</v>
      </c>
      <c r="D376" s="53"/>
      <c r="E376" s="285"/>
      <c r="F376" s="53"/>
      <c r="G376" s="67"/>
      <c r="H376" s="1214" t="s">
        <v>95</v>
      </c>
      <c r="I376" s="1215"/>
      <c r="J376" s="1215"/>
      <c r="K376" s="993">
        <f>K379</f>
        <v>57491686</v>
      </c>
      <c r="L376" s="993">
        <f>L379</f>
        <v>33538922.439999994</v>
      </c>
      <c r="M376" s="1156">
        <f>M379</f>
        <v>57491686</v>
      </c>
      <c r="N376" s="762">
        <f aca="true" t="shared" si="137" ref="N376:S376">N379</f>
        <v>0</v>
      </c>
      <c r="O376" s="762">
        <f t="shared" si="137"/>
        <v>1741595</v>
      </c>
      <c r="P376" s="762">
        <f t="shared" si="137"/>
        <v>4000000</v>
      </c>
      <c r="Q376" s="762">
        <f t="shared" si="137"/>
        <v>1068535</v>
      </c>
      <c r="R376" s="762">
        <f t="shared" si="137"/>
        <v>0</v>
      </c>
      <c r="S376" s="762">
        <f t="shared" si="137"/>
        <v>505000</v>
      </c>
      <c r="T376" s="794">
        <f t="shared" si="120"/>
        <v>7315130</v>
      </c>
      <c r="U376" s="888">
        <f t="shared" si="121"/>
        <v>64806816</v>
      </c>
      <c r="V376" s="888">
        <v>64806816</v>
      </c>
      <c r="W376" s="888">
        <v>64806816</v>
      </c>
    </row>
    <row r="377" spans="2:23" ht="12.75">
      <c r="B377" s="287"/>
      <c r="C377" s="288"/>
      <c r="D377" s="435"/>
      <c r="E377" s="630" t="s">
        <v>298</v>
      </c>
      <c r="F377" s="631"/>
      <c r="G377" s="632"/>
      <c r="H377" s="1211" t="s">
        <v>1283</v>
      </c>
      <c r="I377" s="1212"/>
      <c r="J377" s="1213"/>
      <c r="K377" s="977">
        <f aca="true" t="shared" si="138" ref="K377:S378">K378</f>
        <v>57491686</v>
      </c>
      <c r="L377" s="1142">
        <f t="shared" si="138"/>
        <v>33538922.439999994</v>
      </c>
      <c r="M377" s="1140">
        <f t="shared" si="138"/>
        <v>57491686</v>
      </c>
      <c r="N377" s="289">
        <f t="shared" si="138"/>
        <v>0</v>
      </c>
      <c r="O377" s="289">
        <f t="shared" si="138"/>
        <v>1741595</v>
      </c>
      <c r="P377" s="289">
        <f t="shared" si="138"/>
        <v>4000000</v>
      </c>
      <c r="Q377" s="289">
        <f t="shared" si="138"/>
        <v>1068535</v>
      </c>
      <c r="R377" s="289">
        <f t="shared" si="138"/>
        <v>0</v>
      </c>
      <c r="S377" s="289">
        <f t="shared" si="138"/>
        <v>505000</v>
      </c>
      <c r="T377" s="339">
        <f t="shared" si="120"/>
        <v>7315130</v>
      </c>
      <c r="U377" s="674">
        <f t="shared" si="121"/>
        <v>64806816</v>
      </c>
      <c r="V377" s="674">
        <v>64806816</v>
      </c>
      <c r="W377" s="674">
        <v>64806816</v>
      </c>
    </row>
    <row r="378" spans="2:23" ht="12.75" customHeight="1">
      <c r="B378" s="287"/>
      <c r="C378" s="288"/>
      <c r="D378" s="435"/>
      <c r="E378" s="352" t="s">
        <v>294</v>
      </c>
      <c r="F378" s="435"/>
      <c r="G378" s="436"/>
      <c r="H378" s="1191" t="s">
        <v>1358</v>
      </c>
      <c r="I378" s="1192"/>
      <c r="J378" s="1193"/>
      <c r="K378" s="960">
        <f t="shared" si="138"/>
        <v>57491686</v>
      </c>
      <c r="L378" s="1121">
        <f t="shared" si="138"/>
        <v>33538922.439999994</v>
      </c>
      <c r="M378" s="1129">
        <f t="shared" si="138"/>
        <v>57491686</v>
      </c>
      <c r="N378" s="293">
        <f t="shared" si="138"/>
        <v>0</v>
      </c>
      <c r="O378" s="293">
        <f t="shared" si="138"/>
        <v>1741595</v>
      </c>
      <c r="P378" s="293">
        <f t="shared" si="138"/>
        <v>4000000</v>
      </c>
      <c r="Q378" s="293">
        <f t="shared" si="138"/>
        <v>1068535</v>
      </c>
      <c r="R378" s="293">
        <f t="shared" si="138"/>
        <v>0</v>
      </c>
      <c r="S378" s="293">
        <f t="shared" si="138"/>
        <v>505000</v>
      </c>
      <c r="T378" s="340">
        <f t="shared" si="120"/>
        <v>7315130</v>
      </c>
      <c r="U378" s="674">
        <f t="shared" si="121"/>
        <v>64806816</v>
      </c>
      <c r="V378" s="674">
        <v>64806816</v>
      </c>
      <c r="W378" s="674">
        <v>64806816</v>
      </c>
    </row>
    <row r="379" spans="2:23" s="362" customFormat="1" ht="12.75">
      <c r="B379" s="356"/>
      <c r="C379" s="363"/>
      <c r="D379" s="56">
        <v>911</v>
      </c>
      <c r="E379" s="182"/>
      <c r="F379" s="358"/>
      <c r="G379" s="359"/>
      <c r="H379" s="1185" t="s">
        <v>96</v>
      </c>
      <c r="I379" s="1186"/>
      <c r="J379" s="1187"/>
      <c r="K379" s="183">
        <f>SUM(K380:K397)</f>
        <v>57491686</v>
      </c>
      <c r="L379" s="341">
        <f>SUM(L380:L397)</f>
        <v>33538922.439999994</v>
      </c>
      <c r="M379" s="877">
        <f>SUM(M380:M397)</f>
        <v>57491686</v>
      </c>
      <c r="N379" s="183">
        <f aca="true" t="shared" si="139" ref="N379:S379">SUM(N380:N397)</f>
        <v>0</v>
      </c>
      <c r="O379" s="183">
        <f t="shared" si="139"/>
        <v>1741595</v>
      </c>
      <c r="P379" s="183">
        <f t="shared" si="139"/>
        <v>4000000</v>
      </c>
      <c r="Q379" s="183">
        <f t="shared" si="139"/>
        <v>1068535</v>
      </c>
      <c r="R379" s="183">
        <f t="shared" si="139"/>
        <v>0</v>
      </c>
      <c r="S379" s="183">
        <f t="shared" si="139"/>
        <v>505000</v>
      </c>
      <c r="T379" s="341">
        <f t="shared" si="120"/>
        <v>7315130</v>
      </c>
      <c r="U379" s="381">
        <f t="shared" si="121"/>
        <v>64806816</v>
      </c>
      <c r="V379" s="381">
        <v>64806816</v>
      </c>
      <c r="W379" s="381">
        <v>64806816</v>
      </c>
    </row>
    <row r="380" spans="2:23" s="362" customFormat="1" ht="12.75">
      <c r="B380" s="356"/>
      <c r="C380" s="363"/>
      <c r="D380" s="358"/>
      <c r="E380" s="363"/>
      <c r="F380" s="374">
        <v>254</v>
      </c>
      <c r="G380" s="451">
        <v>411</v>
      </c>
      <c r="H380" s="1188" t="s">
        <v>27</v>
      </c>
      <c r="I380" s="1189"/>
      <c r="J380" s="1190"/>
      <c r="K380" s="775">
        <v>38782252</v>
      </c>
      <c r="L380" s="775">
        <v>25207532.72</v>
      </c>
      <c r="M380" s="378">
        <v>39282252</v>
      </c>
      <c r="N380" s="417">
        <v>0</v>
      </c>
      <c r="O380" s="417">
        <v>0</v>
      </c>
      <c r="P380" s="417">
        <v>0</v>
      </c>
      <c r="Q380" s="420">
        <v>0</v>
      </c>
      <c r="R380" s="417">
        <v>0</v>
      </c>
      <c r="S380" s="420">
        <v>0</v>
      </c>
      <c r="T380" s="423">
        <f t="shared" si="120"/>
        <v>0</v>
      </c>
      <c r="U380" s="628">
        <f aca="true" t="shared" si="140" ref="U380:U397">SUM(M380:S380)</f>
        <v>39282252</v>
      </c>
      <c r="V380" s="628">
        <v>39282252</v>
      </c>
      <c r="W380" s="628">
        <v>39282252</v>
      </c>
    </row>
    <row r="381" spans="2:23" s="362" customFormat="1" ht="12.75">
      <c r="B381" s="356"/>
      <c r="C381" s="363"/>
      <c r="D381" s="358"/>
      <c r="E381" s="363"/>
      <c r="F381" s="374">
        <v>256</v>
      </c>
      <c r="G381" s="451">
        <v>412</v>
      </c>
      <c r="H381" s="1188" t="s">
        <v>79</v>
      </c>
      <c r="I381" s="1189"/>
      <c r="J381" s="1190"/>
      <c r="K381" s="775">
        <v>6741444</v>
      </c>
      <c r="L381" s="775">
        <v>4202233.729999999</v>
      </c>
      <c r="M381" s="775">
        <v>6741444</v>
      </c>
      <c r="N381" s="417">
        <v>0</v>
      </c>
      <c r="O381" s="417">
        <v>0</v>
      </c>
      <c r="P381" s="417">
        <v>0</v>
      </c>
      <c r="Q381" s="420">
        <v>0</v>
      </c>
      <c r="R381" s="417">
        <v>0</v>
      </c>
      <c r="S381" s="420">
        <v>0</v>
      </c>
      <c r="T381" s="423">
        <f t="shared" si="120"/>
        <v>0</v>
      </c>
      <c r="U381" s="628">
        <f t="shared" si="140"/>
        <v>6741444</v>
      </c>
      <c r="V381" s="628">
        <v>6741444</v>
      </c>
      <c r="W381" s="628">
        <v>6741444</v>
      </c>
    </row>
    <row r="382" spans="2:23" s="362" customFormat="1" ht="12.75">
      <c r="B382" s="356"/>
      <c r="C382" s="363"/>
      <c r="D382" s="358"/>
      <c r="E382" s="363"/>
      <c r="F382" s="374">
        <v>257</v>
      </c>
      <c r="G382" s="451">
        <v>413</v>
      </c>
      <c r="H382" s="354" t="s">
        <v>29</v>
      </c>
      <c r="I382" s="449"/>
      <c r="J382" s="450"/>
      <c r="K382" s="775">
        <v>200000</v>
      </c>
      <c r="L382" s="775">
        <v>0</v>
      </c>
      <c r="M382" s="775">
        <v>200000</v>
      </c>
      <c r="N382" s="417">
        <v>0</v>
      </c>
      <c r="O382" s="417">
        <v>0</v>
      </c>
      <c r="P382" s="417">
        <v>150000</v>
      </c>
      <c r="Q382" s="420">
        <v>50000</v>
      </c>
      <c r="R382" s="417">
        <v>0</v>
      </c>
      <c r="S382" s="420">
        <v>0</v>
      </c>
      <c r="T382" s="423">
        <f t="shared" si="120"/>
        <v>200000</v>
      </c>
      <c r="U382" s="628">
        <f t="shared" si="140"/>
        <v>400000</v>
      </c>
      <c r="V382" s="628">
        <v>400000</v>
      </c>
      <c r="W382" s="628">
        <v>400000</v>
      </c>
    </row>
    <row r="383" spans="2:23" s="362" customFormat="1" ht="12.75">
      <c r="B383" s="356"/>
      <c r="C383" s="363"/>
      <c r="D383" s="358"/>
      <c r="E383" s="363"/>
      <c r="F383" s="374">
        <v>258</v>
      </c>
      <c r="G383" s="451">
        <v>414</v>
      </c>
      <c r="H383" s="1188" t="s">
        <v>205</v>
      </c>
      <c r="I383" s="1189"/>
      <c r="J383" s="1190"/>
      <c r="K383" s="775">
        <v>300990</v>
      </c>
      <c r="L383" s="775">
        <v>553964.67</v>
      </c>
      <c r="M383" s="775">
        <v>300000</v>
      </c>
      <c r="N383" s="417">
        <v>0</v>
      </c>
      <c r="O383" s="417">
        <v>0</v>
      </c>
      <c r="P383" s="417">
        <v>25000</v>
      </c>
      <c r="Q383" s="420">
        <v>0</v>
      </c>
      <c r="R383" s="417">
        <v>0</v>
      </c>
      <c r="S383" s="420">
        <v>0</v>
      </c>
      <c r="T383" s="423">
        <f t="shared" si="120"/>
        <v>25000</v>
      </c>
      <c r="U383" s="628">
        <f t="shared" si="140"/>
        <v>325000</v>
      </c>
      <c r="V383" s="628">
        <v>325000</v>
      </c>
      <c r="W383" s="628">
        <v>325000</v>
      </c>
    </row>
    <row r="384" spans="2:23" s="362" customFormat="1" ht="12.75">
      <c r="B384" s="356"/>
      <c r="C384" s="363"/>
      <c r="D384" s="358"/>
      <c r="E384" s="363"/>
      <c r="F384" s="374">
        <v>259</v>
      </c>
      <c r="G384" s="451">
        <v>415</v>
      </c>
      <c r="H384" s="1188" t="s">
        <v>31</v>
      </c>
      <c r="I384" s="1189"/>
      <c r="J384" s="1190"/>
      <c r="K384" s="775">
        <v>600000</v>
      </c>
      <c r="L384" s="775">
        <v>152279</v>
      </c>
      <c r="M384" s="775">
        <v>1800000</v>
      </c>
      <c r="N384" s="417">
        <v>0</v>
      </c>
      <c r="O384" s="417">
        <v>0</v>
      </c>
      <c r="P384" s="417">
        <v>400000</v>
      </c>
      <c r="Q384" s="420">
        <v>200000</v>
      </c>
      <c r="R384" s="417">
        <v>0</v>
      </c>
      <c r="S384" s="420">
        <v>0</v>
      </c>
      <c r="T384" s="423">
        <f t="shared" si="120"/>
        <v>600000</v>
      </c>
      <c r="U384" s="628">
        <f t="shared" si="140"/>
        <v>2400000</v>
      </c>
      <c r="V384" s="628">
        <v>2400000</v>
      </c>
      <c r="W384" s="628">
        <v>2400000</v>
      </c>
    </row>
    <row r="385" spans="2:23" s="362" customFormat="1" ht="12.75">
      <c r="B385" s="356"/>
      <c r="C385" s="363"/>
      <c r="D385" s="358"/>
      <c r="E385" s="363"/>
      <c r="F385" s="374">
        <v>260</v>
      </c>
      <c r="G385" s="451">
        <v>416</v>
      </c>
      <c r="H385" s="1205" t="s">
        <v>203</v>
      </c>
      <c r="I385" s="1206"/>
      <c r="J385" s="1207"/>
      <c r="K385" s="775">
        <v>800000</v>
      </c>
      <c r="L385" s="775">
        <v>64197</v>
      </c>
      <c r="M385" s="775">
        <v>800000</v>
      </c>
      <c r="N385" s="417">
        <v>0</v>
      </c>
      <c r="O385" s="417">
        <v>0</v>
      </c>
      <c r="P385" s="417">
        <v>0</v>
      </c>
      <c r="Q385" s="420">
        <v>0</v>
      </c>
      <c r="R385" s="417">
        <v>0</v>
      </c>
      <c r="S385" s="420">
        <v>0</v>
      </c>
      <c r="T385" s="423">
        <f t="shared" si="120"/>
        <v>0</v>
      </c>
      <c r="U385" s="628">
        <f t="shared" si="140"/>
        <v>800000</v>
      </c>
      <c r="V385" s="628">
        <v>800000</v>
      </c>
      <c r="W385" s="628">
        <v>800000</v>
      </c>
    </row>
    <row r="386" spans="2:23" s="362" customFormat="1" ht="12.75">
      <c r="B386" s="356"/>
      <c r="C386" s="363"/>
      <c r="D386" s="358"/>
      <c r="E386" s="363"/>
      <c r="F386" s="374">
        <v>261</v>
      </c>
      <c r="G386" s="451">
        <v>421</v>
      </c>
      <c r="H386" s="1205" t="s">
        <v>33</v>
      </c>
      <c r="I386" s="1206"/>
      <c r="J386" s="1207"/>
      <c r="K386" s="775">
        <v>1930500</v>
      </c>
      <c r="L386" s="775">
        <v>1107636.74</v>
      </c>
      <c r="M386" s="775">
        <v>1950500</v>
      </c>
      <c r="N386" s="417">
        <v>0</v>
      </c>
      <c r="O386" s="417">
        <v>0</v>
      </c>
      <c r="P386" s="417">
        <v>984500</v>
      </c>
      <c r="Q386" s="420">
        <v>294535</v>
      </c>
      <c r="R386" s="417">
        <v>0</v>
      </c>
      <c r="S386" s="420">
        <v>80000</v>
      </c>
      <c r="T386" s="423">
        <f t="shared" si="120"/>
        <v>1359035</v>
      </c>
      <c r="U386" s="628">
        <f t="shared" si="140"/>
        <v>3309535</v>
      </c>
      <c r="V386" s="628">
        <v>3309535</v>
      </c>
      <c r="W386" s="628">
        <v>3309535</v>
      </c>
    </row>
    <row r="387" spans="2:23" s="362" customFormat="1" ht="12.75">
      <c r="B387" s="356"/>
      <c r="C387" s="363"/>
      <c r="D387" s="358"/>
      <c r="E387" s="363"/>
      <c r="F387" s="374">
        <v>262</v>
      </c>
      <c r="G387" s="451">
        <v>422</v>
      </c>
      <c r="H387" s="1205" t="s">
        <v>34</v>
      </c>
      <c r="I387" s="1206"/>
      <c r="J387" s="1207"/>
      <c r="K387" s="775">
        <v>160000</v>
      </c>
      <c r="L387" s="775">
        <v>17298</v>
      </c>
      <c r="M387" s="775">
        <v>160000</v>
      </c>
      <c r="N387" s="417">
        <v>0</v>
      </c>
      <c r="O387" s="417">
        <v>0</v>
      </c>
      <c r="P387" s="417">
        <v>0</v>
      </c>
      <c r="Q387" s="420">
        <v>0</v>
      </c>
      <c r="R387" s="417">
        <v>0</v>
      </c>
      <c r="S387" s="420">
        <v>40000</v>
      </c>
      <c r="T387" s="420">
        <f t="shared" si="120"/>
        <v>40000</v>
      </c>
      <c r="U387" s="628">
        <f t="shared" si="140"/>
        <v>200000</v>
      </c>
      <c r="V387" s="628">
        <v>200000</v>
      </c>
      <c r="W387" s="628">
        <v>200000</v>
      </c>
    </row>
    <row r="388" spans="2:23" s="362" customFormat="1" ht="12.75">
      <c r="B388" s="356"/>
      <c r="C388" s="363"/>
      <c r="D388" s="358"/>
      <c r="E388" s="363"/>
      <c r="F388" s="374">
        <v>263</v>
      </c>
      <c r="G388" s="451">
        <v>423</v>
      </c>
      <c r="H388" s="1205" t="s">
        <v>35</v>
      </c>
      <c r="I388" s="1206"/>
      <c r="J388" s="1207"/>
      <c r="K388" s="775">
        <v>317500</v>
      </c>
      <c r="L388" s="775">
        <v>78914.20999999999</v>
      </c>
      <c r="M388" s="775">
        <v>317500</v>
      </c>
      <c r="N388" s="417">
        <v>0</v>
      </c>
      <c r="O388" s="417">
        <v>0</v>
      </c>
      <c r="P388" s="417">
        <v>195500</v>
      </c>
      <c r="Q388" s="420">
        <v>65000</v>
      </c>
      <c r="R388" s="417">
        <v>0</v>
      </c>
      <c r="S388" s="420">
        <v>385000</v>
      </c>
      <c r="T388" s="420">
        <f t="shared" si="120"/>
        <v>645500</v>
      </c>
      <c r="U388" s="628">
        <f t="shared" si="140"/>
        <v>963000</v>
      </c>
      <c r="V388" s="628">
        <v>963000</v>
      </c>
      <c r="W388" s="628">
        <v>963000</v>
      </c>
    </row>
    <row r="389" spans="2:23" s="362" customFormat="1" ht="12.75">
      <c r="B389" s="356"/>
      <c r="C389" s="363"/>
      <c r="D389" s="358"/>
      <c r="E389" s="363"/>
      <c r="F389" s="374">
        <v>264</v>
      </c>
      <c r="G389" s="451">
        <v>424</v>
      </c>
      <c r="H389" s="1188" t="s">
        <v>36</v>
      </c>
      <c r="I389" s="1189"/>
      <c r="J389" s="1190"/>
      <c r="K389" s="775">
        <v>266000</v>
      </c>
      <c r="L389" s="775">
        <v>140746</v>
      </c>
      <c r="M389" s="775">
        <v>378000</v>
      </c>
      <c r="N389" s="417">
        <v>0</v>
      </c>
      <c r="O389" s="417">
        <v>0</v>
      </c>
      <c r="P389" s="417">
        <v>337500</v>
      </c>
      <c r="Q389" s="420">
        <v>145500</v>
      </c>
      <c r="R389" s="417">
        <v>0</v>
      </c>
      <c r="S389" s="420">
        <v>0</v>
      </c>
      <c r="T389" s="420">
        <f t="shared" si="120"/>
        <v>483000</v>
      </c>
      <c r="U389" s="628">
        <f t="shared" si="140"/>
        <v>861000</v>
      </c>
      <c r="V389" s="628">
        <v>861000</v>
      </c>
      <c r="W389" s="628">
        <v>861000</v>
      </c>
    </row>
    <row r="390" spans="2:23" s="362" customFormat="1" ht="12.75">
      <c r="B390" s="356"/>
      <c r="C390" s="363"/>
      <c r="D390" s="358"/>
      <c r="E390" s="363"/>
      <c r="F390" s="374">
        <v>265</v>
      </c>
      <c r="G390" s="451">
        <v>425</v>
      </c>
      <c r="H390" s="1188" t="s">
        <v>91</v>
      </c>
      <c r="I390" s="1189"/>
      <c r="J390" s="1190"/>
      <c r="K390" s="775">
        <v>90000</v>
      </c>
      <c r="L390" s="775">
        <v>13900</v>
      </c>
      <c r="M390" s="775">
        <v>90000</v>
      </c>
      <c r="N390" s="417">
        <v>0</v>
      </c>
      <c r="O390" s="417">
        <v>1741595</v>
      </c>
      <c r="P390" s="417">
        <v>90000</v>
      </c>
      <c r="Q390" s="420">
        <v>0</v>
      </c>
      <c r="R390" s="417">
        <v>0</v>
      </c>
      <c r="S390" s="420">
        <v>0</v>
      </c>
      <c r="T390" s="420">
        <f t="shared" si="120"/>
        <v>1831595</v>
      </c>
      <c r="U390" s="628">
        <f t="shared" si="140"/>
        <v>1921595</v>
      </c>
      <c r="V390" s="628">
        <v>1921595</v>
      </c>
      <c r="W390" s="628">
        <v>1921595</v>
      </c>
    </row>
    <row r="391" spans="2:23" s="362" customFormat="1" ht="12.75">
      <c r="B391" s="356"/>
      <c r="C391" s="363"/>
      <c r="D391" s="358"/>
      <c r="E391" s="363"/>
      <c r="F391" s="374">
        <v>266</v>
      </c>
      <c r="G391" s="451">
        <v>426</v>
      </c>
      <c r="H391" s="1205" t="s">
        <v>38</v>
      </c>
      <c r="I391" s="1206"/>
      <c r="J391" s="1207"/>
      <c r="K391" s="775">
        <v>3304000</v>
      </c>
      <c r="L391" s="775">
        <v>1092000.7799999998</v>
      </c>
      <c r="M391" s="775">
        <v>3316079</v>
      </c>
      <c r="N391" s="417">
        <v>0</v>
      </c>
      <c r="O391" s="417">
        <v>0</v>
      </c>
      <c r="P391" s="417">
        <v>1812500</v>
      </c>
      <c r="Q391" s="420">
        <v>313500</v>
      </c>
      <c r="R391" s="417">
        <v>0</v>
      </c>
      <c r="S391" s="420">
        <v>0</v>
      </c>
      <c r="T391" s="420">
        <f t="shared" si="120"/>
        <v>2126000</v>
      </c>
      <c r="U391" s="628">
        <f t="shared" si="140"/>
        <v>5442079</v>
      </c>
      <c r="V391" s="628">
        <v>5442079</v>
      </c>
      <c r="W391" s="628">
        <v>5442079</v>
      </c>
    </row>
    <row r="392" spans="2:23" s="362" customFormat="1" ht="12.75">
      <c r="B392" s="356"/>
      <c r="C392" s="363"/>
      <c r="D392" s="358"/>
      <c r="E392" s="363"/>
      <c r="F392" s="374">
        <v>267</v>
      </c>
      <c r="G392" s="451">
        <v>444</v>
      </c>
      <c r="H392" s="1205" t="s">
        <v>1441</v>
      </c>
      <c r="I392" s="1206"/>
      <c r="J392" s="1207"/>
      <c r="K392" s="775">
        <v>1000</v>
      </c>
      <c r="L392" s="775">
        <v>258.88</v>
      </c>
      <c r="M392" s="775">
        <v>1000</v>
      </c>
      <c r="N392" s="417">
        <v>0</v>
      </c>
      <c r="O392" s="417">
        <v>0</v>
      </c>
      <c r="P392" s="417">
        <v>0</v>
      </c>
      <c r="Q392" s="420">
        <v>0</v>
      </c>
      <c r="R392" s="417">
        <v>0</v>
      </c>
      <c r="S392" s="420">
        <v>0</v>
      </c>
      <c r="T392" s="420">
        <f t="shared" si="120"/>
        <v>0</v>
      </c>
      <c r="U392" s="628">
        <f t="shared" si="140"/>
        <v>1000</v>
      </c>
      <c r="V392" s="628">
        <v>1000</v>
      </c>
      <c r="W392" s="628">
        <v>1000</v>
      </c>
    </row>
    <row r="393" spans="2:23" s="362" customFormat="1" ht="12.75">
      <c r="B393" s="356"/>
      <c r="C393" s="363"/>
      <c r="D393" s="358"/>
      <c r="E393" s="363"/>
      <c r="F393" s="374">
        <v>268</v>
      </c>
      <c r="G393" s="451">
        <v>465</v>
      </c>
      <c r="H393" s="1205" t="s">
        <v>216</v>
      </c>
      <c r="I393" s="1206"/>
      <c r="J393" s="1207"/>
      <c r="K393" s="775">
        <v>2350000</v>
      </c>
      <c r="L393" s="775">
        <v>228971.47</v>
      </c>
      <c r="M393" s="775">
        <v>228972</v>
      </c>
      <c r="N393" s="417">
        <v>0</v>
      </c>
      <c r="O393" s="417">
        <v>0</v>
      </c>
      <c r="P393" s="417">
        <v>0</v>
      </c>
      <c r="Q393" s="420">
        <v>0</v>
      </c>
      <c r="R393" s="417">
        <v>0</v>
      </c>
      <c r="S393" s="420">
        <v>0</v>
      </c>
      <c r="T393" s="420">
        <f t="shared" si="120"/>
        <v>0</v>
      </c>
      <c r="U393" s="628">
        <f t="shared" si="140"/>
        <v>228972</v>
      </c>
      <c r="V393" s="628">
        <v>228972</v>
      </c>
      <c r="W393" s="628">
        <v>228972</v>
      </c>
    </row>
    <row r="394" spans="2:23" s="362" customFormat="1" ht="12.75">
      <c r="B394" s="356"/>
      <c r="C394" s="363"/>
      <c r="D394" s="358"/>
      <c r="E394" s="363"/>
      <c r="F394" s="374">
        <v>269</v>
      </c>
      <c r="G394" s="451">
        <v>482</v>
      </c>
      <c r="H394" s="1188" t="s">
        <v>82</v>
      </c>
      <c r="I394" s="1189"/>
      <c r="J394" s="1190"/>
      <c r="K394" s="775">
        <v>65000</v>
      </c>
      <c r="L394" s="775">
        <v>27564.24</v>
      </c>
      <c r="M394" s="775">
        <v>42939</v>
      </c>
      <c r="N394" s="417">
        <v>0</v>
      </c>
      <c r="O394" s="417">
        <v>0</v>
      </c>
      <c r="P394" s="417">
        <v>5000</v>
      </c>
      <c r="Q394" s="420">
        <v>0</v>
      </c>
      <c r="R394" s="417">
        <v>0</v>
      </c>
      <c r="S394" s="420">
        <v>0</v>
      </c>
      <c r="T394" s="420">
        <f t="shared" si="120"/>
        <v>5000</v>
      </c>
      <c r="U394" s="628">
        <f t="shared" si="140"/>
        <v>47939</v>
      </c>
      <c r="V394" s="628">
        <v>47939</v>
      </c>
      <c r="W394" s="628">
        <v>47939</v>
      </c>
    </row>
    <row r="395" spans="2:23" s="362" customFormat="1" ht="12.75">
      <c r="B395" s="579"/>
      <c r="C395" s="492"/>
      <c r="D395" s="580"/>
      <c r="E395" s="492"/>
      <c r="F395" s="374">
        <v>270</v>
      </c>
      <c r="G395" s="547">
        <v>511</v>
      </c>
      <c r="H395" s="556" t="s">
        <v>114</v>
      </c>
      <c r="I395" s="739"/>
      <c r="J395" s="740"/>
      <c r="K395" s="980">
        <v>653000</v>
      </c>
      <c r="L395" s="980">
        <v>0</v>
      </c>
      <c r="M395" s="980">
        <v>953000</v>
      </c>
      <c r="N395" s="417">
        <v>0</v>
      </c>
      <c r="O395" s="545">
        <v>0</v>
      </c>
      <c r="P395" s="545">
        <v>0</v>
      </c>
      <c r="Q395" s="458">
        <v>0</v>
      </c>
      <c r="R395" s="545">
        <v>0</v>
      </c>
      <c r="S395" s="458">
        <v>0</v>
      </c>
      <c r="T395" s="458">
        <f t="shared" si="120"/>
        <v>0</v>
      </c>
      <c r="U395" s="628">
        <f t="shared" si="140"/>
        <v>953000</v>
      </c>
      <c r="V395" s="628">
        <v>953000</v>
      </c>
      <c r="W395" s="628">
        <v>953000</v>
      </c>
    </row>
    <row r="396" spans="2:23" s="362" customFormat="1" ht="12.75">
      <c r="B396" s="579"/>
      <c r="C396" s="492"/>
      <c r="D396" s="580"/>
      <c r="E396" s="492"/>
      <c r="F396" s="374">
        <v>271</v>
      </c>
      <c r="G396" s="547">
        <v>512</v>
      </c>
      <c r="H396" s="1219" t="s">
        <v>83</v>
      </c>
      <c r="I396" s="1220"/>
      <c r="J396" s="1221"/>
      <c r="K396" s="980">
        <v>880000</v>
      </c>
      <c r="L396" s="980">
        <v>651425</v>
      </c>
      <c r="M396" s="980">
        <v>880000</v>
      </c>
      <c r="N396" s="417">
        <v>0</v>
      </c>
      <c r="O396" s="545">
        <v>0</v>
      </c>
      <c r="P396" s="545">
        <v>0</v>
      </c>
      <c r="Q396" s="458">
        <v>0</v>
      </c>
      <c r="R396" s="545">
        <v>0</v>
      </c>
      <c r="S396" s="458">
        <v>0</v>
      </c>
      <c r="T396" s="458">
        <f t="shared" si="120"/>
        <v>0</v>
      </c>
      <c r="U396" s="628">
        <f t="shared" si="140"/>
        <v>880000</v>
      </c>
      <c r="V396" s="628">
        <v>880000</v>
      </c>
      <c r="W396" s="628">
        <v>880000</v>
      </c>
    </row>
    <row r="397" spans="2:23" s="362" customFormat="1" ht="12.75">
      <c r="B397" s="494"/>
      <c r="C397" s="494"/>
      <c r="D397" s="546"/>
      <c r="E397" s="494"/>
      <c r="F397" s="374">
        <v>272</v>
      </c>
      <c r="G397" s="491">
        <v>515</v>
      </c>
      <c r="H397" s="1208" t="s">
        <v>1180</v>
      </c>
      <c r="I397" s="1209"/>
      <c r="J397" s="1210"/>
      <c r="K397" s="992">
        <v>50000</v>
      </c>
      <c r="L397" s="992">
        <v>0</v>
      </c>
      <c r="M397" s="992">
        <v>50000</v>
      </c>
      <c r="N397" s="410">
        <v>0</v>
      </c>
      <c r="O397" s="464">
        <v>0</v>
      </c>
      <c r="P397" s="464">
        <v>0</v>
      </c>
      <c r="Q397" s="464">
        <v>0</v>
      </c>
      <c r="R397" s="464">
        <v>0</v>
      </c>
      <c r="S397" s="464">
        <v>0</v>
      </c>
      <c r="T397" s="757">
        <f t="shared" si="120"/>
        <v>0</v>
      </c>
      <c r="U397" s="628">
        <f t="shared" si="140"/>
        <v>50000</v>
      </c>
      <c r="V397" s="628">
        <v>50000</v>
      </c>
      <c r="W397" s="628">
        <v>50000</v>
      </c>
    </row>
    <row r="398" spans="2:23" ht="12.75">
      <c r="B398" s="51"/>
      <c r="C398" s="52" t="s">
        <v>1222</v>
      </c>
      <c r="D398" s="53"/>
      <c r="E398" s="285"/>
      <c r="F398" s="53"/>
      <c r="G398" s="67"/>
      <c r="H398" s="1214" t="s">
        <v>285</v>
      </c>
      <c r="I398" s="1215"/>
      <c r="J398" s="1215"/>
      <c r="K398" s="994">
        <f>K399</f>
        <v>14073935</v>
      </c>
      <c r="L398" s="994">
        <f>L399</f>
        <v>7391255.670000001</v>
      </c>
      <c r="M398" s="994">
        <f>M399</f>
        <v>14073935</v>
      </c>
      <c r="N398" s="68">
        <f aca="true" t="shared" si="141" ref="N398:S398">N399</f>
        <v>205000</v>
      </c>
      <c r="O398" s="68">
        <f t="shared" si="141"/>
        <v>810000</v>
      </c>
      <c r="P398" s="68">
        <f t="shared" si="141"/>
        <v>130000</v>
      </c>
      <c r="Q398" s="68">
        <f t="shared" si="141"/>
        <v>153001</v>
      </c>
      <c r="R398" s="68">
        <f t="shared" si="141"/>
        <v>0</v>
      </c>
      <c r="S398" s="68">
        <f t="shared" si="141"/>
        <v>0</v>
      </c>
      <c r="T398" s="342">
        <f t="shared" si="120"/>
        <v>1298001</v>
      </c>
      <c r="U398" s="888">
        <f aca="true" t="shared" si="142" ref="U398:U442">SUM(M398:S398)</f>
        <v>15371936</v>
      </c>
      <c r="V398" s="888">
        <v>15371936</v>
      </c>
      <c r="W398" s="888">
        <v>15371936</v>
      </c>
    </row>
    <row r="399" spans="2:23" ht="12.75">
      <c r="B399" s="287"/>
      <c r="C399" s="288"/>
      <c r="D399" s="435"/>
      <c r="E399" s="630" t="s">
        <v>300</v>
      </c>
      <c r="F399" s="631"/>
      <c r="G399" s="632"/>
      <c r="H399" s="1211" t="s">
        <v>1284</v>
      </c>
      <c r="I399" s="1212"/>
      <c r="J399" s="1213"/>
      <c r="K399" s="977">
        <f aca="true" t="shared" si="143" ref="K399:S399">K400+K417+K422</f>
        <v>14073935</v>
      </c>
      <c r="L399" s="977">
        <f t="shared" si="143"/>
        <v>7391255.670000001</v>
      </c>
      <c r="M399" s="977">
        <f t="shared" si="143"/>
        <v>14073935</v>
      </c>
      <c r="N399" s="289">
        <f t="shared" si="143"/>
        <v>205000</v>
      </c>
      <c r="O399" s="289">
        <f t="shared" si="143"/>
        <v>810000</v>
      </c>
      <c r="P399" s="289">
        <f t="shared" si="143"/>
        <v>130000</v>
      </c>
      <c r="Q399" s="289">
        <f t="shared" si="143"/>
        <v>153001</v>
      </c>
      <c r="R399" s="289">
        <f t="shared" si="143"/>
        <v>0</v>
      </c>
      <c r="S399" s="289">
        <f t="shared" si="143"/>
        <v>0</v>
      </c>
      <c r="T399" s="339">
        <f t="shared" si="120"/>
        <v>1298001</v>
      </c>
      <c r="U399" s="674">
        <f t="shared" si="142"/>
        <v>15371936</v>
      </c>
      <c r="V399" s="674">
        <v>15371936</v>
      </c>
      <c r="W399" s="674">
        <v>15371936</v>
      </c>
    </row>
    <row r="400" spans="2:23" s="362" customFormat="1" ht="12.75" customHeight="1">
      <c r="B400" s="287"/>
      <c r="C400" s="288"/>
      <c r="D400" s="435"/>
      <c r="E400" s="352" t="s">
        <v>301</v>
      </c>
      <c r="F400" s="435"/>
      <c r="G400" s="436"/>
      <c r="H400" s="1191" t="s">
        <v>330</v>
      </c>
      <c r="I400" s="1192"/>
      <c r="J400" s="1193"/>
      <c r="K400" s="960">
        <f aca="true" t="shared" si="144" ref="K400:S400">K401</f>
        <v>12177935</v>
      </c>
      <c r="L400" s="960">
        <f t="shared" si="144"/>
        <v>7005871.630000001</v>
      </c>
      <c r="M400" s="960">
        <f t="shared" si="144"/>
        <v>12277935</v>
      </c>
      <c r="N400" s="293">
        <f t="shared" si="144"/>
        <v>138000</v>
      </c>
      <c r="O400" s="293">
        <f t="shared" si="144"/>
        <v>430000</v>
      </c>
      <c r="P400" s="293">
        <f t="shared" si="144"/>
        <v>130000</v>
      </c>
      <c r="Q400" s="293">
        <f t="shared" si="144"/>
        <v>101001</v>
      </c>
      <c r="R400" s="293">
        <f t="shared" si="144"/>
        <v>0</v>
      </c>
      <c r="S400" s="293">
        <f t="shared" si="144"/>
        <v>0</v>
      </c>
      <c r="T400" s="340">
        <f t="shared" si="120"/>
        <v>799001</v>
      </c>
      <c r="U400" s="674">
        <f t="shared" si="142"/>
        <v>13076936</v>
      </c>
      <c r="V400" s="674">
        <v>13076936</v>
      </c>
      <c r="W400" s="674">
        <v>13076936</v>
      </c>
    </row>
    <row r="401" spans="2:23" s="362" customFormat="1" ht="12.75">
      <c r="B401" s="356"/>
      <c r="C401" s="363"/>
      <c r="D401" s="182" t="s">
        <v>558</v>
      </c>
      <c r="E401" s="182"/>
      <c r="F401" s="358"/>
      <c r="G401" s="359"/>
      <c r="H401" s="1185" t="s">
        <v>173</v>
      </c>
      <c r="I401" s="1186"/>
      <c r="J401" s="1187"/>
      <c r="K401" s="183">
        <f>SUM(K402:K416)</f>
        <v>12177935</v>
      </c>
      <c r="L401" s="183">
        <f>SUM(L402:L416)</f>
        <v>7005871.630000001</v>
      </c>
      <c r="M401" s="183">
        <f>SUM(M402:M416)</f>
        <v>12277935</v>
      </c>
      <c r="N401" s="66">
        <f aca="true" t="shared" si="145" ref="N401:S401">SUM(N402:N416)</f>
        <v>138000</v>
      </c>
      <c r="O401" s="66">
        <f t="shared" si="145"/>
        <v>430000</v>
      </c>
      <c r="P401" s="66">
        <f t="shared" si="145"/>
        <v>130000</v>
      </c>
      <c r="Q401" s="66">
        <f t="shared" si="145"/>
        <v>101001</v>
      </c>
      <c r="R401" s="66">
        <f t="shared" si="145"/>
        <v>0</v>
      </c>
      <c r="S401" s="66">
        <f t="shared" si="145"/>
        <v>0</v>
      </c>
      <c r="T401" s="345">
        <f t="shared" si="120"/>
        <v>799001</v>
      </c>
      <c r="U401" s="381">
        <f t="shared" si="142"/>
        <v>13076936</v>
      </c>
      <c r="V401" s="381">
        <v>13076936</v>
      </c>
      <c r="W401" s="381">
        <v>13076936</v>
      </c>
    </row>
    <row r="402" spans="2:23" s="362" customFormat="1" ht="12.75">
      <c r="B402" s="356"/>
      <c r="C402" s="363"/>
      <c r="D402" s="358"/>
      <c r="E402" s="363"/>
      <c r="F402" s="374">
        <v>273</v>
      </c>
      <c r="G402" s="451">
        <v>411</v>
      </c>
      <c r="H402" s="1188" t="s">
        <v>27</v>
      </c>
      <c r="I402" s="1189"/>
      <c r="J402" s="1190"/>
      <c r="K402" s="775">
        <v>5808948</v>
      </c>
      <c r="L402" s="775">
        <v>3790111.41</v>
      </c>
      <c r="M402" s="775">
        <v>5808948</v>
      </c>
      <c r="N402" s="417">
        <v>0</v>
      </c>
      <c r="O402" s="417">
        <v>0</v>
      </c>
      <c r="P402" s="417">
        <v>0</v>
      </c>
      <c r="Q402" s="414">
        <v>0</v>
      </c>
      <c r="R402" s="417">
        <v>0</v>
      </c>
      <c r="S402" s="420">
        <v>0</v>
      </c>
      <c r="T402" s="420">
        <f t="shared" si="120"/>
        <v>0</v>
      </c>
      <c r="U402" s="382">
        <f t="shared" si="142"/>
        <v>5808948</v>
      </c>
      <c r="V402" s="382">
        <v>5808948</v>
      </c>
      <c r="W402" s="382">
        <v>5808948</v>
      </c>
    </row>
    <row r="403" spans="2:23" s="362" customFormat="1" ht="12.75" customHeight="1">
      <c r="B403" s="356"/>
      <c r="C403" s="363"/>
      <c r="D403" s="358"/>
      <c r="E403" s="363"/>
      <c r="F403" s="374">
        <v>274</v>
      </c>
      <c r="G403" s="451">
        <v>412</v>
      </c>
      <c r="H403" s="1188" t="s">
        <v>79</v>
      </c>
      <c r="I403" s="1189"/>
      <c r="J403" s="1190"/>
      <c r="K403" s="775">
        <v>996234</v>
      </c>
      <c r="L403" s="775">
        <v>631053.5900000001</v>
      </c>
      <c r="M403" s="775">
        <v>996234</v>
      </c>
      <c r="N403" s="417">
        <v>0</v>
      </c>
      <c r="O403" s="417">
        <v>0</v>
      </c>
      <c r="P403" s="417">
        <v>0</v>
      </c>
      <c r="Q403" s="414">
        <v>0</v>
      </c>
      <c r="R403" s="417">
        <v>0</v>
      </c>
      <c r="S403" s="420">
        <v>0</v>
      </c>
      <c r="T403" s="420">
        <f t="shared" si="120"/>
        <v>0</v>
      </c>
      <c r="U403" s="382">
        <f t="shared" si="142"/>
        <v>996234</v>
      </c>
      <c r="V403" s="382">
        <v>996234</v>
      </c>
      <c r="W403" s="382">
        <v>996234</v>
      </c>
    </row>
    <row r="404" spans="2:23" s="362" customFormat="1" ht="12.75">
      <c r="B404" s="356"/>
      <c r="C404" s="363"/>
      <c r="D404" s="358"/>
      <c r="E404" s="363"/>
      <c r="F404" s="374">
        <v>275</v>
      </c>
      <c r="G404" s="451">
        <v>414</v>
      </c>
      <c r="H404" s="1188" t="s">
        <v>30</v>
      </c>
      <c r="I404" s="1189"/>
      <c r="J404" s="1190"/>
      <c r="K404" s="775">
        <v>200000</v>
      </c>
      <c r="L404" s="775">
        <v>0</v>
      </c>
      <c r="M404" s="775">
        <v>200000</v>
      </c>
      <c r="N404" s="417">
        <v>0</v>
      </c>
      <c r="O404" s="417">
        <v>0</v>
      </c>
      <c r="P404" s="417">
        <v>0</v>
      </c>
      <c r="Q404" s="414">
        <v>0</v>
      </c>
      <c r="R404" s="417">
        <v>0</v>
      </c>
      <c r="S404" s="420">
        <v>0</v>
      </c>
      <c r="T404" s="420">
        <f t="shared" si="120"/>
        <v>0</v>
      </c>
      <c r="U404" s="382">
        <f t="shared" si="142"/>
        <v>200000</v>
      </c>
      <c r="V404" s="382">
        <v>200000</v>
      </c>
      <c r="W404" s="382">
        <v>200000</v>
      </c>
    </row>
    <row r="405" spans="2:23" s="362" customFormat="1" ht="12.75">
      <c r="B405" s="356"/>
      <c r="C405" s="363"/>
      <c r="D405" s="358"/>
      <c r="E405" s="363"/>
      <c r="F405" s="374">
        <v>276</v>
      </c>
      <c r="G405" s="451">
        <v>415</v>
      </c>
      <c r="H405" s="1188" t="s">
        <v>31</v>
      </c>
      <c r="I405" s="1189"/>
      <c r="J405" s="1190"/>
      <c r="K405" s="775">
        <v>100000</v>
      </c>
      <c r="L405" s="775">
        <v>75494</v>
      </c>
      <c r="M405" s="775">
        <v>280000</v>
      </c>
      <c r="N405" s="417">
        <v>0</v>
      </c>
      <c r="O405" s="417">
        <v>0</v>
      </c>
      <c r="P405" s="417">
        <v>0</v>
      </c>
      <c r="Q405" s="414">
        <v>0</v>
      </c>
      <c r="R405" s="417">
        <v>0</v>
      </c>
      <c r="S405" s="420">
        <v>0</v>
      </c>
      <c r="T405" s="420">
        <f t="shared" si="120"/>
        <v>0</v>
      </c>
      <c r="U405" s="382">
        <f t="shared" si="142"/>
        <v>280000</v>
      </c>
      <c r="V405" s="382">
        <v>280000</v>
      </c>
      <c r="W405" s="382">
        <v>280000</v>
      </c>
    </row>
    <row r="406" spans="2:23" s="362" customFormat="1" ht="12.75">
      <c r="B406" s="356"/>
      <c r="C406" s="363"/>
      <c r="D406" s="358"/>
      <c r="E406" s="363"/>
      <c r="F406" s="374">
        <v>277</v>
      </c>
      <c r="G406" s="451">
        <v>421</v>
      </c>
      <c r="H406" s="1188" t="s">
        <v>33</v>
      </c>
      <c r="I406" s="1189"/>
      <c r="J406" s="1190"/>
      <c r="K406" s="775">
        <v>1357606</v>
      </c>
      <c r="L406" s="775">
        <v>747186.5600000006</v>
      </c>
      <c r="M406" s="775">
        <v>1457606</v>
      </c>
      <c r="N406" s="417">
        <v>23000</v>
      </c>
      <c r="O406" s="417">
        <v>0</v>
      </c>
      <c r="P406" s="417">
        <v>0</v>
      </c>
      <c r="Q406" s="414">
        <v>0</v>
      </c>
      <c r="R406" s="417">
        <v>0</v>
      </c>
      <c r="S406" s="420">
        <v>0</v>
      </c>
      <c r="T406" s="420">
        <f t="shared" si="120"/>
        <v>23000</v>
      </c>
      <c r="U406" s="382">
        <f t="shared" si="142"/>
        <v>1480606</v>
      </c>
      <c r="V406" s="382">
        <v>1480606</v>
      </c>
      <c r="W406" s="382">
        <v>1480606</v>
      </c>
    </row>
    <row r="407" spans="2:23" s="362" customFormat="1" ht="12.75">
      <c r="B407" s="356"/>
      <c r="C407" s="363"/>
      <c r="D407" s="358"/>
      <c r="E407" s="363"/>
      <c r="F407" s="374">
        <v>279</v>
      </c>
      <c r="G407" s="451">
        <v>422</v>
      </c>
      <c r="H407" s="1188" t="s">
        <v>34</v>
      </c>
      <c r="I407" s="1189"/>
      <c r="J407" s="1190"/>
      <c r="K407" s="775">
        <v>100000</v>
      </c>
      <c r="L407" s="775">
        <v>15698</v>
      </c>
      <c r="M407" s="775">
        <v>50000</v>
      </c>
      <c r="N407" s="417">
        <v>10000</v>
      </c>
      <c r="O407" s="417">
        <v>0</v>
      </c>
      <c r="P407" s="417">
        <v>0</v>
      </c>
      <c r="Q407" s="414">
        <v>0</v>
      </c>
      <c r="R407" s="417">
        <v>0</v>
      </c>
      <c r="S407" s="420">
        <v>0</v>
      </c>
      <c r="T407" s="420">
        <f t="shared" si="120"/>
        <v>10000</v>
      </c>
      <c r="U407" s="382">
        <f t="shared" si="142"/>
        <v>60000</v>
      </c>
      <c r="V407" s="382">
        <v>60000</v>
      </c>
      <c r="W407" s="382">
        <v>60000</v>
      </c>
    </row>
    <row r="408" spans="2:23" s="362" customFormat="1" ht="12.75">
      <c r="B408" s="356"/>
      <c r="C408" s="363"/>
      <c r="D408" s="358"/>
      <c r="E408" s="363"/>
      <c r="F408" s="374">
        <v>280</v>
      </c>
      <c r="G408" s="451">
        <v>423</v>
      </c>
      <c r="H408" s="1205" t="s">
        <v>35</v>
      </c>
      <c r="I408" s="1206"/>
      <c r="J408" s="1207"/>
      <c r="K408" s="775">
        <v>920500</v>
      </c>
      <c r="L408" s="775">
        <v>180930</v>
      </c>
      <c r="M408" s="775">
        <v>800500</v>
      </c>
      <c r="N408" s="417">
        <v>10000</v>
      </c>
      <c r="O408" s="417">
        <v>60000</v>
      </c>
      <c r="P408" s="417">
        <v>0</v>
      </c>
      <c r="Q408" s="414">
        <v>41001</v>
      </c>
      <c r="R408" s="417">
        <v>0</v>
      </c>
      <c r="S408" s="420">
        <v>0</v>
      </c>
      <c r="T408" s="420">
        <f aca="true" t="shared" si="146" ref="T408:T471">SUM(N408:S408)</f>
        <v>111001</v>
      </c>
      <c r="U408" s="382">
        <f t="shared" si="142"/>
        <v>911501</v>
      </c>
      <c r="V408" s="382">
        <v>911501</v>
      </c>
      <c r="W408" s="382">
        <v>911501</v>
      </c>
    </row>
    <row r="409" spans="2:23" s="362" customFormat="1" ht="12.75">
      <c r="B409" s="356"/>
      <c r="C409" s="363"/>
      <c r="D409" s="358"/>
      <c r="E409" s="363"/>
      <c r="F409" s="374">
        <v>281</v>
      </c>
      <c r="G409" s="451">
        <v>423</v>
      </c>
      <c r="H409" s="1205" t="s">
        <v>1442</v>
      </c>
      <c r="I409" s="1206"/>
      <c r="J409" s="1207"/>
      <c r="K409" s="775">
        <v>10534</v>
      </c>
      <c r="L409" s="775">
        <v>0</v>
      </c>
      <c r="M409" s="775">
        <v>10534</v>
      </c>
      <c r="N409" s="417">
        <v>0</v>
      </c>
      <c r="O409" s="417">
        <v>0</v>
      </c>
      <c r="P409" s="417">
        <v>0</v>
      </c>
      <c r="Q409" s="414">
        <v>0</v>
      </c>
      <c r="R409" s="417">
        <v>0</v>
      </c>
      <c r="S409" s="420">
        <v>0</v>
      </c>
      <c r="T409" s="420">
        <f t="shared" si="146"/>
        <v>0</v>
      </c>
      <c r="U409" s="382">
        <f t="shared" si="142"/>
        <v>10534</v>
      </c>
      <c r="V409" s="382">
        <v>10534</v>
      </c>
      <c r="W409" s="382">
        <v>10534</v>
      </c>
    </row>
    <row r="410" spans="2:23" s="362" customFormat="1" ht="12.75">
      <c r="B410" s="356"/>
      <c r="C410" s="363"/>
      <c r="D410" s="358"/>
      <c r="E410" s="363"/>
      <c r="F410" s="374">
        <v>282</v>
      </c>
      <c r="G410" s="451">
        <v>424</v>
      </c>
      <c r="H410" s="1188" t="s">
        <v>36</v>
      </c>
      <c r="I410" s="1189"/>
      <c r="J410" s="1190"/>
      <c r="K410" s="775">
        <v>87000</v>
      </c>
      <c r="L410" s="775">
        <v>5280</v>
      </c>
      <c r="M410" s="775">
        <v>207000</v>
      </c>
      <c r="N410" s="417">
        <v>20000</v>
      </c>
      <c r="O410" s="417">
        <v>0</v>
      </c>
      <c r="P410" s="417">
        <v>80000</v>
      </c>
      <c r="Q410" s="414">
        <v>0</v>
      </c>
      <c r="R410" s="417">
        <v>0</v>
      </c>
      <c r="S410" s="420">
        <v>0</v>
      </c>
      <c r="T410" s="420">
        <f t="shared" si="146"/>
        <v>100000</v>
      </c>
      <c r="U410" s="382">
        <f t="shared" si="142"/>
        <v>307000</v>
      </c>
      <c r="V410" s="382">
        <v>307000</v>
      </c>
      <c r="W410" s="382">
        <v>307000</v>
      </c>
    </row>
    <row r="411" spans="2:23" s="362" customFormat="1" ht="12.75">
      <c r="B411" s="356"/>
      <c r="C411" s="363"/>
      <c r="D411" s="358"/>
      <c r="E411" s="363"/>
      <c r="F411" s="374">
        <v>283</v>
      </c>
      <c r="G411" s="451">
        <v>425</v>
      </c>
      <c r="H411" s="1188" t="s">
        <v>91</v>
      </c>
      <c r="I411" s="1189"/>
      <c r="J411" s="1190"/>
      <c r="K411" s="775">
        <v>160000</v>
      </c>
      <c r="L411" s="775">
        <v>31178.79</v>
      </c>
      <c r="M411" s="775">
        <v>160000</v>
      </c>
      <c r="N411" s="417">
        <v>5000</v>
      </c>
      <c r="O411" s="417">
        <v>0</v>
      </c>
      <c r="P411" s="417">
        <v>0</v>
      </c>
      <c r="Q411" s="414">
        <v>0</v>
      </c>
      <c r="R411" s="417">
        <v>0</v>
      </c>
      <c r="S411" s="420">
        <v>0</v>
      </c>
      <c r="T411" s="420">
        <f t="shared" si="146"/>
        <v>5000</v>
      </c>
      <c r="U411" s="382">
        <f t="shared" si="142"/>
        <v>165000</v>
      </c>
      <c r="V411" s="382">
        <v>165000</v>
      </c>
      <c r="W411" s="382">
        <v>165000</v>
      </c>
    </row>
    <row r="412" spans="2:23" s="362" customFormat="1" ht="12.75">
      <c r="B412" s="356"/>
      <c r="C412" s="363"/>
      <c r="D412" s="358"/>
      <c r="E412" s="363"/>
      <c r="F412" s="374">
        <v>284</v>
      </c>
      <c r="G412" s="451">
        <v>426</v>
      </c>
      <c r="H412" s="1188" t="s">
        <v>38</v>
      </c>
      <c r="I412" s="1189"/>
      <c r="J412" s="1190"/>
      <c r="K412" s="775">
        <v>385000</v>
      </c>
      <c r="L412" s="775">
        <v>202521.83</v>
      </c>
      <c r="M412" s="775">
        <v>516131</v>
      </c>
      <c r="N412" s="417">
        <v>40000</v>
      </c>
      <c r="O412" s="417">
        <v>0</v>
      </c>
      <c r="P412" s="417">
        <v>0</v>
      </c>
      <c r="Q412" s="414">
        <v>0</v>
      </c>
      <c r="R412" s="417">
        <v>0</v>
      </c>
      <c r="S412" s="420">
        <v>0</v>
      </c>
      <c r="T412" s="420">
        <f t="shared" si="146"/>
        <v>40000</v>
      </c>
      <c r="U412" s="382">
        <f t="shared" si="142"/>
        <v>556131</v>
      </c>
      <c r="V412" s="382">
        <v>556131</v>
      </c>
      <c r="W412" s="382">
        <v>556131</v>
      </c>
    </row>
    <row r="413" spans="2:23" s="362" customFormat="1" ht="12.75">
      <c r="B413" s="356"/>
      <c r="C413" s="363"/>
      <c r="D413" s="358"/>
      <c r="E413" s="363"/>
      <c r="F413" s="374">
        <v>285</v>
      </c>
      <c r="G413" s="451">
        <v>465</v>
      </c>
      <c r="H413" s="1205" t="s">
        <v>216</v>
      </c>
      <c r="I413" s="1206"/>
      <c r="J413" s="1207"/>
      <c r="K413" s="775">
        <v>560613</v>
      </c>
      <c r="L413" s="775">
        <v>49482</v>
      </c>
      <c r="M413" s="775">
        <v>49482</v>
      </c>
      <c r="N413" s="417">
        <v>0</v>
      </c>
      <c r="O413" s="417">
        <v>0</v>
      </c>
      <c r="P413" s="417">
        <v>0</v>
      </c>
      <c r="Q413" s="414">
        <v>0</v>
      </c>
      <c r="R413" s="417">
        <v>0</v>
      </c>
      <c r="S413" s="420">
        <v>0</v>
      </c>
      <c r="T413" s="420">
        <f t="shared" si="146"/>
        <v>0</v>
      </c>
      <c r="U413" s="382">
        <f t="shared" si="142"/>
        <v>49482</v>
      </c>
      <c r="V413" s="382">
        <v>49482</v>
      </c>
      <c r="W413" s="382">
        <v>49482</v>
      </c>
    </row>
    <row r="414" spans="2:23" s="362" customFormat="1" ht="12.75">
      <c r="B414" s="356"/>
      <c r="C414" s="363"/>
      <c r="D414" s="358"/>
      <c r="E414" s="363"/>
      <c r="F414" s="374">
        <v>286</v>
      </c>
      <c r="G414" s="451">
        <v>482</v>
      </c>
      <c r="H414" s="1188" t="s">
        <v>82</v>
      </c>
      <c r="I414" s="1189"/>
      <c r="J414" s="1190"/>
      <c r="K414" s="775">
        <v>41500</v>
      </c>
      <c r="L414" s="775">
        <v>6069</v>
      </c>
      <c r="M414" s="775">
        <v>41500</v>
      </c>
      <c r="N414" s="417">
        <v>1000</v>
      </c>
      <c r="O414" s="417">
        <v>0</v>
      </c>
      <c r="P414" s="417">
        <v>0</v>
      </c>
      <c r="Q414" s="414">
        <v>0</v>
      </c>
      <c r="R414" s="417">
        <v>0</v>
      </c>
      <c r="S414" s="420">
        <v>0</v>
      </c>
      <c r="T414" s="420">
        <f t="shared" si="146"/>
        <v>1000</v>
      </c>
      <c r="U414" s="382">
        <f t="shared" si="142"/>
        <v>42500</v>
      </c>
      <c r="V414" s="382">
        <v>42500</v>
      </c>
      <c r="W414" s="382">
        <v>42500</v>
      </c>
    </row>
    <row r="415" spans="2:23" s="362" customFormat="1" ht="12.75">
      <c r="B415" s="356"/>
      <c r="C415" s="363"/>
      <c r="D415" s="358"/>
      <c r="E415" s="363"/>
      <c r="F415" s="374">
        <v>287</v>
      </c>
      <c r="G415" s="451">
        <v>512</v>
      </c>
      <c r="H415" s="1188" t="s">
        <v>83</v>
      </c>
      <c r="I415" s="1189"/>
      <c r="J415" s="1190"/>
      <c r="K415" s="775">
        <v>1350000</v>
      </c>
      <c r="L415" s="775">
        <v>1211520</v>
      </c>
      <c r="M415" s="775">
        <v>1550000</v>
      </c>
      <c r="N415" s="417">
        <v>9000</v>
      </c>
      <c r="O415" s="417">
        <v>370000</v>
      </c>
      <c r="P415" s="417">
        <v>0</v>
      </c>
      <c r="Q415" s="414">
        <v>30000</v>
      </c>
      <c r="R415" s="417">
        <v>0</v>
      </c>
      <c r="S415" s="420">
        <v>0</v>
      </c>
      <c r="T415" s="423">
        <f t="shared" si="146"/>
        <v>409000</v>
      </c>
      <c r="U415" s="382">
        <f t="shared" si="142"/>
        <v>1959000</v>
      </c>
      <c r="V415" s="382">
        <v>1959000</v>
      </c>
      <c r="W415" s="382">
        <v>1959000</v>
      </c>
    </row>
    <row r="416" spans="2:23" s="362" customFormat="1" ht="12.75">
      <c r="B416" s="356"/>
      <c r="C416" s="363"/>
      <c r="D416" s="358"/>
      <c r="E416" s="363"/>
      <c r="F416" s="374">
        <v>288</v>
      </c>
      <c r="G416" s="451">
        <v>515</v>
      </c>
      <c r="H416" s="1188" t="s">
        <v>212</v>
      </c>
      <c r="I416" s="1189"/>
      <c r="J416" s="1190"/>
      <c r="K416" s="775">
        <v>100000</v>
      </c>
      <c r="L416" s="775">
        <v>59346.45</v>
      </c>
      <c r="M416" s="775">
        <v>150000</v>
      </c>
      <c r="N416" s="417">
        <v>20000</v>
      </c>
      <c r="O416" s="417">
        <v>0</v>
      </c>
      <c r="P416" s="417">
        <v>50000</v>
      </c>
      <c r="Q416" s="414">
        <v>30000</v>
      </c>
      <c r="R416" s="417">
        <v>0</v>
      </c>
      <c r="S416" s="420">
        <v>0</v>
      </c>
      <c r="T416" s="423">
        <f t="shared" si="146"/>
        <v>100000</v>
      </c>
      <c r="U416" s="382">
        <f t="shared" si="142"/>
        <v>250000</v>
      </c>
      <c r="V416" s="382">
        <v>250000</v>
      </c>
      <c r="W416" s="382">
        <v>250000</v>
      </c>
    </row>
    <row r="417" spans="2:27" s="362" customFormat="1" ht="15" customHeight="1">
      <c r="B417" s="287"/>
      <c r="C417" s="288"/>
      <c r="D417" s="435"/>
      <c r="E417" s="352" t="s">
        <v>316</v>
      </c>
      <c r="F417" s="435"/>
      <c r="G417" s="436"/>
      <c r="H417" s="1290" t="s">
        <v>1360</v>
      </c>
      <c r="I417" s="1291"/>
      <c r="J417" s="1292"/>
      <c r="K417" s="990">
        <f>SUM(K419:K421)</f>
        <v>1896000</v>
      </c>
      <c r="L417" s="990">
        <f>SUM(L419:L421)</f>
        <v>385384.04</v>
      </c>
      <c r="M417" s="990">
        <f>SUM(M419:M421)</f>
        <v>1796000</v>
      </c>
      <c r="N417" s="293">
        <f aca="true" t="shared" si="147" ref="N417:S417">SUM(N419:N421)</f>
        <v>42000</v>
      </c>
      <c r="O417" s="293">
        <f t="shared" si="147"/>
        <v>380000</v>
      </c>
      <c r="P417" s="293">
        <f t="shared" si="147"/>
        <v>0</v>
      </c>
      <c r="Q417" s="293">
        <f t="shared" si="147"/>
        <v>52000</v>
      </c>
      <c r="R417" s="293">
        <f t="shared" si="147"/>
        <v>0</v>
      </c>
      <c r="S417" s="340">
        <f t="shared" si="147"/>
        <v>0</v>
      </c>
      <c r="T417" s="340">
        <f t="shared" si="146"/>
        <v>474000</v>
      </c>
      <c r="U417" s="883">
        <f t="shared" si="142"/>
        <v>2270000</v>
      </c>
      <c r="V417" s="883">
        <v>2270000</v>
      </c>
      <c r="W417" s="883">
        <v>2270000</v>
      </c>
      <c r="AA417" s="843"/>
    </row>
    <row r="418" spans="2:28" s="362" customFormat="1" ht="12.75">
      <c r="B418" s="356"/>
      <c r="C418" s="363"/>
      <c r="D418" s="182" t="s">
        <v>558</v>
      </c>
      <c r="E418" s="182"/>
      <c r="F418" s="358"/>
      <c r="G418" s="359"/>
      <c r="H418" s="1185" t="s">
        <v>173</v>
      </c>
      <c r="I418" s="1186"/>
      <c r="J418" s="1187"/>
      <c r="K418" s="183">
        <f>SUM(K419:K421)</f>
        <v>1896000</v>
      </c>
      <c r="L418" s="183">
        <f>SUM(L419:L421)</f>
        <v>385384.04</v>
      </c>
      <c r="M418" s="183">
        <f>SUM(M419:M421)</f>
        <v>1796000</v>
      </c>
      <c r="N418" s="66">
        <f aca="true" t="shared" si="148" ref="N418:S418">SUM(N419:N421)</f>
        <v>42000</v>
      </c>
      <c r="O418" s="66">
        <f t="shared" si="148"/>
        <v>380000</v>
      </c>
      <c r="P418" s="66">
        <f t="shared" si="148"/>
        <v>0</v>
      </c>
      <c r="Q418" s="66">
        <f t="shared" si="148"/>
        <v>52000</v>
      </c>
      <c r="R418" s="66">
        <f t="shared" si="148"/>
        <v>0</v>
      </c>
      <c r="S418" s="344">
        <f t="shared" si="148"/>
        <v>0</v>
      </c>
      <c r="T418" s="344">
        <f t="shared" si="146"/>
        <v>474000</v>
      </c>
      <c r="U418" s="381">
        <f t="shared" si="142"/>
        <v>2270000</v>
      </c>
      <c r="V418" s="381">
        <v>2270000</v>
      </c>
      <c r="W418" s="381">
        <v>2270000</v>
      </c>
      <c r="Z418" s="463"/>
      <c r="AA418" s="838"/>
      <c r="AB418" s="463"/>
    </row>
    <row r="419" spans="2:27" s="362" customFormat="1" ht="12.75">
      <c r="B419" s="356"/>
      <c r="C419" s="363"/>
      <c r="D419" s="358"/>
      <c r="E419" s="363"/>
      <c r="F419" s="374">
        <v>289</v>
      </c>
      <c r="G419" s="451">
        <v>423</v>
      </c>
      <c r="H419" s="1188" t="s">
        <v>35</v>
      </c>
      <c r="I419" s="1189"/>
      <c r="J419" s="1190"/>
      <c r="K419" s="775">
        <v>1035000</v>
      </c>
      <c r="L419" s="775">
        <v>230170</v>
      </c>
      <c r="M419" s="775">
        <v>935000</v>
      </c>
      <c r="N419" s="417">
        <v>20000</v>
      </c>
      <c r="O419" s="417">
        <v>280000</v>
      </c>
      <c r="P419" s="417">
        <v>0</v>
      </c>
      <c r="Q419" s="414">
        <v>30000</v>
      </c>
      <c r="R419" s="417">
        <v>0</v>
      </c>
      <c r="S419" s="420">
        <v>0</v>
      </c>
      <c r="T419" s="423">
        <f t="shared" si="146"/>
        <v>330000</v>
      </c>
      <c r="U419" s="628">
        <f t="shared" si="142"/>
        <v>1265000</v>
      </c>
      <c r="V419" s="628">
        <v>1265000</v>
      </c>
      <c r="W419" s="628">
        <v>1265000</v>
      </c>
      <c r="Z419" s="463"/>
      <c r="AA419" s="838"/>
    </row>
    <row r="420" spans="2:28" s="362" customFormat="1" ht="12.75">
      <c r="B420" s="356"/>
      <c r="C420" s="363"/>
      <c r="D420" s="358"/>
      <c r="E420" s="363"/>
      <c r="F420" s="374">
        <v>290</v>
      </c>
      <c r="G420" s="451">
        <v>424</v>
      </c>
      <c r="H420" s="354" t="s">
        <v>36</v>
      </c>
      <c r="I420" s="449"/>
      <c r="J420" s="450"/>
      <c r="K420" s="775">
        <v>630000</v>
      </c>
      <c r="L420" s="775">
        <v>121400</v>
      </c>
      <c r="M420" s="775">
        <v>630000</v>
      </c>
      <c r="N420" s="417">
        <v>10000</v>
      </c>
      <c r="O420" s="417">
        <v>100000</v>
      </c>
      <c r="P420" s="417">
        <v>0</v>
      </c>
      <c r="Q420" s="417">
        <v>0</v>
      </c>
      <c r="R420" s="417">
        <v>0</v>
      </c>
      <c r="S420" s="420">
        <v>0</v>
      </c>
      <c r="T420" s="423">
        <f t="shared" si="146"/>
        <v>110000</v>
      </c>
      <c r="U420" s="628">
        <f t="shared" si="142"/>
        <v>740000</v>
      </c>
      <c r="V420" s="628">
        <v>740000</v>
      </c>
      <c r="W420" s="628">
        <v>740000</v>
      </c>
      <c r="Z420" s="463"/>
      <c r="AA420" s="837"/>
      <c r="AB420" s="463"/>
    </row>
    <row r="421" spans="2:28" s="362" customFormat="1" ht="15.75">
      <c r="B421" s="356"/>
      <c r="C421" s="363"/>
      <c r="D421" s="358"/>
      <c r="E421" s="363"/>
      <c r="F421" s="374">
        <v>291</v>
      </c>
      <c r="G421" s="451">
        <v>426</v>
      </c>
      <c r="H421" s="354" t="s">
        <v>38</v>
      </c>
      <c r="I421" s="449"/>
      <c r="J421" s="450"/>
      <c r="K421" s="775">
        <v>231000</v>
      </c>
      <c r="L421" s="775">
        <v>33814.03999999999</v>
      </c>
      <c r="M421" s="980">
        <v>231000</v>
      </c>
      <c r="N421" s="417">
        <v>12000</v>
      </c>
      <c r="O421" s="417">
        <v>0</v>
      </c>
      <c r="P421" s="417">
        <v>0</v>
      </c>
      <c r="Q421" s="417">
        <v>22000</v>
      </c>
      <c r="R421" s="417">
        <v>0</v>
      </c>
      <c r="S421" s="420">
        <v>0</v>
      </c>
      <c r="T421" s="423">
        <f t="shared" si="146"/>
        <v>34000</v>
      </c>
      <c r="U421" s="628">
        <f t="shared" si="142"/>
        <v>265000</v>
      </c>
      <c r="V421" s="628">
        <v>265000</v>
      </c>
      <c r="W421" s="628">
        <v>265000</v>
      </c>
      <c r="Z421" s="463"/>
      <c r="AA421" s="839"/>
      <c r="AB421" s="463"/>
    </row>
    <row r="422" spans="2:27" s="362" customFormat="1" ht="27.75" customHeight="1">
      <c r="B422" s="287"/>
      <c r="C422" s="288"/>
      <c r="D422" s="435"/>
      <c r="E422" s="352" t="s">
        <v>1285</v>
      </c>
      <c r="F422" s="435"/>
      <c r="G422" s="436"/>
      <c r="H422" s="1191" t="s">
        <v>1286</v>
      </c>
      <c r="I422" s="1192"/>
      <c r="J422" s="1193"/>
      <c r="K422" s="973">
        <f>SUM(K424:K425)</f>
        <v>0</v>
      </c>
      <c r="L422" s="982">
        <f>SUM(L424:L425)</f>
        <v>0</v>
      </c>
      <c r="M422" s="1129">
        <f>SUM(M424:M425)</f>
        <v>0</v>
      </c>
      <c r="N422" s="293">
        <f>N424+N425</f>
        <v>25000</v>
      </c>
      <c r="O422" s="293">
        <f>SUM(O424:O425)</f>
        <v>0</v>
      </c>
      <c r="P422" s="293">
        <f>SUM(P424:P425)</f>
        <v>0</v>
      </c>
      <c r="Q422" s="293">
        <f>SUM(Q424:Q425)</f>
        <v>0</v>
      </c>
      <c r="R422" s="293">
        <f>SUM(R424:R425)</f>
        <v>0</v>
      </c>
      <c r="S422" s="340">
        <f>SUM(S424:S425)</f>
        <v>0</v>
      </c>
      <c r="T422" s="340">
        <f t="shared" si="146"/>
        <v>25000</v>
      </c>
      <c r="U422" s="674">
        <f t="shared" si="142"/>
        <v>25000</v>
      </c>
      <c r="V422" s="674">
        <v>25000</v>
      </c>
      <c r="W422" s="674">
        <v>25000</v>
      </c>
      <c r="Z422" s="463"/>
      <c r="AA422" s="837"/>
    </row>
    <row r="423" spans="2:27" s="362" customFormat="1" ht="12.75">
      <c r="B423" s="356"/>
      <c r="C423" s="363"/>
      <c r="D423" s="182" t="s">
        <v>558</v>
      </c>
      <c r="E423" s="182"/>
      <c r="F423" s="358"/>
      <c r="G423" s="359"/>
      <c r="H423" s="1185" t="s">
        <v>173</v>
      </c>
      <c r="I423" s="1186"/>
      <c r="J423" s="1187"/>
      <c r="K423" s="183">
        <f>SUM(K424:K425)</f>
        <v>0</v>
      </c>
      <c r="L423" s="341">
        <f>SUM(L424:L425)</f>
        <v>0</v>
      </c>
      <c r="M423" s="877">
        <f>SUM(M424:M425)</f>
        <v>0</v>
      </c>
      <c r="N423" s="66">
        <f aca="true" t="shared" si="149" ref="N423:S423">SUM(N424:N425)</f>
        <v>25000</v>
      </c>
      <c r="O423" s="66">
        <f t="shared" si="149"/>
        <v>0</v>
      </c>
      <c r="P423" s="66">
        <f t="shared" si="149"/>
        <v>0</v>
      </c>
      <c r="Q423" s="590">
        <f t="shared" si="149"/>
        <v>0</v>
      </c>
      <c r="R423" s="590">
        <f t="shared" si="149"/>
        <v>0</v>
      </c>
      <c r="S423" s="344">
        <f t="shared" si="149"/>
        <v>0</v>
      </c>
      <c r="T423" s="344">
        <f t="shared" si="146"/>
        <v>25000</v>
      </c>
      <c r="U423" s="381">
        <f t="shared" si="142"/>
        <v>25000</v>
      </c>
      <c r="V423" s="381">
        <v>25000</v>
      </c>
      <c r="W423" s="381">
        <v>25000</v>
      </c>
      <c r="Z423" s="463"/>
      <c r="AA423" s="837"/>
    </row>
    <row r="424" spans="2:27" s="362" customFormat="1" ht="12.75">
      <c r="B424" s="367"/>
      <c r="C424" s="368"/>
      <c r="D424" s="369"/>
      <c r="E424" s="368"/>
      <c r="F424" s="369">
        <v>292</v>
      </c>
      <c r="G424" s="370">
        <v>423</v>
      </c>
      <c r="H424" s="1188" t="s">
        <v>35</v>
      </c>
      <c r="I424" s="1189"/>
      <c r="J424" s="1190"/>
      <c r="K424" s="378">
        <v>0</v>
      </c>
      <c r="L424" s="379">
        <v>0</v>
      </c>
      <c r="M424" s="555">
        <v>0</v>
      </c>
      <c r="N424" s="410">
        <v>20000</v>
      </c>
      <c r="O424" s="371">
        <v>0</v>
      </c>
      <c r="P424" s="371">
        <v>0</v>
      </c>
      <c r="Q424" s="382">
        <v>0</v>
      </c>
      <c r="R424" s="382">
        <v>0</v>
      </c>
      <c r="S424" s="372">
        <v>0</v>
      </c>
      <c r="T424" s="372">
        <f t="shared" si="146"/>
        <v>20000</v>
      </c>
      <c r="U424" s="382">
        <f t="shared" si="142"/>
        <v>20000</v>
      </c>
      <c r="V424" s="382">
        <v>20000</v>
      </c>
      <c r="W424" s="382">
        <v>20000</v>
      </c>
      <c r="Z424" s="463"/>
      <c r="AA424" s="837"/>
    </row>
    <row r="425" spans="2:27" s="362" customFormat="1" ht="12" customHeight="1">
      <c r="B425" s="356"/>
      <c r="C425" s="363"/>
      <c r="D425" s="358"/>
      <c r="E425" s="363"/>
      <c r="F425" s="374">
        <v>293</v>
      </c>
      <c r="G425" s="451">
        <v>426</v>
      </c>
      <c r="H425" s="1188" t="s">
        <v>38</v>
      </c>
      <c r="I425" s="1189"/>
      <c r="J425" s="1190"/>
      <c r="K425" s="378">
        <v>0</v>
      </c>
      <c r="L425" s="379">
        <v>0</v>
      </c>
      <c r="M425" s="555">
        <v>0</v>
      </c>
      <c r="N425" s="410">
        <v>5000</v>
      </c>
      <c r="O425" s="417">
        <v>0</v>
      </c>
      <c r="P425" s="417">
        <v>0</v>
      </c>
      <c r="Q425" s="797">
        <v>0</v>
      </c>
      <c r="R425" s="417">
        <v>0</v>
      </c>
      <c r="S425" s="420">
        <v>0</v>
      </c>
      <c r="T425" s="423">
        <f t="shared" si="146"/>
        <v>5000</v>
      </c>
      <c r="U425" s="628">
        <f t="shared" si="142"/>
        <v>5000</v>
      </c>
      <c r="V425" s="628">
        <v>5000</v>
      </c>
      <c r="W425" s="628">
        <v>5000</v>
      </c>
      <c r="Z425" s="463"/>
      <c r="AA425" s="841"/>
    </row>
    <row r="426" spans="2:27" s="362" customFormat="1" ht="12.75">
      <c r="B426" s="51"/>
      <c r="C426" s="52" t="s">
        <v>1321</v>
      </c>
      <c r="D426" s="53"/>
      <c r="E426" s="285"/>
      <c r="F426" s="541"/>
      <c r="G426" s="542"/>
      <c r="H426" s="1324" t="s">
        <v>117</v>
      </c>
      <c r="I426" s="1325"/>
      <c r="J426" s="1326"/>
      <c r="K426" s="995">
        <f aca="true" t="shared" si="150" ref="K426:S426">K427+K436+K454+K467+K480+K493+K504</f>
        <v>15378836</v>
      </c>
      <c r="L426" s="1152">
        <f t="shared" si="150"/>
        <v>6273447.5200000005</v>
      </c>
      <c r="M426" s="1153">
        <f t="shared" si="150"/>
        <v>15355923</v>
      </c>
      <c r="N426" s="68">
        <f t="shared" si="150"/>
        <v>0</v>
      </c>
      <c r="O426" s="68">
        <f t="shared" si="150"/>
        <v>0</v>
      </c>
      <c r="P426" s="68">
        <f t="shared" si="150"/>
        <v>742182</v>
      </c>
      <c r="Q426" s="68">
        <f t="shared" si="150"/>
        <v>2849713</v>
      </c>
      <c r="R426" s="68">
        <f t="shared" si="150"/>
        <v>0</v>
      </c>
      <c r="S426" s="342">
        <f t="shared" si="150"/>
        <v>0</v>
      </c>
      <c r="T426" s="342">
        <f t="shared" si="146"/>
        <v>3591895</v>
      </c>
      <c r="U426" s="888">
        <f t="shared" si="142"/>
        <v>18947818</v>
      </c>
      <c r="V426" s="888">
        <v>18947818</v>
      </c>
      <c r="W426" s="888">
        <v>18947818</v>
      </c>
      <c r="Z426" s="463"/>
      <c r="AA426" s="837"/>
    </row>
    <row r="427" spans="2:27" s="362" customFormat="1" ht="12.75">
      <c r="B427" s="465"/>
      <c r="C427" s="473" t="s">
        <v>1322</v>
      </c>
      <c r="D427" s="474"/>
      <c r="E427" s="475"/>
      <c r="F427" s="474"/>
      <c r="G427" s="476"/>
      <c r="H427" s="1200" t="s">
        <v>118</v>
      </c>
      <c r="I427" s="1201"/>
      <c r="J427" s="1289"/>
      <c r="K427" s="996">
        <f aca="true" t="shared" si="151" ref="K427:S429">K428</f>
        <v>2400000</v>
      </c>
      <c r="L427" s="996">
        <f t="shared" si="151"/>
        <v>394140.73000000004</v>
      </c>
      <c r="M427" s="1150">
        <f t="shared" si="151"/>
        <v>2400000</v>
      </c>
      <c r="N427" s="1149">
        <f t="shared" si="151"/>
        <v>0</v>
      </c>
      <c r="O427" s="416">
        <f t="shared" si="151"/>
        <v>0</v>
      </c>
      <c r="P427" s="416">
        <f t="shared" si="151"/>
        <v>0</v>
      </c>
      <c r="Q427" s="416">
        <f t="shared" si="151"/>
        <v>350000</v>
      </c>
      <c r="R427" s="416">
        <f t="shared" si="151"/>
        <v>0</v>
      </c>
      <c r="S427" s="477">
        <f t="shared" si="151"/>
        <v>0</v>
      </c>
      <c r="T427" s="478">
        <f t="shared" si="146"/>
        <v>350000</v>
      </c>
      <c r="U427" s="889">
        <f t="shared" si="142"/>
        <v>2750000</v>
      </c>
      <c r="V427" s="889">
        <v>2750000</v>
      </c>
      <c r="W427" s="889">
        <v>2750000</v>
      </c>
      <c r="Z427" s="463"/>
      <c r="AA427" s="840"/>
    </row>
    <row r="428" spans="2:27" s="658" customFormat="1" ht="12.75">
      <c r="B428" s="654"/>
      <c r="C428" s="655"/>
      <c r="D428" s="631"/>
      <c r="E428" s="630" t="s">
        <v>290</v>
      </c>
      <c r="F428" s="631"/>
      <c r="G428" s="632"/>
      <c r="H428" s="1301" t="s">
        <v>1362</v>
      </c>
      <c r="I428" s="1302"/>
      <c r="J428" s="1303"/>
      <c r="K428" s="977">
        <f t="shared" si="151"/>
        <v>2400000</v>
      </c>
      <c r="L428" s="1142">
        <f t="shared" si="151"/>
        <v>394140.73000000004</v>
      </c>
      <c r="M428" s="1140">
        <f t="shared" si="151"/>
        <v>2400000</v>
      </c>
      <c r="N428" s="656">
        <f t="shared" si="151"/>
        <v>0</v>
      </c>
      <c r="O428" s="656">
        <f t="shared" si="151"/>
        <v>0</v>
      </c>
      <c r="P428" s="656">
        <f t="shared" si="151"/>
        <v>0</v>
      </c>
      <c r="Q428" s="656">
        <f t="shared" si="151"/>
        <v>350000</v>
      </c>
      <c r="R428" s="656">
        <f t="shared" si="151"/>
        <v>0</v>
      </c>
      <c r="S428" s="657">
        <f t="shared" si="151"/>
        <v>0</v>
      </c>
      <c r="T428" s="657">
        <f t="shared" si="146"/>
        <v>350000</v>
      </c>
      <c r="U428" s="890">
        <f t="shared" si="142"/>
        <v>2750000</v>
      </c>
      <c r="V428" s="890">
        <v>2750000</v>
      </c>
      <c r="W428" s="890">
        <v>2750000</v>
      </c>
      <c r="Z428" s="842"/>
      <c r="AA428" s="840"/>
    </row>
    <row r="429" spans="2:27" s="362" customFormat="1" ht="12.75">
      <c r="B429" s="287"/>
      <c r="C429" s="288"/>
      <c r="D429" s="435"/>
      <c r="E429" s="352" t="s">
        <v>308</v>
      </c>
      <c r="F429" s="435"/>
      <c r="G429" s="436"/>
      <c r="H429" s="1194" t="s">
        <v>1361</v>
      </c>
      <c r="I429" s="1195"/>
      <c r="J429" s="1196"/>
      <c r="K429" s="981">
        <f t="shared" si="151"/>
        <v>2400000</v>
      </c>
      <c r="L429" s="1148">
        <f t="shared" si="151"/>
        <v>394140.73000000004</v>
      </c>
      <c r="M429" s="1151">
        <f t="shared" si="151"/>
        <v>2400000</v>
      </c>
      <c r="N429" s="293">
        <f aca="true" t="shared" si="152" ref="N429:S429">N430</f>
        <v>0</v>
      </c>
      <c r="O429" s="293">
        <f t="shared" si="152"/>
        <v>0</v>
      </c>
      <c r="P429" s="293">
        <f t="shared" si="152"/>
        <v>0</v>
      </c>
      <c r="Q429" s="293">
        <f t="shared" si="152"/>
        <v>350000</v>
      </c>
      <c r="R429" s="293">
        <f t="shared" si="152"/>
        <v>0</v>
      </c>
      <c r="S429" s="340">
        <f t="shared" si="152"/>
        <v>0</v>
      </c>
      <c r="T429" s="340">
        <f t="shared" si="146"/>
        <v>350000</v>
      </c>
      <c r="U429" s="674">
        <f t="shared" si="142"/>
        <v>2750000</v>
      </c>
      <c r="V429" s="674">
        <v>2750000</v>
      </c>
      <c r="W429" s="674">
        <v>2750000</v>
      </c>
      <c r="Z429" s="463"/>
      <c r="AA429" s="840"/>
    </row>
    <row r="430" spans="2:27" s="362" customFormat="1" ht="12.75">
      <c r="B430" s="437"/>
      <c r="C430" s="438"/>
      <c r="D430" s="182" t="s">
        <v>284</v>
      </c>
      <c r="E430" s="58"/>
      <c r="F430" s="439"/>
      <c r="G430" s="440"/>
      <c r="H430" s="1185" t="s">
        <v>119</v>
      </c>
      <c r="I430" s="1186"/>
      <c r="J430" s="452"/>
      <c r="K430" s="971">
        <f>SUM(K431:K435)</f>
        <v>2400000</v>
      </c>
      <c r="L430" s="997">
        <f>SUM(L431:L435)</f>
        <v>394140.73000000004</v>
      </c>
      <c r="M430" s="750">
        <f>SUM(M431:M435)</f>
        <v>2400000</v>
      </c>
      <c r="N430" s="554">
        <f aca="true" t="shared" si="153" ref="N430:S430">SUM(N431:N435)</f>
        <v>0</v>
      </c>
      <c r="O430" s="554">
        <f t="shared" si="153"/>
        <v>0</v>
      </c>
      <c r="P430" s="554">
        <f t="shared" si="153"/>
        <v>0</v>
      </c>
      <c r="Q430" s="796">
        <f t="shared" si="153"/>
        <v>350000</v>
      </c>
      <c r="R430" s="554">
        <f t="shared" si="153"/>
        <v>0</v>
      </c>
      <c r="S430" s="554">
        <f t="shared" si="153"/>
        <v>0</v>
      </c>
      <c r="T430" s="343">
        <f t="shared" si="146"/>
        <v>350000</v>
      </c>
      <c r="U430" s="876">
        <f t="shared" si="142"/>
        <v>2750000</v>
      </c>
      <c r="V430" s="876">
        <v>2750000</v>
      </c>
      <c r="W430" s="876">
        <v>2750000</v>
      </c>
      <c r="Z430" s="463"/>
      <c r="AA430" s="840"/>
    </row>
    <row r="431" spans="2:27" s="362" customFormat="1" ht="12.75">
      <c r="B431" s="356"/>
      <c r="C431" s="363"/>
      <c r="D431" s="358"/>
      <c r="E431" s="363"/>
      <c r="F431" s="374">
        <v>294</v>
      </c>
      <c r="G431" s="451">
        <v>421</v>
      </c>
      <c r="H431" s="1202" t="s">
        <v>33</v>
      </c>
      <c r="I431" s="1203"/>
      <c r="J431" s="1204"/>
      <c r="K431" s="958">
        <v>189000</v>
      </c>
      <c r="L431" s="961">
        <v>78913.19999999998</v>
      </c>
      <c r="M431" s="999">
        <v>189000</v>
      </c>
      <c r="N431" s="410">
        <v>0</v>
      </c>
      <c r="O431" s="417">
        <v>0</v>
      </c>
      <c r="P431" s="420">
        <v>0</v>
      </c>
      <c r="Q431" s="464">
        <v>0</v>
      </c>
      <c r="R431" s="415">
        <v>0</v>
      </c>
      <c r="S431" s="420">
        <v>0</v>
      </c>
      <c r="T431" s="423">
        <f t="shared" si="146"/>
        <v>0</v>
      </c>
      <c r="U431" s="628">
        <f t="shared" si="142"/>
        <v>189000</v>
      </c>
      <c r="V431" s="628">
        <v>189000</v>
      </c>
      <c r="W431" s="464">
        <v>189000</v>
      </c>
      <c r="AA431" s="844"/>
    </row>
    <row r="432" spans="2:23" ht="12.75" customHeight="1">
      <c r="B432" s="356"/>
      <c r="C432" s="363"/>
      <c r="D432" s="358"/>
      <c r="E432" s="363"/>
      <c r="F432" s="374">
        <v>295</v>
      </c>
      <c r="G432" s="451">
        <v>423</v>
      </c>
      <c r="H432" s="1202" t="s">
        <v>35</v>
      </c>
      <c r="I432" s="1203"/>
      <c r="J432" s="1204"/>
      <c r="K432" s="958">
        <v>915000</v>
      </c>
      <c r="L432" s="961">
        <v>280304.43</v>
      </c>
      <c r="M432" s="999">
        <v>915000</v>
      </c>
      <c r="N432" s="410">
        <v>0</v>
      </c>
      <c r="O432" s="417">
        <v>0</v>
      </c>
      <c r="P432" s="420">
        <v>0</v>
      </c>
      <c r="Q432" s="464">
        <v>200000</v>
      </c>
      <c r="R432" s="415">
        <v>0</v>
      </c>
      <c r="S432" s="420">
        <v>0</v>
      </c>
      <c r="T432" s="423">
        <f t="shared" si="146"/>
        <v>200000</v>
      </c>
      <c r="U432" s="628">
        <f t="shared" si="142"/>
        <v>1115000</v>
      </c>
      <c r="V432" s="628">
        <v>1115000</v>
      </c>
      <c r="W432" s="464">
        <v>1115000</v>
      </c>
    </row>
    <row r="433" spans="2:23" s="362" customFormat="1" ht="12.75">
      <c r="B433" s="356"/>
      <c r="C433" s="363"/>
      <c r="D433" s="358"/>
      <c r="E433" s="363"/>
      <c r="F433" s="374">
        <v>296</v>
      </c>
      <c r="G433" s="451">
        <v>425</v>
      </c>
      <c r="H433" s="1248" t="s">
        <v>91</v>
      </c>
      <c r="I433" s="1249"/>
      <c r="J433" s="1250"/>
      <c r="K433" s="958">
        <v>1020000</v>
      </c>
      <c r="L433" s="961">
        <v>13139</v>
      </c>
      <c r="M433" s="999">
        <v>1020000</v>
      </c>
      <c r="N433" s="410">
        <v>0</v>
      </c>
      <c r="O433" s="417">
        <v>0</v>
      </c>
      <c r="P433" s="420">
        <v>0</v>
      </c>
      <c r="Q433" s="464">
        <v>0</v>
      </c>
      <c r="R433" s="415">
        <v>0</v>
      </c>
      <c r="S433" s="420">
        <v>0</v>
      </c>
      <c r="T433" s="423">
        <f t="shared" si="146"/>
        <v>0</v>
      </c>
      <c r="U433" s="628">
        <f t="shared" si="142"/>
        <v>1020000</v>
      </c>
      <c r="V433" s="628">
        <v>1020000</v>
      </c>
      <c r="W433" s="464">
        <v>1020000</v>
      </c>
    </row>
    <row r="434" spans="2:23" s="362" customFormat="1" ht="12.75">
      <c r="B434" s="356"/>
      <c r="C434" s="363"/>
      <c r="D434" s="358"/>
      <c r="E434" s="363"/>
      <c r="F434" s="374">
        <v>297</v>
      </c>
      <c r="G434" s="451">
        <v>426</v>
      </c>
      <c r="H434" s="1202" t="s">
        <v>38</v>
      </c>
      <c r="I434" s="1203"/>
      <c r="J434" s="1204"/>
      <c r="K434" s="958">
        <v>243000</v>
      </c>
      <c r="L434" s="961">
        <v>11733.7</v>
      </c>
      <c r="M434" s="999">
        <v>243000</v>
      </c>
      <c r="N434" s="410">
        <v>0</v>
      </c>
      <c r="O434" s="417">
        <v>0</v>
      </c>
      <c r="P434" s="458">
        <v>0</v>
      </c>
      <c r="Q434" s="464">
        <v>150000</v>
      </c>
      <c r="R434" s="415">
        <v>0</v>
      </c>
      <c r="S434" s="420">
        <v>0</v>
      </c>
      <c r="T434" s="423">
        <f t="shared" si="146"/>
        <v>150000</v>
      </c>
      <c r="U434" s="628">
        <f t="shared" si="142"/>
        <v>393000</v>
      </c>
      <c r="V434" s="628">
        <v>393000</v>
      </c>
      <c r="W434" s="464">
        <v>393000</v>
      </c>
    </row>
    <row r="435" spans="2:23" s="362" customFormat="1" ht="12.75">
      <c r="B435" s="356"/>
      <c r="C435" s="363"/>
      <c r="D435" s="358"/>
      <c r="E435" s="363"/>
      <c r="F435" s="374">
        <v>298</v>
      </c>
      <c r="G435" s="451">
        <v>482</v>
      </c>
      <c r="H435" s="727" t="s">
        <v>82</v>
      </c>
      <c r="I435" s="485"/>
      <c r="J435" s="728"/>
      <c r="K435" s="959">
        <v>33000</v>
      </c>
      <c r="L435" s="962">
        <v>10050.4</v>
      </c>
      <c r="M435" s="999">
        <v>33000</v>
      </c>
      <c r="N435" s="410">
        <v>0</v>
      </c>
      <c r="O435" s="420">
        <v>0</v>
      </c>
      <c r="P435" s="464">
        <v>0</v>
      </c>
      <c r="Q435" s="464">
        <v>0</v>
      </c>
      <c r="R435" s="415">
        <v>0</v>
      </c>
      <c r="S435" s="420">
        <v>0</v>
      </c>
      <c r="T435" s="423">
        <f t="shared" si="146"/>
        <v>0</v>
      </c>
      <c r="U435" s="628">
        <f t="shared" si="142"/>
        <v>33000</v>
      </c>
      <c r="V435" s="628">
        <v>33000</v>
      </c>
      <c r="W435" s="464">
        <v>33000</v>
      </c>
    </row>
    <row r="436" spans="2:23" s="362" customFormat="1" ht="12.75">
      <c r="B436" s="465"/>
      <c r="C436" s="473" t="s">
        <v>1323</v>
      </c>
      <c r="D436" s="474"/>
      <c r="E436" s="475"/>
      <c r="F436" s="474"/>
      <c r="G436" s="476"/>
      <c r="H436" s="1200" t="s">
        <v>120</v>
      </c>
      <c r="I436" s="1201"/>
      <c r="J436" s="1201"/>
      <c r="K436" s="996">
        <f>K439</f>
        <v>5300000</v>
      </c>
      <c r="L436" s="996">
        <f>L439</f>
        <v>2377360.56</v>
      </c>
      <c r="M436" s="1150">
        <f>M439</f>
        <v>4877087</v>
      </c>
      <c r="N436" s="1149">
        <f aca="true" t="shared" si="154" ref="N436:S436">N439</f>
        <v>0</v>
      </c>
      <c r="O436" s="430">
        <f>O439</f>
        <v>0</v>
      </c>
      <c r="P436" s="611">
        <f t="shared" si="154"/>
        <v>0</v>
      </c>
      <c r="Q436" s="611">
        <f t="shared" si="154"/>
        <v>1122913</v>
      </c>
      <c r="R436" s="430">
        <f>R439</f>
        <v>0</v>
      </c>
      <c r="S436" s="479">
        <f t="shared" si="154"/>
        <v>0</v>
      </c>
      <c r="T436" s="478">
        <f t="shared" si="146"/>
        <v>1122913</v>
      </c>
      <c r="U436" s="889">
        <f t="shared" si="142"/>
        <v>6000000</v>
      </c>
      <c r="V436" s="889">
        <v>6000000</v>
      </c>
      <c r="W436" s="889">
        <v>6000000</v>
      </c>
    </row>
    <row r="437" spans="2:23" s="658" customFormat="1" ht="12.75">
      <c r="B437" s="654"/>
      <c r="C437" s="655"/>
      <c r="D437" s="631"/>
      <c r="E437" s="630" t="s">
        <v>290</v>
      </c>
      <c r="F437" s="631"/>
      <c r="G437" s="632"/>
      <c r="H437" s="1301" t="s">
        <v>291</v>
      </c>
      <c r="I437" s="1302"/>
      <c r="J437" s="1303"/>
      <c r="K437" s="977">
        <f aca="true" t="shared" si="155" ref="K437:S438">K438</f>
        <v>5300000</v>
      </c>
      <c r="L437" s="1142">
        <f t="shared" si="155"/>
        <v>2377360.56</v>
      </c>
      <c r="M437" s="1140">
        <f t="shared" si="155"/>
        <v>4877087</v>
      </c>
      <c r="N437" s="656">
        <f t="shared" si="155"/>
        <v>0</v>
      </c>
      <c r="O437" s="656">
        <f t="shared" si="155"/>
        <v>0</v>
      </c>
      <c r="P437" s="656">
        <f t="shared" si="155"/>
        <v>0</v>
      </c>
      <c r="Q437" s="656">
        <f t="shared" si="155"/>
        <v>1122913</v>
      </c>
      <c r="R437" s="656">
        <f t="shared" si="155"/>
        <v>0</v>
      </c>
      <c r="S437" s="657">
        <f t="shared" si="155"/>
        <v>0</v>
      </c>
      <c r="T437" s="657">
        <f t="shared" si="146"/>
        <v>1122913</v>
      </c>
      <c r="U437" s="890">
        <f t="shared" si="142"/>
        <v>6000000</v>
      </c>
      <c r="V437" s="890">
        <v>6000000</v>
      </c>
      <c r="W437" s="890">
        <v>6000000</v>
      </c>
    </row>
    <row r="438" spans="2:23" ht="12.75" customHeight="1">
      <c r="B438" s="287"/>
      <c r="C438" s="288"/>
      <c r="D438" s="435"/>
      <c r="E438" s="352" t="s">
        <v>308</v>
      </c>
      <c r="F438" s="435"/>
      <c r="G438" s="436"/>
      <c r="H438" s="1194" t="s">
        <v>1361</v>
      </c>
      <c r="I438" s="1195"/>
      <c r="J438" s="1196"/>
      <c r="K438" s="981">
        <f t="shared" si="155"/>
        <v>5300000</v>
      </c>
      <c r="L438" s="1148">
        <f t="shared" si="155"/>
        <v>2377360.56</v>
      </c>
      <c r="M438" s="1151">
        <f t="shared" si="155"/>
        <v>4877087</v>
      </c>
      <c r="N438" s="293">
        <f t="shared" si="155"/>
        <v>0</v>
      </c>
      <c r="O438" s="293">
        <f t="shared" si="155"/>
        <v>0</v>
      </c>
      <c r="P438" s="293">
        <f t="shared" si="155"/>
        <v>0</v>
      </c>
      <c r="Q438" s="293">
        <f t="shared" si="155"/>
        <v>1122913</v>
      </c>
      <c r="R438" s="293">
        <f t="shared" si="155"/>
        <v>0</v>
      </c>
      <c r="S438" s="340">
        <f t="shared" si="155"/>
        <v>0</v>
      </c>
      <c r="T438" s="340">
        <f t="shared" si="146"/>
        <v>1122913</v>
      </c>
      <c r="U438" s="674">
        <f t="shared" si="142"/>
        <v>6000000</v>
      </c>
      <c r="V438" s="674">
        <v>6000000</v>
      </c>
      <c r="W438" s="674">
        <v>6000000</v>
      </c>
    </row>
    <row r="439" spans="2:23" ht="12.75" customHeight="1">
      <c r="B439" s="437"/>
      <c r="C439" s="438"/>
      <c r="D439" s="182" t="s">
        <v>284</v>
      </c>
      <c r="E439" s="58"/>
      <c r="F439" s="439"/>
      <c r="G439" s="440"/>
      <c r="H439" s="1185" t="s">
        <v>119</v>
      </c>
      <c r="I439" s="1186"/>
      <c r="J439" s="452"/>
      <c r="K439" s="971">
        <f aca="true" t="shared" si="156" ref="K439:S439">SUM(K440:K453)</f>
        <v>5300000</v>
      </c>
      <c r="L439" s="997">
        <f t="shared" si="156"/>
        <v>2377360.56</v>
      </c>
      <c r="M439" s="750">
        <f t="shared" si="156"/>
        <v>4877087</v>
      </c>
      <c r="N439" s="69">
        <f t="shared" si="156"/>
        <v>0</v>
      </c>
      <c r="O439" s="69">
        <f t="shared" si="156"/>
        <v>0</v>
      </c>
      <c r="P439" s="69">
        <f t="shared" si="156"/>
        <v>0</v>
      </c>
      <c r="Q439" s="69">
        <f t="shared" si="156"/>
        <v>1122913</v>
      </c>
      <c r="R439" s="69">
        <f t="shared" si="156"/>
        <v>0</v>
      </c>
      <c r="S439" s="69">
        <f t="shared" si="156"/>
        <v>0</v>
      </c>
      <c r="T439" s="343">
        <f t="shared" si="146"/>
        <v>1122913</v>
      </c>
      <c r="U439" s="876">
        <f t="shared" si="142"/>
        <v>6000000</v>
      </c>
      <c r="V439" s="876">
        <v>6000000</v>
      </c>
      <c r="W439" s="876">
        <v>6000000</v>
      </c>
    </row>
    <row r="440" spans="2:23" ht="12.75">
      <c r="B440" s="356"/>
      <c r="C440" s="363"/>
      <c r="D440" s="358"/>
      <c r="E440" s="363"/>
      <c r="F440" s="374">
        <v>299</v>
      </c>
      <c r="G440" s="451">
        <v>411</v>
      </c>
      <c r="H440" s="1248" t="s">
        <v>27</v>
      </c>
      <c r="I440" s="1249"/>
      <c r="J440" s="1250"/>
      <c r="K440" s="958">
        <v>570000</v>
      </c>
      <c r="L440" s="958">
        <v>354824.32</v>
      </c>
      <c r="M440" s="966">
        <v>570000</v>
      </c>
      <c r="N440" s="417">
        <v>0</v>
      </c>
      <c r="O440" s="417">
        <v>0</v>
      </c>
      <c r="P440" s="417">
        <v>0</v>
      </c>
      <c r="Q440" s="420">
        <v>0</v>
      </c>
      <c r="R440" s="414">
        <v>0</v>
      </c>
      <c r="S440" s="420">
        <v>0</v>
      </c>
      <c r="T440" s="423">
        <f t="shared" si="146"/>
        <v>0</v>
      </c>
      <c r="U440" s="628">
        <f t="shared" si="142"/>
        <v>570000</v>
      </c>
      <c r="V440" s="628">
        <v>570000</v>
      </c>
      <c r="W440" s="628">
        <v>570000</v>
      </c>
    </row>
    <row r="441" spans="2:23" ht="12.75">
      <c r="B441" s="356"/>
      <c r="C441" s="363"/>
      <c r="D441" s="358"/>
      <c r="E441" s="363"/>
      <c r="F441" s="374">
        <v>300</v>
      </c>
      <c r="G441" s="451">
        <v>412</v>
      </c>
      <c r="H441" s="1248" t="s">
        <v>79</v>
      </c>
      <c r="I441" s="1249"/>
      <c r="J441" s="1250"/>
      <c r="K441" s="958">
        <v>98000</v>
      </c>
      <c r="L441" s="958">
        <v>59078.25000000001</v>
      </c>
      <c r="M441" s="958">
        <v>98000</v>
      </c>
      <c r="N441" s="417">
        <v>0</v>
      </c>
      <c r="O441" s="417">
        <v>0</v>
      </c>
      <c r="P441" s="417">
        <v>0</v>
      </c>
      <c r="Q441" s="420">
        <v>0</v>
      </c>
      <c r="R441" s="414">
        <v>0</v>
      </c>
      <c r="S441" s="420">
        <v>0</v>
      </c>
      <c r="T441" s="423">
        <f t="shared" si="146"/>
        <v>0</v>
      </c>
      <c r="U441" s="628">
        <f t="shared" si="142"/>
        <v>98000</v>
      </c>
      <c r="V441" s="628">
        <v>98000</v>
      </c>
      <c r="W441" s="628">
        <v>98000</v>
      </c>
    </row>
    <row r="442" spans="2:23" ht="12.75">
      <c r="B442" s="356"/>
      <c r="C442" s="363"/>
      <c r="D442" s="358"/>
      <c r="E442" s="363"/>
      <c r="F442" s="374">
        <v>301</v>
      </c>
      <c r="G442" s="451">
        <v>414</v>
      </c>
      <c r="H442" s="1188" t="s">
        <v>30</v>
      </c>
      <c r="I442" s="1189"/>
      <c r="J442" s="1190"/>
      <c r="K442" s="775">
        <v>50000</v>
      </c>
      <c r="L442" s="775">
        <v>0</v>
      </c>
      <c r="M442" s="775">
        <v>50000</v>
      </c>
      <c r="N442" s="417">
        <v>0</v>
      </c>
      <c r="O442" s="417">
        <v>0</v>
      </c>
      <c r="P442" s="417">
        <v>0</v>
      </c>
      <c r="Q442" s="420">
        <v>0</v>
      </c>
      <c r="R442" s="414">
        <v>0</v>
      </c>
      <c r="S442" s="420">
        <v>0</v>
      </c>
      <c r="T442" s="423">
        <f t="shared" si="146"/>
        <v>0</v>
      </c>
      <c r="U442" s="628">
        <f t="shared" si="142"/>
        <v>50000</v>
      </c>
      <c r="V442" s="628">
        <v>50000</v>
      </c>
      <c r="W442" s="628">
        <v>50000</v>
      </c>
    </row>
    <row r="443" spans="2:23" s="362" customFormat="1" ht="12.75">
      <c r="B443" s="356"/>
      <c r="C443" s="363"/>
      <c r="D443" s="358"/>
      <c r="E443" s="363"/>
      <c r="F443" s="374">
        <v>302</v>
      </c>
      <c r="G443" s="451">
        <v>421</v>
      </c>
      <c r="H443" s="1202" t="s">
        <v>33</v>
      </c>
      <c r="I443" s="1203"/>
      <c r="J443" s="1204"/>
      <c r="K443" s="958">
        <v>340000</v>
      </c>
      <c r="L443" s="958">
        <v>163745.63</v>
      </c>
      <c r="M443" s="958">
        <v>340000</v>
      </c>
      <c r="N443" s="417">
        <v>0</v>
      </c>
      <c r="O443" s="417">
        <v>0</v>
      </c>
      <c r="P443" s="417">
        <v>0</v>
      </c>
      <c r="Q443" s="420">
        <v>0</v>
      </c>
      <c r="R443" s="414">
        <v>0</v>
      </c>
      <c r="S443" s="420">
        <v>0</v>
      </c>
      <c r="T443" s="423">
        <f t="shared" si="146"/>
        <v>0</v>
      </c>
      <c r="U443" s="628">
        <f aca="true" t="shared" si="157" ref="U443:U493">SUM(M443:S443)</f>
        <v>340000</v>
      </c>
      <c r="V443" s="628">
        <v>340000</v>
      </c>
      <c r="W443" s="628">
        <v>340000</v>
      </c>
    </row>
    <row r="444" spans="2:23" s="362" customFormat="1" ht="12.75">
      <c r="B444" s="356"/>
      <c r="C444" s="363"/>
      <c r="D444" s="358"/>
      <c r="E444" s="363"/>
      <c r="F444" s="374">
        <v>303</v>
      </c>
      <c r="G444" s="451">
        <v>422</v>
      </c>
      <c r="H444" s="1202" t="s">
        <v>34</v>
      </c>
      <c r="I444" s="1203"/>
      <c r="J444" s="1204"/>
      <c r="K444" s="958">
        <v>100000</v>
      </c>
      <c r="L444" s="958">
        <v>0</v>
      </c>
      <c r="M444" s="958">
        <v>100000</v>
      </c>
      <c r="N444" s="417">
        <v>0</v>
      </c>
      <c r="O444" s="417">
        <v>0</v>
      </c>
      <c r="P444" s="417">
        <v>0</v>
      </c>
      <c r="Q444" s="420">
        <v>0</v>
      </c>
      <c r="R444" s="420">
        <v>0</v>
      </c>
      <c r="S444" s="420">
        <v>0</v>
      </c>
      <c r="T444" s="423">
        <f t="shared" si="146"/>
        <v>0</v>
      </c>
      <c r="U444" s="628">
        <f t="shared" si="157"/>
        <v>100000</v>
      </c>
      <c r="V444" s="628">
        <v>100000</v>
      </c>
      <c r="W444" s="628">
        <v>100000</v>
      </c>
    </row>
    <row r="445" spans="2:23" s="362" customFormat="1" ht="12.75">
      <c r="B445" s="356"/>
      <c r="C445" s="363"/>
      <c r="D445" s="358"/>
      <c r="E445" s="363"/>
      <c r="F445" s="374">
        <v>304</v>
      </c>
      <c r="G445" s="451">
        <v>423</v>
      </c>
      <c r="H445" s="1202" t="s">
        <v>35</v>
      </c>
      <c r="I445" s="1203"/>
      <c r="J445" s="1204"/>
      <c r="K445" s="958">
        <v>910000</v>
      </c>
      <c r="L445" s="958">
        <v>467293.94000000006</v>
      </c>
      <c r="M445" s="959">
        <v>910000</v>
      </c>
      <c r="N445" s="417">
        <v>0</v>
      </c>
      <c r="O445" s="417">
        <v>0</v>
      </c>
      <c r="P445" s="417">
        <v>0</v>
      </c>
      <c r="Q445" s="417">
        <v>0</v>
      </c>
      <c r="R445" s="417">
        <v>0</v>
      </c>
      <c r="S445" s="417">
        <v>0</v>
      </c>
      <c r="T445" s="423">
        <f t="shared" si="146"/>
        <v>0</v>
      </c>
      <c r="U445" s="628">
        <f t="shared" si="157"/>
        <v>910000</v>
      </c>
      <c r="V445" s="628">
        <v>910000</v>
      </c>
      <c r="W445" s="628">
        <v>910000</v>
      </c>
    </row>
    <row r="446" spans="2:23" s="362" customFormat="1" ht="12.75">
      <c r="B446" s="356"/>
      <c r="C446" s="363"/>
      <c r="D446" s="358"/>
      <c r="E446" s="363"/>
      <c r="F446" s="374">
        <v>305</v>
      </c>
      <c r="G446" s="451">
        <v>424</v>
      </c>
      <c r="H446" s="1248" t="s">
        <v>36</v>
      </c>
      <c r="I446" s="1249"/>
      <c r="J446" s="1250"/>
      <c r="K446" s="958">
        <v>50000</v>
      </c>
      <c r="L446" s="961">
        <v>0</v>
      </c>
      <c r="M446" s="999">
        <v>50000</v>
      </c>
      <c r="N446" s="410">
        <v>0</v>
      </c>
      <c r="O446" s="417">
        <v>0</v>
      </c>
      <c r="P446" s="417">
        <v>0</v>
      </c>
      <c r="Q446" s="417">
        <v>0</v>
      </c>
      <c r="R446" s="417">
        <v>0</v>
      </c>
      <c r="S446" s="417">
        <v>0</v>
      </c>
      <c r="T446" s="423">
        <f t="shared" si="146"/>
        <v>0</v>
      </c>
      <c r="U446" s="628">
        <f t="shared" si="157"/>
        <v>50000</v>
      </c>
      <c r="V446" s="628">
        <v>50000</v>
      </c>
      <c r="W446" s="628">
        <v>50000</v>
      </c>
    </row>
    <row r="447" spans="2:23" s="362" customFormat="1" ht="12.75">
      <c r="B447" s="356"/>
      <c r="C447" s="363"/>
      <c r="D447" s="358"/>
      <c r="E447" s="363"/>
      <c r="F447" s="403">
        <v>306</v>
      </c>
      <c r="G447" s="451">
        <v>425</v>
      </c>
      <c r="H447" s="1248" t="s">
        <v>121</v>
      </c>
      <c r="I447" s="1249"/>
      <c r="J447" s="1250"/>
      <c r="K447" s="958">
        <v>1291500</v>
      </c>
      <c r="L447" s="961">
        <v>279120</v>
      </c>
      <c r="M447" s="999">
        <v>812087</v>
      </c>
      <c r="N447" s="410">
        <v>0</v>
      </c>
      <c r="O447" s="417">
        <v>0</v>
      </c>
      <c r="P447" s="417">
        <v>0</v>
      </c>
      <c r="Q447" s="417">
        <v>800000</v>
      </c>
      <c r="R447" s="417">
        <v>0</v>
      </c>
      <c r="S447" s="417">
        <v>0</v>
      </c>
      <c r="T447" s="423">
        <f t="shared" si="146"/>
        <v>800000</v>
      </c>
      <c r="U447" s="628">
        <f t="shared" si="157"/>
        <v>1612087</v>
      </c>
      <c r="V447" s="628">
        <v>1612087</v>
      </c>
      <c r="W447" s="628">
        <v>1612087</v>
      </c>
    </row>
    <row r="448" spans="2:23" s="362" customFormat="1" ht="12.75">
      <c r="B448" s="356"/>
      <c r="C448" s="363"/>
      <c r="D448" s="358"/>
      <c r="E448" s="363"/>
      <c r="F448" s="403">
        <v>307</v>
      </c>
      <c r="G448" s="451">
        <v>426</v>
      </c>
      <c r="H448" s="1248" t="s">
        <v>38</v>
      </c>
      <c r="I448" s="1249"/>
      <c r="J448" s="1250"/>
      <c r="K448" s="958">
        <v>610000</v>
      </c>
      <c r="L448" s="961">
        <v>176749.5</v>
      </c>
      <c r="M448" s="999">
        <v>610000</v>
      </c>
      <c r="N448" s="410">
        <v>0</v>
      </c>
      <c r="O448" s="417">
        <v>0</v>
      </c>
      <c r="P448" s="417">
        <v>0</v>
      </c>
      <c r="Q448" s="417">
        <v>322913</v>
      </c>
      <c r="R448" s="417">
        <v>0</v>
      </c>
      <c r="S448" s="417">
        <v>0</v>
      </c>
      <c r="T448" s="423">
        <f t="shared" si="146"/>
        <v>322913</v>
      </c>
      <c r="U448" s="628">
        <f t="shared" si="157"/>
        <v>932913</v>
      </c>
      <c r="V448" s="628">
        <v>932913</v>
      </c>
      <c r="W448" s="628">
        <v>932913</v>
      </c>
    </row>
    <row r="449" spans="2:23" s="362" customFormat="1" ht="12.75">
      <c r="B449" s="356"/>
      <c r="C449" s="363"/>
      <c r="D449" s="358"/>
      <c r="E449" s="363"/>
      <c r="F449" s="403">
        <v>308</v>
      </c>
      <c r="G449" s="451">
        <v>441</v>
      </c>
      <c r="H449" s="1202" t="s">
        <v>1467</v>
      </c>
      <c r="I449" s="1203"/>
      <c r="J449" s="1204"/>
      <c r="K449" s="958">
        <v>10000</v>
      </c>
      <c r="L449" s="961">
        <v>246.74</v>
      </c>
      <c r="M449" s="999">
        <v>10000</v>
      </c>
      <c r="N449" s="410">
        <v>0</v>
      </c>
      <c r="O449" s="417">
        <v>0</v>
      </c>
      <c r="P449" s="417">
        <v>0</v>
      </c>
      <c r="Q449" s="420">
        <v>0</v>
      </c>
      <c r="R449" s="420">
        <v>0</v>
      </c>
      <c r="S449" s="420">
        <v>0</v>
      </c>
      <c r="T449" s="423">
        <f t="shared" si="146"/>
        <v>0</v>
      </c>
      <c r="U449" s="628">
        <f t="shared" si="157"/>
        <v>10000</v>
      </c>
      <c r="V449" s="628">
        <v>10000</v>
      </c>
      <c r="W449" s="628">
        <v>10000</v>
      </c>
    </row>
    <row r="450" spans="2:23" s="362" customFormat="1" ht="12.75">
      <c r="B450" s="356"/>
      <c r="C450" s="363"/>
      <c r="D450" s="358"/>
      <c r="E450" s="363"/>
      <c r="F450" s="403">
        <v>309</v>
      </c>
      <c r="G450" s="451">
        <v>465</v>
      </c>
      <c r="H450" s="1202" t="s">
        <v>216</v>
      </c>
      <c r="I450" s="1203"/>
      <c r="J450" s="1204"/>
      <c r="K450" s="958">
        <v>70000</v>
      </c>
      <c r="L450" s="961">
        <v>4702.18</v>
      </c>
      <c r="M450" s="999">
        <v>70000</v>
      </c>
      <c r="N450" s="410">
        <v>0</v>
      </c>
      <c r="O450" s="417">
        <v>0</v>
      </c>
      <c r="P450" s="417">
        <v>0</v>
      </c>
      <c r="Q450" s="420">
        <v>0</v>
      </c>
      <c r="R450" s="414">
        <v>0</v>
      </c>
      <c r="S450" s="420">
        <v>0</v>
      </c>
      <c r="T450" s="423">
        <f t="shared" si="146"/>
        <v>0</v>
      </c>
      <c r="U450" s="628">
        <f t="shared" si="157"/>
        <v>70000</v>
      </c>
      <c r="V450" s="628">
        <v>70000</v>
      </c>
      <c r="W450" s="628">
        <v>70000</v>
      </c>
    </row>
    <row r="451" spans="2:23" s="362" customFormat="1" ht="12.75">
      <c r="B451" s="356"/>
      <c r="C451" s="363"/>
      <c r="D451" s="358"/>
      <c r="E451" s="363"/>
      <c r="F451" s="403">
        <v>310</v>
      </c>
      <c r="G451" s="451">
        <v>481</v>
      </c>
      <c r="H451" s="1248" t="s">
        <v>122</v>
      </c>
      <c r="I451" s="1249"/>
      <c r="J451" s="1250"/>
      <c r="K451" s="958">
        <v>800000</v>
      </c>
      <c r="L451" s="961">
        <v>550000</v>
      </c>
      <c r="M451" s="999">
        <v>800000</v>
      </c>
      <c r="N451" s="410">
        <v>0</v>
      </c>
      <c r="O451" s="417">
        <v>0</v>
      </c>
      <c r="P451" s="417">
        <v>0</v>
      </c>
      <c r="Q451" s="420">
        <v>0</v>
      </c>
      <c r="R451" s="414">
        <v>0</v>
      </c>
      <c r="S451" s="420">
        <v>0</v>
      </c>
      <c r="T451" s="423">
        <f t="shared" si="146"/>
        <v>0</v>
      </c>
      <c r="U451" s="628">
        <f t="shared" si="157"/>
        <v>800000</v>
      </c>
      <c r="V451" s="628">
        <v>800000</v>
      </c>
      <c r="W451" s="628">
        <v>800000</v>
      </c>
    </row>
    <row r="452" spans="2:23" s="362" customFormat="1" ht="12.75">
      <c r="B452" s="356"/>
      <c r="C452" s="363"/>
      <c r="D452" s="358"/>
      <c r="E452" s="363"/>
      <c r="F452" s="403">
        <v>311</v>
      </c>
      <c r="G452" s="451">
        <v>482</v>
      </c>
      <c r="H452" s="1248" t="s">
        <v>123</v>
      </c>
      <c r="I452" s="1249"/>
      <c r="J452" s="1250"/>
      <c r="K452" s="958">
        <v>57000</v>
      </c>
      <c r="L452" s="961">
        <v>0</v>
      </c>
      <c r="M452" s="999">
        <v>57000</v>
      </c>
      <c r="N452" s="410">
        <v>0</v>
      </c>
      <c r="O452" s="417">
        <v>0</v>
      </c>
      <c r="P452" s="417">
        <v>0</v>
      </c>
      <c r="Q452" s="420">
        <v>0</v>
      </c>
      <c r="R452" s="414">
        <v>0</v>
      </c>
      <c r="S452" s="420">
        <v>0</v>
      </c>
      <c r="T452" s="423">
        <f t="shared" si="146"/>
        <v>0</v>
      </c>
      <c r="U452" s="628">
        <f t="shared" si="157"/>
        <v>57000</v>
      </c>
      <c r="V452" s="628">
        <v>57000</v>
      </c>
      <c r="W452" s="628">
        <v>57000</v>
      </c>
    </row>
    <row r="453" spans="2:23" ht="12.75">
      <c r="B453" s="356"/>
      <c r="C453" s="363"/>
      <c r="D453" s="358"/>
      <c r="E453" s="363"/>
      <c r="F453" s="403">
        <v>312</v>
      </c>
      <c r="G453" s="451">
        <v>512</v>
      </c>
      <c r="H453" s="373" t="s">
        <v>83</v>
      </c>
      <c r="I453" s="444"/>
      <c r="J453" s="445"/>
      <c r="K453" s="958">
        <v>343500</v>
      </c>
      <c r="L453" s="961">
        <v>321600</v>
      </c>
      <c r="M453" s="999">
        <v>400000</v>
      </c>
      <c r="N453" s="410">
        <v>0</v>
      </c>
      <c r="O453" s="417">
        <v>0</v>
      </c>
      <c r="P453" s="417">
        <v>0</v>
      </c>
      <c r="Q453" s="417">
        <v>0</v>
      </c>
      <c r="R453" s="414">
        <v>0</v>
      </c>
      <c r="S453" s="417">
        <v>0</v>
      </c>
      <c r="T453" s="423">
        <f t="shared" si="146"/>
        <v>0</v>
      </c>
      <c r="U453" s="628">
        <f t="shared" si="157"/>
        <v>400000</v>
      </c>
      <c r="V453" s="628">
        <v>400000</v>
      </c>
      <c r="W453" s="628">
        <v>400000</v>
      </c>
    </row>
    <row r="454" spans="2:23" s="362" customFormat="1" ht="12.75">
      <c r="B454" s="465"/>
      <c r="C454" s="473" t="s">
        <v>1324</v>
      </c>
      <c r="D454" s="703"/>
      <c r="E454" s="475"/>
      <c r="F454" s="474"/>
      <c r="G454" s="476"/>
      <c r="H454" s="1200" t="s">
        <v>124</v>
      </c>
      <c r="I454" s="1201"/>
      <c r="J454" s="1201"/>
      <c r="K454" s="996">
        <f>K457</f>
        <v>1760000</v>
      </c>
      <c r="L454" s="996">
        <f>L457</f>
        <v>935891.43</v>
      </c>
      <c r="M454" s="1150">
        <f>M457</f>
        <v>1760000</v>
      </c>
      <c r="N454" s="1149">
        <f aca="true" t="shared" si="158" ref="N454:S454">N457</f>
        <v>0</v>
      </c>
      <c r="O454" s="430">
        <f>O457</f>
        <v>0</v>
      </c>
      <c r="P454" s="430">
        <f t="shared" si="158"/>
        <v>0</v>
      </c>
      <c r="Q454" s="430">
        <f t="shared" si="158"/>
        <v>0</v>
      </c>
      <c r="R454" s="430">
        <f>R457</f>
        <v>0</v>
      </c>
      <c r="S454" s="479">
        <f t="shared" si="158"/>
        <v>0</v>
      </c>
      <c r="T454" s="478">
        <f t="shared" si="146"/>
        <v>0</v>
      </c>
      <c r="U454" s="889">
        <f t="shared" si="157"/>
        <v>1760000</v>
      </c>
      <c r="V454" s="889">
        <v>1760000</v>
      </c>
      <c r="W454" s="889">
        <v>1760000</v>
      </c>
    </row>
    <row r="455" spans="2:23" s="658" customFormat="1" ht="12.75">
      <c r="B455" s="654"/>
      <c r="C455" s="655"/>
      <c r="D455" s="631"/>
      <c r="E455" s="630" t="s">
        <v>290</v>
      </c>
      <c r="F455" s="631"/>
      <c r="G455" s="632"/>
      <c r="H455" s="1278" t="s">
        <v>291</v>
      </c>
      <c r="I455" s="1279"/>
      <c r="J455" s="1280"/>
      <c r="K455" s="956">
        <f aca="true" t="shared" si="159" ref="K455:S456">K456</f>
        <v>1760000</v>
      </c>
      <c r="L455" s="1147">
        <f t="shared" si="159"/>
        <v>935891.43</v>
      </c>
      <c r="M455" s="1001">
        <f t="shared" si="159"/>
        <v>1760000</v>
      </c>
      <c r="N455" s="656">
        <f t="shared" si="159"/>
        <v>0</v>
      </c>
      <c r="O455" s="656">
        <f t="shared" si="159"/>
        <v>0</v>
      </c>
      <c r="P455" s="656">
        <f t="shared" si="159"/>
        <v>0</v>
      </c>
      <c r="Q455" s="656">
        <f t="shared" si="159"/>
        <v>0</v>
      </c>
      <c r="R455" s="656">
        <f t="shared" si="159"/>
        <v>0</v>
      </c>
      <c r="S455" s="657">
        <f t="shared" si="159"/>
        <v>0</v>
      </c>
      <c r="T455" s="657">
        <f t="shared" si="146"/>
        <v>0</v>
      </c>
      <c r="U455" s="890">
        <f t="shared" si="157"/>
        <v>1760000</v>
      </c>
      <c r="V455" s="890">
        <v>1760000</v>
      </c>
      <c r="W455" s="890">
        <v>1760000</v>
      </c>
    </row>
    <row r="456" spans="2:23" s="362" customFormat="1" ht="12.75" customHeight="1">
      <c r="B456" s="287"/>
      <c r="C456" s="288"/>
      <c r="D456" s="435"/>
      <c r="E456" s="352" t="s">
        <v>308</v>
      </c>
      <c r="F456" s="435"/>
      <c r="G456" s="436"/>
      <c r="H456" s="1194" t="s">
        <v>1361</v>
      </c>
      <c r="I456" s="1195"/>
      <c r="J456" s="1196"/>
      <c r="K456" s="981">
        <f t="shared" si="159"/>
        <v>1760000</v>
      </c>
      <c r="L456" s="1148">
        <f t="shared" si="159"/>
        <v>935891.43</v>
      </c>
      <c r="M456" s="1151">
        <f t="shared" si="159"/>
        <v>1760000</v>
      </c>
      <c r="N456" s="293">
        <f t="shared" si="159"/>
        <v>0</v>
      </c>
      <c r="O456" s="293">
        <f t="shared" si="159"/>
        <v>0</v>
      </c>
      <c r="P456" s="293">
        <f t="shared" si="159"/>
        <v>0</v>
      </c>
      <c r="Q456" s="293">
        <f t="shared" si="159"/>
        <v>0</v>
      </c>
      <c r="R456" s="293">
        <f t="shared" si="159"/>
        <v>0</v>
      </c>
      <c r="S456" s="340">
        <f t="shared" si="159"/>
        <v>0</v>
      </c>
      <c r="T456" s="340">
        <f t="shared" si="146"/>
        <v>0</v>
      </c>
      <c r="U456" s="674">
        <f t="shared" si="157"/>
        <v>1760000</v>
      </c>
      <c r="V456" s="674">
        <v>1760000</v>
      </c>
      <c r="W456" s="674">
        <v>1760000</v>
      </c>
    </row>
    <row r="457" spans="2:23" s="42" customFormat="1" ht="12.75">
      <c r="B457" s="561"/>
      <c r="C457" s="562"/>
      <c r="D457" s="182" t="s">
        <v>284</v>
      </c>
      <c r="E457" s="58"/>
      <c r="F457" s="563"/>
      <c r="G457" s="564"/>
      <c r="H457" s="1185" t="s">
        <v>119</v>
      </c>
      <c r="I457" s="1186"/>
      <c r="J457" s="753"/>
      <c r="K457" s="554">
        <f>SUM(K458:K466)</f>
        <v>1760000</v>
      </c>
      <c r="L457" s="554">
        <f>SUM(L458:L466)</f>
        <v>935891.43</v>
      </c>
      <c r="M457" s="385">
        <f>SUM(M458:M466)</f>
        <v>1760000</v>
      </c>
      <c r="N457" s="69">
        <f aca="true" t="shared" si="160" ref="N457:T457">SUM(N458:N465)</f>
        <v>0</v>
      </c>
      <c r="O457" s="69">
        <f t="shared" si="160"/>
        <v>0</v>
      </c>
      <c r="P457" s="69">
        <f t="shared" si="160"/>
        <v>0</v>
      </c>
      <c r="Q457" s="69">
        <f t="shared" si="160"/>
        <v>0</v>
      </c>
      <c r="R457" s="69">
        <f t="shared" si="160"/>
        <v>0</v>
      </c>
      <c r="S457" s="69">
        <f t="shared" si="160"/>
        <v>0</v>
      </c>
      <c r="T457" s="69">
        <f t="shared" si="160"/>
        <v>0</v>
      </c>
      <c r="U457" s="876">
        <f t="shared" si="157"/>
        <v>1760000</v>
      </c>
      <c r="V457" s="876">
        <v>1760000</v>
      </c>
      <c r="W457" s="876">
        <v>1760000</v>
      </c>
    </row>
    <row r="458" spans="2:23" s="362" customFormat="1" ht="12.75">
      <c r="B458" s="480"/>
      <c r="C458" s="481"/>
      <c r="D458" s="482"/>
      <c r="E458" s="481"/>
      <c r="F458" s="439">
        <v>313</v>
      </c>
      <c r="G458" s="483">
        <v>411</v>
      </c>
      <c r="H458" s="1248" t="s">
        <v>27</v>
      </c>
      <c r="I458" s="1249"/>
      <c r="J458" s="1250"/>
      <c r="K458" s="958">
        <v>520000</v>
      </c>
      <c r="L458" s="958">
        <v>350696</v>
      </c>
      <c r="M458" s="958">
        <v>520000</v>
      </c>
      <c r="N458" s="417">
        <v>0</v>
      </c>
      <c r="O458" s="417">
        <v>0</v>
      </c>
      <c r="P458" s="417">
        <v>0</v>
      </c>
      <c r="Q458" s="420">
        <v>0</v>
      </c>
      <c r="R458" s="414">
        <v>0</v>
      </c>
      <c r="S458" s="420">
        <v>0</v>
      </c>
      <c r="T458" s="423">
        <f t="shared" si="146"/>
        <v>0</v>
      </c>
      <c r="U458" s="628">
        <f t="shared" si="157"/>
        <v>520000</v>
      </c>
      <c r="V458" s="628">
        <v>520000</v>
      </c>
      <c r="W458" s="628">
        <v>520000</v>
      </c>
    </row>
    <row r="459" spans="2:23" s="362" customFormat="1" ht="12.75">
      <c r="B459" s="356"/>
      <c r="C459" s="363"/>
      <c r="D459" s="358"/>
      <c r="E459" s="368"/>
      <c r="F459" s="439">
        <v>314</v>
      </c>
      <c r="G459" s="451">
        <v>412</v>
      </c>
      <c r="H459" s="1248" t="s">
        <v>79</v>
      </c>
      <c r="I459" s="1249"/>
      <c r="J459" s="1250"/>
      <c r="K459" s="958">
        <v>96000</v>
      </c>
      <c r="L459" s="958">
        <v>58390.899999999994</v>
      </c>
      <c r="M459" s="958">
        <v>96000</v>
      </c>
      <c r="N459" s="417">
        <v>0</v>
      </c>
      <c r="O459" s="417">
        <v>0</v>
      </c>
      <c r="P459" s="417">
        <v>0</v>
      </c>
      <c r="Q459" s="420">
        <v>0</v>
      </c>
      <c r="R459" s="414">
        <v>0</v>
      </c>
      <c r="S459" s="420">
        <v>0</v>
      </c>
      <c r="T459" s="423">
        <f t="shared" si="146"/>
        <v>0</v>
      </c>
      <c r="U459" s="628">
        <f t="shared" si="157"/>
        <v>96000</v>
      </c>
      <c r="V459" s="628">
        <v>96000</v>
      </c>
      <c r="W459" s="628">
        <v>96000</v>
      </c>
    </row>
    <row r="460" spans="2:23" s="362" customFormat="1" ht="12.75">
      <c r="B460" s="356"/>
      <c r="C460" s="363"/>
      <c r="D460" s="358"/>
      <c r="E460" s="368"/>
      <c r="F460" s="439">
        <v>315</v>
      </c>
      <c r="G460" s="451">
        <v>421</v>
      </c>
      <c r="H460" s="1248" t="s">
        <v>33</v>
      </c>
      <c r="I460" s="1249"/>
      <c r="J460" s="460"/>
      <c r="K460" s="979">
        <v>290000</v>
      </c>
      <c r="L460" s="979">
        <v>257324.57000000004</v>
      </c>
      <c r="M460" s="979">
        <v>290000</v>
      </c>
      <c r="N460" s="417">
        <v>0</v>
      </c>
      <c r="O460" s="417">
        <v>0</v>
      </c>
      <c r="P460" s="417">
        <v>0</v>
      </c>
      <c r="Q460" s="420">
        <v>0</v>
      </c>
      <c r="R460" s="414">
        <v>0</v>
      </c>
      <c r="S460" s="420">
        <v>0</v>
      </c>
      <c r="T460" s="423">
        <f t="shared" si="146"/>
        <v>0</v>
      </c>
      <c r="U460" s="628">
        <f t="shared" si="157"/>
        <v>290000</v>
      </c>
      <c r="V460" s="628">
        <v>290000</v>
      </c>
      <c r="W460" s="628">
        <v>290000</v>
      </c>
    </row>
    <row r="461" spans="2:23" s="362" customFormat="1" ht="12.75">
      <c r="B461" s="356"/>
      <c r="C461" s="363"/>
      <c r="D461" s="358"/>
      <c r="E461" s="368"/>
      <c r="F461" s="439">
        <v>316</v>
      </c>
      <c r="G461" s="451">
        <v>423</v>
      </c>
      <c r="H461" s="1202" t="s">
        <v>35</v>
      </c>
      <c r="I461" s="1203"/>
      <c r="J461" s="1204"/>
      <c r="K461" s="958">
        <v>170000</v>
      </c>
      <c r="L461" s="958">
        <v>92746</v>
      </c>
      <c r="M461" s="958">
        <v>170000</v>
      </c>
      <c r="N461" s="417">
        <v>0</v>
      </c>
      <c r="O461" s="417">
        <v>0</v>
      </c>
      <c r="P461" s="417">
        <v>0</v>
      </c>
      <c r="Q461" s="420">
        <v>0</v>
      </c>
      <c r="R461" s="414">
        <v>0</v>
      </c>
      <c r="S461" s="420">
        <v>0</v>
      </c>
      <c r="T461" s="423">
        <f t="shared" si="146"/>
        <v>0</v>
      </c>
      <c r="U461" s="628">
        <f t="shared" si="157"/>
        <v>170000</v>
      </c>
      <c r="V461" s="628">
        <v>170000</v>
      </c>
      <c r="W461" s="628">
        <v>170000</v>
      </c>
    </row>
    <row r="462" spans="2:23" ht="12.75" customHeight="1">
      <c r="B462" s="356"/>
      <c r="C462" s="363"/>
      <c r="D462" s="358"/>
      <c r="E462" s="368"/>
      <c r="F462" s="439">
        <v>317</v>
      </c>
      <c r="G462" s="451">
        <v>425</v>
      </c>
      <c r="H462" s="1248" t="s">
        <v>91</v>
      </c>
      <c r="I462" s="1249"/>
      <c r="J462" s="1250"/>
      <c r="K462" s="958">
        <v>134000</v>
      </c>
      <c r="L462" s="958">
        <v>14640</v>
      </c>
      <c r="M462" s="958">
        <v>134000</v>
      </c>
      <c r="N462" s="417">
        <v>0</v>
      </c>
      <c r="O462" s="417">
        <v>0</v>
      </c>
      <c r="P462" s="417">
        <v>0</v>
      </c>
      <c r="Q462" s="420">
        <v>0</v>
      </c>
      <c r="R462" s="414">
        <v>0</v>
      </c>
      <c r="S462" s="420">
        <v>0</v>
      </c>
      <c r="T462" s="423">
        <f t="shared" si="146"/>
        <v>0</v>
      </c>
      <c r="U462" s="628">
        <f t="shared" si="157"/>
        <v>134000</v>
      </c>
      <c r="V462" s="628">
        <v>134000</v>
      </c>
      <c r="W462" s="628">
        <v>134000</v>
      </c>
    </row>
    <row r="463" spans="2:23" ht="12.75">
      <c r="B463" s="356"/>
      <c r="C463" s="363"/>
      <c r="D463" s="358"/>
      <c r="E463" s="368"/>
      <c r="F463" s="439">
        <v>318</v>
      </c>
      <c r="G463" s="451">
        <v>426</v>
      </c>
      <c r="H463" s="386" t="s">
        <v>38</v>
      </c>
      <c r="I463" s="484"/>
      <c r="J463" s="460"/>
      <c r="K463" s="979">
        <v>224000</v>
      </c>
      <c r="L463" s="979">
        <v>129392.52</v>
      </c>
      <c r="M463" s="979">
        <v>224000</v>
      </c>
      <c r="N463" s="417">
        <v>0</v>
      </c>
      <c r="O463" s="417">
        <v>0</v>
      </c>
      <c r="P463" s="417">
        <v>0</v>
      </c>
      <c r="Q463" s="420">
        <v>0</v>
      </c>
      <c r="R463" s="414">
        <v>0</v>
      </c>
      <c r="S463" s="420">
        <v>0</v>
      </c>
      <c r="T463" s="423">
        <f t="shared" si="146"/>
        <v>0</v>
      </c>
      <c r="U463" s="628">
        <f t="shared" si="157"/>
        <v>224000</v>
      </c>
      <c r="V463" s="628">
        <v>224000</v>
      </c>
      <c r="W463" s="628">
        <v>224000</v>
      </c>
    </row>
    <row r="464" spans="2:23" s="362" customFormat="1" ht="12.75">
      <c r="B464" s="356"/>
      <c r="C464" s="363"/>
      <c r="D464" s="358"/>
      <c r="E464" s="368"/>
      <c r="F464" s="439">
        <v>320</v>
      </c>
      <c r="G464" s="451">
        <v>465</v>
      </c>
      <c r="H464" s="386" t="s">
        <v>216</v>
      </c>
      <c r="I464" s="442"/>
      <c r="J464" s="443"/>
      <c r="K464" s="959">
        <v>60000</v>
      </c>
      <c r="L464" s="959">
        <v>4731.44</v>
      </c>
      <c r="M464" s="959">
        <v>60000</v>
      </c>
      <c r="N464" s="417">
        <v>0</v>
      </c>
      <c r="O464" s="417">
        <v>0</v>
      </c>
      <c r="P464" s="417">
        <v>0</v>
      </c>
      <c r="Q464" s="420">
        <v>0</v>
      </c>
      <c r="R464" s="414">
        <v>0</v>
      </c>
      <c r="S464" s="420">
        <v>0</v>
      </c>
      <c r="T464" s="423">
        <f t="shared" si="146"/>
        <v>0</v>
      </c>
      <c r="U464" s="628">
        <f t="shared" si="157"/>
        <v>60000</v>
      </c>
      <c r="V464" s="628">
        <v>60000</v>
      </c>
      <c r="W464" s="628">
        <v>60000</v>
      </c>
    </row>
    <row r="465" spans="2:23" s="362" customFormat="1" ht="12.75">
      <c r="B465" s="356"/>
      <c r="C465" s="363"/>
      <c r="D465" s="358"/>
      <c r="E465" s="368"/>
      <c r="F465" s="439">
        <v>321</v>
      </c>
      <c r="G465" s="451">
        <v>482</v>
      </c>
      <c r="H465" s="1248" t="s">
        <v>82</v>
      </c>
      <c r="I465" s="1249"/>
      <c r="J465" s="1249"/>
      <c r="K465" s="999">
        <v>220000</v>
      </c>
      <c r="L465" s="999">
        <v>0</v>
      </c>
      <c r="M465" s="999">
        <v>220000</v>
      </c>
      <c r="N465" s="410">
        <v>0</v>
      </c>
      <c r="O465" s="417">
        <v>0</v>
      </c>
      <c r="P465" s="417">
        <v>0</v>
      </c>
      <c r="Q465" s="420">
        <v>0</v>
      </c>
      <c r="R465" s="414">
        <v>0</v>
      </c>
      <c r="S465" s="420">
        <v>0</v>
      </c>
      <c r="T465" s="423">
        <f t="shared" si="146"/>
        <v>0</v>
      </c>
      <c r="U465" s="628">
        <f t="shared" si="157"/>
        <v>220000</v>
      </c>
      <c r="V465" s="628">
        <v>220000</v>
      </c>
      <c r="W465" s="628">
        <v>220000</v>
      </c>
    </row>
    <row r="466" spans="2:23" s="362" customFormat="1" ht="12.75">
      <c r="B466" s="356"/>
      <c r="C466" s="363"/>
      <c r="D466" s="358"/>
      <c r="E466" s="368"/>
      <c r="F466" s="439">
        <v>322</v>
      </c>
      <c r="G466" s="451">
        <v>512</v>
      </c>
      <c r="H466" s="386" t="s">
        <v>83</v>
      </c>
      <c r="I466" s="442"/>
      <c r="J466" s="442"/>
      <c r="K466" s="999">
        <v>46000</v>
      </c>
      <c r="L466" s="999">
        <v>27970</v>
      </c>
      <c r="M466" s="999">
        <v>46000</v>
      </c>
      <c r="N466" s="410">
        <v>0</v>
      </c>
      <c r="O466" s="417">
        <v>0</v>
      </c>
      <c r="P466" s="417">
        <v>0</v>
      </c>
      <c r="Q466" s="420">
        <v>0</v>
      </c>
      <c r="R466" s="414">
        <v>0</v>
      </c>
      <c r="S466" s="420">
        <v>0</v>
      </c>
      <c r="T466" s="423">
        <f t="shared" si="146"/>
        <v>0</v>
      </c>
      <c r="U466" s="628">
        <f t="shared" si="157"/>
        <v>46000</v>
      </c>
      <c r="V466" s="628">
        <v>46000</v>
      </c>
      <c r="W466" s="628">
        <v>46000</v>
      </c>
    </row>
    <row r="467" spans="2:23" s="362" customFormat="1" ht="12.75">
      <c r="B467" s="465"/>
      <c r="C467" s="473" t="s">
        <v>1325</v>
      </c>
      <c r="D467" s="474"/>
      <c r="E467" s="475"/>
      <c r="F467" s="474"/>
      <c r="G467" s="476"/>
      <c r="H467" s="1200" t="s">
        <v>125</v>
      </c>
      <c r="I467" s="1201"/>
      <c r="J467" s="1201"/>
      <c r="K467" s="1169">
        <f>K470</f>
        <v>1791000</v>
      </c>
      <c r="L467" s="1169">
        <f>L470</f>
        <v>661720.8200000001</v>
      </c>
      <c r="M467" s="1169">
        <f>M470</f>
        <v>2191000</v>
      </c>
      <c r="N467" s="430">
        <f aca="true" t="shared" si="161" ref="N467:S467">N470</f>
        <v>0</v>
      </c>
      <c r="O467" s="430">
        <f>O470</f>
        <v>0</v>
      </c>
      <c r="P467" s="430">
        <f t="shared" si="161"/>
        <v>0</v>
      </c>
      <c r="Q467" s="430">
        <f t="shared" si="161"/>
        <v>28800</v>
      </c>
      <c r="R467" s="430">
        <f>R470</f>
        <v>0</v>
      </c>
      <c r="S467" s="479">
        <f t="shared" si="161"/>
        <v>0</v>
      </c>
      <c r="T467" s="478">
        <f t="shared" si="146"/>
        <v>28800</v>
      </c>
      <c r="U467" s="889">
        <f t="shared" si="157"/>
        <v>2219800</v>
      </c>
      <c r="V467" s="889">
        <v>2219800</v>
      </c>
      <c r="W467" s="889">
        <v>2219800</v>
      </c>
    </row>
    <row r="468" spans="2:23" s="658" customFormat="1" ht="12.75">
      <c r="B468" s="654"/>
      <c r="C468" s="655"/>
      <c r="D468" s="631"/>
      <c r="E468" s="630" t="s">
        <v>290</v>
      </c>
      <c r="F468" s="631"/>
      <c r="G468" s="632"/>
      <c r="H468" s="1278" t="s">
        <v>291</v>
      </c>
      <c r="I468" s="1279"/>
      <c r="J468" s="1280"/>
      <c r="K468" s="956">
        <f aca="true" t="shared" si="162" ref="K468:S469">K469</f>
        <v>1791000</v>
      </c>
      <c r="L468" s="956">
        <f t="shared" si="162"/>
        <v>661720.8200000001</v>
      </c>
      <c r="M468" s="956">
        <f t="shared" si="162"/>
        <v>2191000</v>
      </c>
      <c r="N468" s="656">
        <f t="shared" si="162"/>
        <v>0</v>
      </c>
      <c r="O468" s="656">
        <f t="shared" si="162"/>
        <v>0</v>
      </c>
      <c r="P468" s="656">
        <f t="shared" si="162"/>
        <v>0</v>
      </c>
      <c r="Q468" s="656">
        <f t="shared" si="162"/>
        <v>28800</v>
      </c>
      <c r="R468" s="656">
        <f t="shared" si="162"/>
        <v>0</v>
      </c>
      <c r="S468" s="657">
        <f t="shared" si="162"/>
        <v>0</v>
      </c>
      <c r="T468" s="657">
        <f t="shared" si="146"/>
        <v>28800</v>
      </c>
      <c r="U468" s="890">
        <f t="shared" si="157"/>
        <v>2219800</v>
      </c>
      <c r="V468" s="890">
        <v>2219800</v>
      </c>
      <c r="W468" s="890">
        <v>2219800</v>
      </c>
    </row>
    <row r="469" spans="2:23" ht="12.75" customHeight="1">
      <c r="B469" s="287"/>
      <c r="C469" s="288"/>
      <c r="D469" s="435"/>
      <c r="E469" s="352" t="s">
        <v>308</v>
      </c>
      <c r="F469" s="435"/>
      <c r="G469" s="436"/>
      <c r="H469" s="1194" t="s">
        <v>1361</v>
      </c>
      <c r="I469" s="1195"/>
      <c r="J469" s="1196"/>
      <c r="K469" s="981">
        <f t="shared" si="162"/>
        <v>1791000</v>
      </c>
      <c r="L469" s="981">
        <f t="shared" si="162"/>
        <v>661720.8200000001</v>
      </c>
      <c r="M469" s="981">
        <f t="shared" si="162"/>
        <v>2191000</v>
      </c>
      <c r="N469" s="293">
        <f t="shared" si="162"/>
        <v>0</v>
      </c>
      <c r="O469" s="293">
        <f t="shared" si="162"/>
        <v>0</v>
      </c>
      <c r="P469" s="293">
        <f t="shared" si="162"/>
        <v>0</v>
      </c>
      <c r="Q469" s="293">
        <f t="shared" si="162"/>
        <v>28800</v>
      </c>
      <c r="R469" s="293">
        <f t="shared" si="162"/>
        <v>0</v>
      </c>
      <c r="S469" s="340">
        <f t="shared" si="162"/>
        <v>0</v>
      </c>
      <c r="T469" s="340">
        <f t="shared" si="146"/>
        <v>28800</v>
      </c>
      <c r="U469" s="674">
        <f t="shared" si="157"/>
        <v>2219800</v>
      </c>
      <c r="V469" s="674">
        <v>2219800</v>
      </c>
      <c r="W469" s="674">
        <v>2219800</v>
      </c>
    </row>
    <row r="470" spans="2:23" ht="12" customHeight="1">
      <c r="B470" s="437"/>
      <c r="C470" s="438"/>
      <c r="D470" s="182" t="s">
        <v>284</v>
      </c>
      <c r="E470" s="58"/>
      <c r="F470" s="439"/>
      <c r="G470" s="440"/>
      <c r="H470" s="1309" t="s">
        <v>119</v>
      </c>
      <c r="I470" s="1310"/>
      <c r="J470" s="456"/>
      <c r="K470" s="1002">
        <f aca="true" t="shared" si="163" ref="K470:S470">SUM(K471:K479)</f>
        <v>1791000</v>
      </c>
      <c r="L470" s="1002">
        <f t="shared" si="163"/>
        <v>661720.8200000001</v>
      </c>
      <c r="M470" s="1002">
        <f t="shared" si="163"/>
        <v>2191000</v>
      </c>
      <c r="N470" s="725">
        <f t="shared" si="163"/>
        <v>0</v>
      </c>
      <c r="O470" s="725">
        <f t="shared" si="163"/>
        <v>0</v>
      </c>
      <c r="P470" s="725">
        <f t="shared" si="163"/>
        <v>0</v>
      </c>
      <c r="Q470" s="725">
        <f t="shared" si="163"/>
        <v>28800</v>
      </c>
      <c r="R470" s="725">
        <f t="shared" si="163"/>
        <v>0</v>
      </c>
      <c r="S470" s="725">
        <f t="shared" si="163"/>
        <v>0</v>
      </c>
      <c r="T470" s="343">
        <f t="shared" si="146"/>
        <v>28800</v>
      </c>
      <c r="U470" s="876">
        <f t="shared" si="157"/>
        <v>2219800</v>
      </c>
      <c r="V470" s="876">
        <v>2219800</v>
      </c>
      <c r="W470" s="876">
        <v>2219800</v>
      </c>
    </row>
    <row r="471" spans="2:23" ht="12.75">
      <c r="B471" s="437"/>
      <c r="C471" s="438"/>
      <c r="D471" s="58"/>
      <c r="E471" s="58"/>
      <c r="F471" s="489">
        <v>323</v>
      </c>
      <c r="G471" s="359">
        <v>411</v>
      </c>
      <c r="H471" s="1316" t="s">
        <v>27</v>
      </c>
      <c r="I471" s="1317"/>
      <c r="J471" s="485"/>
      <c r="K471" s="999">
        <v>460000</v>
      </c>
      <c r="L471" s="999">
        <v>325967.96</v>
      </c>
      <c r="M471" s="999">
        <v>500000</v>
      </c>
      <c r="N471" s="410">
        <v>0</v>
      </c>
      <c r="O471" s="410">
        <v>0</v>
      </c>
      <c r="P471" s="410">
        <v>0</v>
      </c>
      <c r="Q471" s="410">
        <v>0</v>
      </c>
      <c r="R471" s="414">
        <v>0</v>
      </c>
      <c r="S471" s="423">
        <v>0</v>
      </c>
      <c r="T471" s="423">
        <f t="shared" si="146"/>
        <v>0</v>
      </c>
      <c r="U471" s="820">
        <f t="shared" si="157"/>
        <v>500000</v>
      </c>
      <c r="V471" s="820">
        <v>500000</v>
      </c>
      <c r="W471" s="820">
        <v>500000</v>
      </c>
    </row>
    <row r="472" spans="2:23" s="362" customFormat="1" ht="12.75">
      <c r="B472" s="437"/>
      <c r="C472" s="438"/>
      <c r="D472" s="58"/>
      <c r="E472" s="58"/>
      <c r="F472" s="489">
        <v>324</v>
      </c>
      <c r="G472" s="359">
        <v>412</v>
      </c>
      <c r="H472" s="1314" t="s">
        <v>79</v>
      </c>
      <c r="I472" s="1260"/>
      <c r="J472" s="1260"/>
      <c r="K472" s="999">
        <v>85000</v>
      </c>
      <c r="L472" s="999">
        <v>54273.65999999999</v>
      </c>
      <c r="M472" s="999">
        <v>85000</v>
      </c>
      <c r="N472" s="410">
        <v>0</v>
      </c>
      <c r="O472" s="410">
        <v>0</v>
      </c>
      <c r="P472" s="410">
        <v>0</v>
      </c>
      <c r="Q472" s="410">
        <v>0</v>
      </c>
      <c r="R472" s="414">
        <v>0</v>
      </c>
      <c r="S472" s="423">
        <v>0</v>
      </c>
      <c r="T472" s="423">
        <f aca="true" t="shared" si="164" ref="T472:T516">SUM(N472:S472)</f>
        <v>0</v>
      </c>
      <c r="U472" s="820">
        <f t="shared" si="157"/>
        <v>85000</v>
      </c>
      <c r="V472" s="820">
        <v>85000</v>
      </c>
      <c r="W472" s="820">
        <v>85000</v>
      </c>
    </row>
    <row r="473" spans="2:23" s="362" customFormat="1" ht="12.75">
      <c r="B473" s="356"/>
      <c r="C473" s="363"/>
      <c r="D473" s="358"/>
      <c r="E473" s="363"/>
      <c r="F473" s="489">
        <v>325</v>
      </c>
      <c r="G473" s="451">
        <v>421</v>
      </c>
      <c r="H473" s="1307" t="s">
        <v>33</v>
      </c>
      <c r="I473" s="1308"/>
      <c r="J473" s="486"/>
      <c r="K473" s="1139">
        <v>235000</v>
      </c>
      <c r="L473" s="1139">
        <v>91359.70000000007</v>
      </c>
      <c r="M473" s="1139">
        <v>277000</v>
      </c>
      <c r="N473" s="410">
        <v>0</v>
      </c>
      <c r="O473" s="410">
        <v>0</v>
      </c>
      <c r="P473" s="417">
        <v>0</v>
      </c>
      <c r="Q473" s="420">
        <v>0</v>
      </c>
      <c r="R473" s="414">
        <v>0</v>
      </c>
      <c r="S473" s="420">
        <v>0</v>
      </c>
      <c r="T473" s="423">
        <f t="shared" si="164"/>
        <v>0</v>
      </c>
      <c r="U473" s="628">
        <f t="shared" si="157"/>
        <v>277000</v>
      </c>
      <c r="V473" s="628">
        <v>277000</v>
      </c>
      <c r="W473" s="628">
        <v>277000</v>
      </c>
    </row>
    <row r="474" spans="2:23" s="362" customFormat="1" ht="12.75">
      <c r="B474" s="356"/>
      <c r="C474" s="363"/>
      <c r="D474" s="358"/>
      <c r="E474" s="363"/>
      <c r="F474" s="489">
        <v>326</v>
      </c>
      <c r="G474" s="451">
        <v>423</v>
      </c>
      <c r="H474" s="386" t="s">
        <v>35</v>
      </c>
      <c r="I474" s="442"/>
      <c r="J474" s="460"/>
      <c r="K474" s="974">
        <v>305000</v>
      </c>
      <c r="L474" s="974">
        <v>122180.61</v>
      </c>
      <c r="M474" s="974">
        <v>340000</v>
      </c>
      <c r="N474" s="410">
        <v>0</v>
      </c>
      <c r="O474" s="410">
        <v>0</v>
      </c>
      <c r="P474" s="417">
        <v>0</v>
      </c>
      <c r="Q474" s="420">
        <v>0</v>
      </c>
      <c r="R474" s="414">
        <v>0</v>
      </c>
      <c r="S474" s="420">
        <v>0</v>
      </c>
      <c r="T474" s="423">
        <f t="shared" si="164"/>
        <v>0</v>
      </c>
      <c r="U474" s="628">
        <f t="shared" si="157"/>
        <v>340000</v>
      </c>
      <c r="V474" s="628">
        <v>340000</v>
      </c>
      <c r="W474" s="628">
        <v>340000</v>
      </c>
    </row>
    <row r="475" spans="2:23" s="362" customFormat="1" ht="12.75">
      <c r="B475" s="356"/>
      <c r="C475" s="363"/>
      <c r="D475" s="358"/>
      <c r="E475" s="363"/>
      <c r="F475" s="489">
        <v>327</v>
      </c>
      <c r="G475" s="451">
        <v>425</v>
      </c>
      <c r="H475" s="1248" t="s">
        <v>91</v>
      </c>
      <c r="I475" s="1249"/>
      <c r="J475" s="1250"/>
      <c r="K475" s="958">
        <v>530000</v>
      </c>
      <c r="L475" s="958">
        <v>37998</v>
      </c>
      <c r="M475" s="958">
        <v>560000</v>
      </c>
      <c r="N475" s="417">
        <v>0</v>
      </c>
      <c r="O475" s="417">
        <v>0</v>
      </c>
      <c r="P475" s="417">
        <v>0</v>
      </c>
      <c r="Q475" s="420">
        <v>0</v>
      </c>
      <c r="R475" s="634">
        <v>0</v>
      </c>
      <c r="S475" s="420">
        <v>0</v>
      </c>
      <c r="T475" s="423">
        <f t="shared" si="164"/>
        <v>0</v>
      </c>
      <c r="U475" s="628">
        <f t="shared" si="157"/>
        <v>560000</v>
      </c>
      <c r="V475" s="628">
        <v>560000</v>
      </c>
      <c r="W475" s="628">
        <v>560000</v>
      </c>
    </row>
    <row r="476" spans="2:23" s="362" customFormat="1" ht="12.75">
      <c r="B476" s="356"/>
      <c r="C476" s="492"/>
      <c r="D476" s="580"/>
      <c r="E476" s="492"/>
      <c r="F476" s="489">
        <v>328</v>
      </c>
      <c r="G476" s="547">
        <v>426</v>
      </c>
      <c r="H476" s="727" t="s">
        <v>38</v>
      </c>
      <c r="I476" s="770"/>
      <c r="J476" s="549"/>
      <c r="K476" s="998">
        <v>51000</v>
      </c>
      <c r="L476" s="998">
        <v>29940.89</v>
      </c>
      <c r="M476" s="998">
        <v>64000</v>
      </c>
      <c r="N476" s="545">
        <v>0</v>
      </c>
      <c r="O476" s="545">
        <v>0</v>
      </c>
      <c r="P476" s="545">
        <v>0</v>
      </c>
      <c r="Q476" s="458">
        <v>28800</v>
      </c>
      <c r="R476" s="771">
        <v>0</v>
      </c>
      <c r="S476" s="458">
        <v>0</v>
      </c>
      <c r="T476" s="678">
        <f t="shared" si="164"/>
        <v>28800</v>
      </c>
      <c r="U476" s="628">
        <f t="shared" si="157"/>
        <v>92800</v>
      </c>
      <c r="V476" s="628">
        <v>92800</v>
      </c>
      <c r="W476" s="628">
        <v>92800</v>
      </c>
    </row>
    <row r="477" spans="2:23" s="362" customFormat="1" ht="12.75">
      <c r="B477" s="769"/>
      <c r="C477" s="494"/>
      <c r="D477" s="546"/>
      <c r="E477" s="494"/>
      <c r="F477" s="489">
        <v>329</v>
      </c>
      <c r="G477" s="491">
        <v>482</v>
      </c>
      <c r="H477" s="1254" t="s">
        <v>82</v>
      </c>
      <c r="I477" s="1254"/>
      <c r="J477" s="1254"/>
      <c r="K477" s="999">
        <v>25000</v>
      </c>
      <c r="L477" s="999">
        <v>0</v>
      </c>
      <c r="M477" s="999">
        <v>25000</v>
      </c>
      <c r="N477" s="464">
        <v>0</v>
      </c>
      <c r="O477" s="464">
        <v>0</v>
      </c>
      <c r="P477" s="464">
        <v>0</v>
      </c>
      <c r="Q477" s="464">
        <v>0</v>
      </c>
      <c r="R477" s="634">
        <v>0</v>
      </c>
      <c r="S477" s="464">
        <v>0</v>
      </c>
      <c r="T477" s="757">
        <f t="shared" si="164"/>
        <v>0</v>
      </c>
      <c r="U477" s="628">
        <f t="shared" si="157"/>
        <v>25000</v>
      </c>
      <c r="V477" s="628">
        <v>25000</v>
      </c>
      <c r="W477" s="628">
        <v>25000</v>
      </c>
    </row>
    <row r="478" spans="2:23" s="362" customFormat="1" ht="12.75">
      <c r="B478" s="462"/>
      <c r="C478" s="494"/>
      <c r="D478" s="546"/>
      <c r="E478" s="494"/>
      <c r="F478" s="489" t="s">
        <v>1573</v>
      </c>
      <c r="G478" s="491">
        <v>512</v>
      </c>
      <c r="H478" s="1166" t="s">
        <v>83</v>
      </c>
      <c r="I478" s="1166"/>
      <c r="J478" s="1166"/>
      <c r="K478" s="999">
        <v>0</v>
      </c>
      <c r="L478" s="999">
        <v>0</v>
      </c>
      <c r="M478" s="999">
        <v>200000</v>
      </c>
      <c r="N478" s="464">
        <v>0</v>
      </c>
      <c r="O478" s="464">
        <v>0</v>
      </c>
      <c r="P478" s="464">
        <v>0</v>
      </c>
      <c r="Q478" s="464">
        <v>0</v>
      </c>
      <c r="R478" s="634">
        <v>0</v>
      </c>
      <c r="S478" s="464">
        <v>0</v>
      </c>
      <c r="T478" s="757">
        <f t="shared" si="164"/>
        <v>0</v>
      </c>
      <c r="U478" s="628">
        <f t="shared" si="157"/>
        <v>200000</v>
      </c>
      <c r="V478" s="628">
        <v>200000</v>
      </c>
      <c r="W478" s="628">
        <v>200000</v>
      </c>
    </row>
    <row r="479" spans="2:23" s="362" customFormat="1" ht="12.75">
      <c r="B479" s="462"/>
      <c r="C479" s="494"/>
      <c r="D479" s="546"/>
      <c r="E479" s="494"/>
      <c r="F479" s="489">
        <v>330</v>
      </c>
      <c r="G479" s="491">
        <v>513</v>
      </c>
      <c r="H479" s="1315" t="s">
        <v>1572</v>
      </c>
      <c r="I479" s="1315"/>
      <c r="J479" s="1315"/>
      <c r="K479" s="999">
        <v>100000</v>
      </c>
      <c r="L479" s="999">
        <v>0</v>
      </c>
      <c r="M479" s="999">
        <v>140000</v>
      </c>
      <c r="N479" s="464">
        <v>0</v>
      </c>
      <c r="O479" s="464">
        <v>0</v>
      </c>
      <c r="P479" s="464">
        <v>0</v>
      </c>
      <c r="Q479" s="464">
        <v>0</v>
      </c>
      <c r="R479" s="464">
        <v>0</v>
      </c>
      <c r="S479" s="464">
        <v>0</v>
      </c>
      <c r="T479" s="757">
        <f t="shared" si="164"/>
        <v>0</v>
      </c>
      <c r="U479" s="628">
        <f t="shared" si="157"/>
        <v>140000</v>
      </c>
      <c r="V479" s="628">
        <v>140000</v>
      </c>
      <c r="W479" s="628">
        <v>140000</v>
      </c>
    </row>
    <row r="480" spans="2:23" s="362" customFormat="1" ht="12.75">
      <c r="B480" s="717"/>
      <c r="C480" s="718" t="s">
        <v>1326</v>
      </c>
      <c r="D480" s="719"/>
      <c r="E480" s="717"/>
      <c r="F480" s="719"/>
      <c r="G480" s="719"/>
      <c r="H480" s="1311" t="s">
        <v>126</v>
      </c>
      <c r="I480" s="1312"/>
      <c r="J480" s="1313"/>
      <c r="K480" s="1000">
        <f>K483</f>
        <v>1856000</v>
      </c>
      <c r="L480" s="1000">
        <f>L483</f>
        <v>848530.0400000002</v>
      </c>
      <c r="M480" s="1000">
        <f>M483</f>
        <v>1856000</v>
      </c>
      <c r="N480" s="720">
        <f aca="true" t="shared" si="165" ref="N480:S480">N483</f>
        <v>0</v>
      </c>
      <c r="O480" s="721">
        <f>O483</f>
        <v>0</v>
      </c>
      <c r="P480" s="722">
        <f t="shared" si="165"/>
        <v>742182</v>
      </c>
      <c r="Q480" s="722">
        <f t="shared" si="165"/>
        <v>248000</v>
      </c>
      <c r="R480" s="722">
        <f>R483</f>
        <v>0</v>
      </c>
      <c r="S480" s="723">
        <f t="shared" si="165"/>
        <v>0</v>
      </c>
      <c r="T480" s="724">
        <f t="shared" si="164"/>
        <v>990182</v>
      </c>
      <c r="U480" s="889">
        <f t="shared" si="157"/>
        <v>2846182</v>
      </c>
      <c r="V480" s="889">
        <v>2846182</v>
      </c>
      <c r="W480" s="889">
        <v>2846182</v>
      </c>
    </row>
    <row r="481" spans="2:23" s="658" customFormat="1" ht="12.75">
      <c r="B481" s="704"/>
      <c r="C481" s="705"/>
      <c r="D481" s="706"/>
      <c r="E481" s="707" t="s">
        <v>290</v>
      </c>
      <c r="F481" s="706"/>
      <c r="G481" s="706"/>
      <c r="H481" s="1318" t="s">
        <v>291</v>
      </c>
      <c r="I481" s="1319"/>
      <c r="J481" s="1319"/>
      <c r="K481" s="1001">
        <f aca="true" t="shared" si="166" ref="K481:S482">K482</f>
        <v>1856000</v>
      </c>
      <c r="L481" s="1001">
        <f t="shared" si="166"/>
        <v>848530.0400000002</v>
      </c>
      <c r="M481" s="1001">
        <f t="shared" si="166"/>
        <v>1856000</v>
      </c>
      <c r="N481" s="708">
        <f t="shared" si="166"/>
        <v>0</v>
      </c>
      <c r="O481" s="656">
        <f t="shared" si="166"/>
        <v>0</v>
      </c>
      <c r="P481" s="656">
        <f t="shared" si="166"/>
        <v>742182</v>
      </c>
      <c r="Q481" s="656">
        <f t="shared" si="166"/>
        <v>248000</v>
      </c>
      <c r="R481" s="656">
        <f t="shared" si="166"/>
        <v>0</v>
      </c>
      <c r="S481" s="657">
        <f t="shared" si="166"/>
        <v>0</v>
      </c>
      <c r="T481" s="657">
        <f t="shared" si="164"/>
        <v>990182</v>
      </c>
      <c r="U481" s="890">
        <f t="shared" si="157"/>
        <v>2846182</v>
      </c>
      <c r="V481" s="890">
        <v>2846182</v>
      </c>
      <c r="W481" s="890">
        <v>2846182</v>
      </c>
    </row>
    <row r="482" spans="2:23" s="362" customFormat="1" ht="12.75" customHeight="1">
      <c r="B482" s="287"/>
      <c r="C482" s="288"/>
      <c r="D482" s="435"/>
      <c r="E482" s="352" t="s">
        <v>308</v>
      </c>
      <c r="F482" s="435"/>
      <c r="G482" s="436"/>
      <c r="H482" s="1194" t="s">
        <v>1361</v>
      </c>
      <c r="I482" s="1195"/>
      <c r="J482" s="1196"/>
      <c r="K482" s="1164">
        <f t="shared" si="166"/>
        <v>1856000</v>
      </c>
      <c r="L482" s="1164">
        <f t="shared" si="166"/>
        <v>848530.0400000002</v>
      </c>
      <c r="M482" s="1164">
        <f t="shared" si="166"/>
        <v>1856000</v>
      </c>
      <c r="N482" s="293">
        <f t="shared" si="166"/>
        <v>0</v>
      </c>
      <c r="O482" s="293">
        <f t="shared" si="166"/>
        <v>0</v>
      </c>
      <c r="P482" s="293">
        <f t="shared" si="166"/>
        <v>742182</v>
      </c>
      <c r="Q482" s="293">
        <f t="shared" si="166"/>
        <v>248000</v>
      </c>
      <c r="R482" s="293">
        <f t="shared" si="166"/>
        <v>0</v>
      </c>
      <c r="S482" s="340">
        <f t="shared" si="166"/>
        <v>0</v>
      </c>
      <c r="T482" s="340">
        <f t="shared" si="164"/>
        <v>990182</v>
      </c>
      <c r="U482" s="674">
        <f t="shared" si="157"/>
        <v>2846182</v>
      </c>
      <c r="V482" s="674">
        <v>2846182</v>
      </c>
      <c r="W482" s="674">
        <v>2846182</v>
      </c>
    </row>
    <row r="483" spans="2:23" s="362" customFormat="1" ht="12.75">
      <c r="B483" s="487"/>
      <c r="C483" s="488"/>
      <c r="D483" s="182" t="s">
        <v>284</v>
      </c>
      <c r="E483" s="290"/>
      <c r="F483" s="489"/>
      <c r="G483" s="490"/>
      <c r="H483" s="1304" t="s">
        <v>119</v>
      </c>
      <c r="I483" s="1305"/>
      <c r="J483" s="1305"/>
      <c r="K483" s="877">
        <f>SUM(K484:K492)</f>
        <v>1856000</v>
      </c>
      <c r="L483" s="877">
        <f>SUM(L484:L492)</f>
        <v>848530.0400000002</v>
      </c>
      <c r="M483" s="877">
        <f>SUM(M484:M492)</f>
        <v>1856000</v>
      </c>
      <c r="N483" s="1163">
        <f aca="true" t="shared" si="167" ref="N483:S483">SUM(N484:N492)</f>
        <v>0</v>
      </c>
      <c r="O483" s="60">
        <f t="shared" si="167"/>
        <v>0</v>
      </c>
      <c r="P483" s="60">
        <f t="shared" si="167"/>
        <v>742182</v>
      </c>
      <c r="Q483" s="60">
        <f t="shared" si="167"/>
        <v>248000</v>
      </c>
      <c r="R483" s="60">
        <f t="shared" si="167"/>
        <v>0</v>
      </c>
      <c r="S483" s="347">
        <f t="shared" si="167"/>
        <v>0</v>
      </c>
      <c r="T483" s="380">
        <f t="shared" si="164"/>
        <v>990182</v>
      </c>
      <c r="U483" s="876">
        <f t="shared" si="157"/>
        <v>2846182</v>
      </c>
      <c r="V483" s="876">
        <v>2846182</v>
      </c>
      <c r="W483" s="876">
        <v>2846182</v>
      </c>
    </row>
    <row r="484" spans="2:23" s="362" customFormat="1" ht="12.75">
      <c r="B484" s="375"/>
      <c r="C484" s="368"/>
      <c r="D484" s="61"/>
      <c r="E484" s="291"/>
      <c r="F484" s="439">
        <v>331</v>
      </c>
      <c r="G484" s="491">
        <v>421</v>
      </c>
      <c r="H484" s="1306" t="s">
        <v>33</v>
      </c>
      <c r="I484" s="1203"/>
      <c r="J484" s="1203"/>
      <c r="K484" s="999">
        <v>240000</v>
      </c>
      <c r="L484" s="999">
        <v>212035.73</v>
      </c>
      <c r="M484" s="999">
        <v>260000</v>
      </c>
      <c r="N484" s="411">
        <v>0</v>
      </c>
      <c r="O484" s="448">
        <v>0</v>
      </c>
      <c r="P484" s="448">
        <v>0</v>
      </c>
      <c r="Q484" s="421">
        <v>68000</v>
      </c>
      <c r="R484" s="414">
        <v>0</v>
      </c>
      <c r="S484" s="421">
        <v>0</v>
      </c>
      <c r="T484" s="429">
        <f t="shared" si="164"/>
        <v>68000</v>
      </c>
      <c r="U484" s="628">
        <f t="shared" si="157"/>
        <v>328000</v>
      </c>
      <c r="V484" s="628">
        <v>328000</v>
      </c>
      <c r="W484" s="628">
        <v>328000</v>
      </c>
    </row>
    <row r="485" spans="2:23" ht="12.75">
      <c r="B485" s="356"/>
      <c r="C485" s="363"/>
      <c r="D485" s="56"/>
      <c r="E485" s="291"/>
      <c r="F485" s="439">
        <v>332</v>
      </c>
      <c r="G485" s="472">
        <v>422</v>
      </c>
      <c r="H485" s="1248" t="s">
        <v>34</v>
      </c>
      <c r="I485" s="1249"/>
      <c r="J485" s="1250"/>
      <c r="K485" s="966">
        <v>10000</v>
      </c>
      <c r="L485" s="966">
        <v>0</v>
      </c>
      <c r="M485" s="966">
        <v>10000</v>
      </c>
      <c r="N485" s="417">
        <v>0</v>
      </c>
      <c r="O485" s="417">
        <v>0</v>
      </c>
      <c r="P485" s="417">
        <v>0</v>
      </c>
      <c r="Q485" s="420">
        <v>0</v>
      </c>
      <c r="R485" s="414">
        <v>0</v>
      </c>
      <c r="S485" s="420">
        <v>0</v>
      </c>
      <c r="T485" s="423">
        <f t="shared" si="164"/>
        <v>0</v>
      </c>
      <c r="U485" s="628">
        <f t="shared" si="157"/>
        <v>10000</v>
      </c>
      <c r="V485" s="628">
        <v>10000</v>
      </c>
      <c r="W485" s="628">
        <v>10000</v>
      </c>
    </row>
    <row r="486" spans="2:23" ht="12.75">
      <c r="B486" s="356"/>
      <c r="C486" s="363"/>
      <c r="D486" s="56"/>
      <c r="E486" s="291"/>
      <c r="F486" s="439">
        <v>333</v>
      </c>
      <c r="G486" s="451">
        <v>423</v>
      </c>
      <c r="H486" s="1248" t="s">
        <v>35</v>
      </c>
      <c r="I486" s="1249"/>
      <c r="J486" s="1250"/>
      <c r="K486" s="958">
        <v>379000</v>
      </c>
      <c r="L486" s="958">
        <v>243627.2</v>
      </c>
      <c r="M486" s="958">
        <v>399000</v>
      </c>
      <c r="N486" s="417">
        <v>0</v>
      </c>
      <c r="O486" s="417">
        <v>0</v>
      </c>
      <c r="P486" s="417">
        <v>732182</v>
      </c>
      <c r="Q486" s="417">
        <v>0</v>
      </c>
      <c r="R486" s="414">
        <v>0</v>
      </c>
      <c r="S486" s="420">
        <v>0</v>
      </c>
      <c r="T486" s="423">
        <f t="shared" si="164"/>
        <v>732182</v>
      </c>
      <c r="U486" s="628">
        <f t="shared" si="157"/>
        <v>1131182</v>
      </c>
      <c r="V486" s="628">
        <v>1131182</v>
      </c>
      <c r="W486" s="628">
        <v>1131182</v>
      </c>
    </row>
    <row r="487" spans="2:23" ht="12.75">
      <c r="B487" s="356"/>
      <c r="C487" s="363"/>
      <c r="D487" s="56"/>
      <c r="E487" s="291"/>
      <c r="F487" s="439">
        <v>334</v>
      </c>
      <c r="G487" s="451">
        <v>424</v>
      </c>
      <c r="H487" s="1248" t="s">
        <v>36</v>
      </c>
      <c r="I487" s="1249"/>
      <c r="J487" s="1250"/>
      <c r="K487" s="958">
        <v>386000</v>
      </c>
      <c r="L487" s="958">
        <v>63564.780000000006</v>
      </c>
      <c r="M487" s="958">
        <v>376000</v>
      </c>
      <c r="N487" s="417">
        <v>0</v>
      </c>
      <c r="O487" s="417">
        <v>0</v>
      </c>
      <c r="P487" s="417">
        <v>0</v>
      </c>
      <c r="Q487" s="417">
        <v>30000</v>
      </c>
      <c r="R487" s="414">
        <v>0</v>
      </c>
      <c r="S487" s="420">
        <v>0</v>
      </c>
      <c r="T487" s="423">
        <f t="shared" si="164"/>
        <v>30000</v>
      </c>
      <c r="U487" s="628">
        <f t="shared" si="157"/>
        <v>406000</v>
      </c>
      <c r="V487" s="628">
        <v>406000</v>
      </c>
      <c r="W487" s="628">
        <v>406000</v>
      </c>
    </row>
    <row r="488" spans="2:23" ht="12.75">
      <c r="B488" s="356"/>
      <c r="C488" s="363"/>
      <c r="D488" s="56"/>
      <c r="E488" s="291"/>
      <c r="F488" s="439">
        <v>335</v>
      </c>
      <c r="G488" s="451">
        <v>425</v>
      </c>
      <c r="H488" s="1248" t="s">
        <v>91</v>
      </c>
      <c r="I488" s="1249"/>
      <c r="J488" s="1250"/>
      <c r="K488" s="958">
        <v>368000</v>
      </c>
      <c r="L488" s="958">
        <v>193232.19000000003</v>
      </c>
      <c r="M488" s="958">
        <v>348000</v>
      </c>
      <c r="N488" s="417">
        <v>0</v>
      </c>
      <c r="O488" s="417">
        <v>0</v>
      </c>
      <c r="P488" s="417">
        <v>0</v>
      </c>
      <c r="Q488" s="417">
        <v>150000</v>
      </c>
      <c r="R488" s="414">
        <v>0</v>
      </c>
      <c r="S488" s="420">
        <v>0</v>
      </c>
      <c r="T488" s="423">
        <f t="shared" si="164"/>
        <v>150000</v>
      </c>
      <c r="U488" s="628">
        <f t="shared" si="157"/>
        <v>498000</v>
      </c>
      <c r="V488" s="628">
        <v>498000</v>
      </c>
      <c r="W488" s="628">
        <v>498000</v>
      </c>
    </row>
    <row r="489" spans="2:23" ht="12.75">
      <c r="B489" s="356"/>
      <c r="C489" s="363"/>
      <c r="D489" s="56"/>
      <c r="E489" s="291"/>
      <c r="F489" s="489">
        <v>336</v>
      </c>
      <c r="G489" s="451">
        <v>426</v>
      </c>
      <c r="H489" s="1202" t="s">
        <v>38</v>
      </c>
      <c r="I489" s="1203"/>
      <c r="J489" s="1204"/>
      <c r="K489" s="958">
        <v>128000</v>
      </c>
      <c r="L489" s="958">
        <v>36070.14000000001</v>
      </c>
      <c r="M489" s="958">
        <v>118000</v>
      </c>
      <c r="N489" s="417">
        <v>0</v>
      </c>
      <c r="O489" s="417">
        <v>0</v>
      </c>
      <c r="P489" s="417">
        <v>10000</v>
      </c>
      <c r="Q489" s="417">
        <v>0</v>
      </c>
      <c r="R489" s="414">
        <v>0</v>
      </c>
      <c r="S489" s="420">
        <v>0</v>
      </c>
      <c r="T489" s="423">
        <f t="shared" si="164"/>
        <v>10000</v>
      </c>
      <c r="U489" s="628">
        <f t="shared" si="157"/>
        <v>128000</v>
      </c>
      <c r="V489" s="628">
        <v>128000</v>
      </c>
      <c r="W489" s="628">
        <v>128000</v>
      </c>
    </row>
    <row r="490" spans="2:23" ht="12.75">
      <c r="B490" s="356"/>
      <c r="C490" s="363"/>
      <c r="D490" s="56"/>
      <c r="E490" s="291"/>
      <c r="F490" s="489">
        <v>337</v>
      </c>
      <c r="G490" s="451">
        <v>482</v>
      </c>
      <c r="H490" s="1248" t="s">
        <v>82</v>
      </c>
      <c r="I490" s="1249"/>
      <c r="J490" s="1250"/>
      <c r="K490" s="958">
        <v>250000</v>
      </c>
      <c r="L490" s="958">
        <v>100000</v>
      </c>
      <c r="M490" s="959">
        <v>250000</v>
      </c>
      <c r="N490" s="417">
        <v>0</v>
      </c>
      <c r="O490" s="417">
        <v>0</v>
      </c>
      <c r="P490" s="417">
        <v>0</v>
      </c>
      <c r="Q490" s="420">
        <v>0</v>
      </c>
      <c r="R490" s="414">
        <v>0</v>
      </c>
      <c r="S490" s="420">
        <v>0</v>
      </c>
      <c r="T490" s="423">
        <f t="shared" si="164"/>
        <v>0</v>
      </c>
      <c r="U490" s="628">
        <f t="shared" si="157"/>
        <v>250000</v>
      </c>
      <c r="V490" s="628">
        <v>250000</v>
      </c>
      <c r="W490" s="628">
        <v>250000</v>
      </c>
    </row>
    <row r="491" spans="2:23" ht="12.75">
      <c r="B491" s="356"/>
      <c r="C491" s="363"/>
      <c r="D491" s="56"/>
      <c r="E491" s="291"/>
      <c r="F491" s="489">
        <v>338</v>
      </c>
      <c r="G491" s="451">
        <v>511</v>
      </c>
      <c r="H491" s="1202" t="s">
        <v>1472</v>
      </c>
      <c r="I491" s="1203"/>
      <c r="J491" s="1204"/>
      <c r="K491" s="958">
        <v>30000</v>
      </c>
      <c r="L491" s="961">
        <v>0</v>
      </c>
      <c r="M491" s="999">
        <v>30000</v>
      </c>
      <c r="N491" s="410">
        <v>0</v>
      </c>
      <c r="O491" s="417">
        <v>0</v>
      </c>
      <c r="P491" s="417">
        <v>0</v>
      </c>
      <c r="Q491" s="420">
        <v>0</v>
      </c>
      <c r="R491" s="414">
        <v>0</v>
      </c>
      <c r="S491" s="420">
        <v>0</v>
      </c>
      <c r="T491" s="423">
        <f t="shared" si="164"/>
        <v>0</v>
      </c>
      <c r="U491" s="628">
        <f t="shared" si="157"/>
        <v>30000</v>
      </c>
      <c r="V491" s="628">
        <v>30000</v>
      </c>
      <c r="W491" s="628">
        <v>30000</v>
      </c>
    </row>
    <row r="492" spans="2:23" ht="12.75">
      <c r="B492" s="356"/>
      <c r="C492" s="363"/>
      <c r="D492" s="56"/>
      <c r="E492" s="291"/>
      <c r="F492" s="489">
        <v>339</v>
      </c>
      <c r="G492" s="441">
        <v>512</v>
      </c>
      <c r="H492" s="1202" t="s">
        <v>83</v>
      </c>
      <c r="I492" s="1203"/>
      <c r="J492" s="1204"/>
      <c r="K492" s="958">
        <v>65000</v>
      </c>
      <c r="L492" s="961">
        <v>0</v>
      </c>
      <c r="M492" s="999">
        <v>65000</v>
      </c>
      <c r="N492" s="410">
        <v>0</v>
      </c>
      <c r="O492" s="417">
        <v>0</v>
      </c>
      <c r="P492" s="417">
        <v>0</v>
      </c>
      <c r="Q492" s="420">
        <v>0</v>
      </c>
      <c r="R492" s="414">
        <v>0</v>
      </c>
      <c r="S492" s="420">
        <v>0</v>
      </c>
      <c r="T492" s="423">
        <f t="shared" si="164"/>
        <v>0</v>
      </c>
      <c r="U492" s="628">
        <f t="shared" si="157"/>
        <v>65000</v>
      </c>
      <c r="V492" s="628">
        <v>65000</v>
      </c>
      <c r="W492" s="628">
        <v>65000</v>
      </c>
    </row>
    <row r="493" spans="2:23" ht="12.75">
      <c r="B493" s="465"/>
      <c r="C493" s="473" t="s">
        <v>1327</v>
      </c>
      <c r="D493" s="474"/>
      <c r="E493" s="475"/>
      <c r="F493" s="474"/>
      <c r="G493" s="476"/>
      <c r="H493" s="1200" t="s">
        <v>127</v>
      </c>
      <c r="I493" s="1201"/>
      <c r="J493" s="1201"/>
      <c r="K493" s="996">
        <f>K496</f>
        <v>685000</v>
      </c>
      <c r="L493" s="996">
        <f>L496</f>
        <v>244354</v>
      </c>
      <c r="M493" s="1150">
        <f>M496</f>
        <v>685000</v>
      </c>
      <c r="N493" s="1149">
        <f aca="true" t="shared" si="168" ref="N493:S493">N496</f>
        <v>0</v>
      </c>
      <c r="O493" s="430">
        <f>O496</f>
        <v>0</v>
      </c>
      <c r="P493" s="430">
        <f t="shared" si="168"/>
        <v>0</v>
      </c>
      <c r="Q493" s="430">
        <f t="shared" si="168"/>
        <v>900000</v>
      </c>
      <c r="R493" s="430">
        <f>R496</f>
        <v>0</v>
      </c>
      <c r="S493" s="479">
        <f t="shared" si="168"/>
        <v>0</v>
      </c>
      <c r="T493" s="478">
        <f t="shared" si="164"/>
        <v>900000</v>
      </c>
      <c r="U493" s="889">
        <f t="shared" si="157"/>
        <v>1585000</v>
      </c>
      <c r="V493" s="889">
        <v>1585000</v>
      </c>
      <c r="W493" s="889">
        <v>1585000</v>
      </c>
    </row>
    <row r="494" spans="2:23" s="709" customFormat="1" ht="12.75">
      <c r="B494" s="654"/>
      <c r="C494" s="655"/>
      <c r="D494" s="631"/>
      <c r="E494" s="630" t="s">
        <v>290</v>
      </c>
      <c r="F494" s="631"/>
      <c r="G494" s="632"/>
      <c r="H494" s="1278" t="s">
        <v>291</v>
      </c>
      <c r="I494" s="1279"/>
      <c r="J494" s="1280"/>
      <c r="K494" s="956">
        <f aca="true" t="shared" si="169" ref="K494:S495">K495</f>
        <v>685000</v>
      </c>
      <c r="L494" s="1147">
        <f t="shared" si="169"/>
        <v>244354</v>
      </c>
      <c r="M494" s="1001">
        <f t="shared" si="169"/>
        <v>685000</v>
      </c>
      <c r="N494" s="656">
        <f t="shared" si="169"/>
        <v>0</v>
      </c>
      <c r="O494" s="656">
        <f t="shared" si="169"/>
        <v>0</v>
      </c>
      <c r="P494" s="656">
        <f t="shared" si="169"/>
        <v>0</v>
      </c>
      <c r="Q494" s="656">
        <f t="shared" si="169"/>
        <v>900000</v>
      </c>
      <c r="R494" s="656">
        <f t="shared" si="169"/>
        <v>0</v>
      </c>
      <c r="S494" s="657">
        <f t="shared" si="169"/>
        <v>0</v>
      </c>
      <c r="T494" s="657">
        <f t="shared" si="164"/>
        <v>900000</v>
      </c>
      <c r="U494" s="890">
        <f aca="true" t="shared" si="170" ref="U494:U501">SUM(M494:S494)</f>
        <v>1585000</v>
      </c>
      <c r="V494" s="890">
        <v>1585000</v>
      </c>
      <c r="W494" s="890">
        <v>1585000</v>
      </c>
    </row>
    <row r="495" spans="2:23" ht="12.75" customHeight="1">
      <c r="B495" s="287"/>
      <c r="C495" s="288"/>
      <c r="D495" s="435"/>
      <c r="E495" s="352" t="s">
        <v>308</v>
      </c>
      <c r="F495" s="435"/>
      <c r="G495" s="436"/>
      <c r="H495" s="1194" t="s">
        <v>1361</v>
      </c>
      <c r="I495" s="1195"/>
      <c r="J495" s="1196"/>
      <c r="K495" s="981">
        <f t="shared" si="169"/>
        <v>685000</v>
      </c>
      <c r="L495" s="1148">
        <f t="shared" si="169"/>
        <v>244354</v>
      </c>
      <c r="M495" s="1151">
        <f t="shared" si="169"/>
        <v>685000</v>
      </c>
      <c r="N495" s="293">
        <f t="shared" si="169"/>
        <v>0</v>
      </c>
      <c r="O495" s="293">
        <f t="shared" si="169"/>
        <v>0</v>
      </c>
      <c r="P495" s="293">
        <f t="shared" si="169"/>
        <v>0</v>
      </c>
      <c r="Q495" s="293">
        <f t="shared" si="169"/>
        <v>900000</v>
      </c>
      <c r="R495" s="293">
        <f t="shared" si="169"/>
        <v>0</v>
      </c>
      <c r="S495" s="340">
        <f t="shared" si="169"/>
        <v>0</v>
      </c>
      <c r="T495" s="340">
        <f t="shared" si="164"/>
        <v>900000</v>
      </c>
      <c r="U495" s="674">
        <f t="shared" si="170"/>
        <v>1585000</v>
      </c>
      <c r="V495" s="674">
        <v>1585000</v>
      </c>
      <c r="W495" s="674">
        <v>1585000</v>
      </c>
    </row>
    <row r="496" spans="2:23" ht="12.75">
      <c r="B496" s="437"/>
      <c r="C496" s="438"/>
      <c r="D496" s="182" t="s">
        <v>284</v>
      </c>
      <c r="E496" s="58"/>
      <c r="F496" s="439"/>
      <c r="G496" s="440"/>
      <c r="H496" s="1185" t="s">
        <v>119</v>
      </c>
      <c r="I496" s="1186"/>
      <c r="J496" s="452"/>
      <c r="K496" s="971">
        <f>SUM(K497:K503)</f>
        <v>685000</v>
      </c>
      <c r="L496" s="997">
        <f>SUM(L497:L503)</f>
        <v>244354</v>
      </c>
      <c r="M496" s="750">
        <f>SUM(M497:M503)</f>
        <v>685000</v>
      </c>
      <c r="N496" s="66">
        <f aca="true" t="shared" si="171" ref="N496:S496">SUM(N497:N503)</f>
        <v>0</v>
      </c>
      <c r="O496" s="66">
        <f t="shared" si="171"/>
        <v>0</v>
      </c>
      <c r="P496" s="66">
        <f t="shared" si="171"/>
        <v>0</v>
      </c>
      <c r="Q496" s="66">
        <f t="shared" si="171"/>
        <v>900000</v>
      </c>
      <c r="R496" s="66">
        <f t="shared" si="171"/>
        <v>0</v>
      </c>
      <c r="S496" s="66">
        <f t="shared" si="171"/>
        <v>0</v>
      </c>
      <c r="T496" s="343">
        <f t="shared" si="164"/>
        <v>900000</v>
      </c>
      <c r="U496" s="876">
        <f t="shared" si="170"/>
        <v>1585000</v>
      </c>
      <c r="V496" s="876">
        <v>1585000</v>
      </c>
      <c r="W496" s="876">
        <v>1585000</v>
      </c>
    </row>
    <row r="497" spans="2:23" ht="12.75">
      <c r="B497" s="356"/>
      <c r="C497" s="363"/>
      <c r="D497" s="56"/>
      <c r="E497" s="182"/>
      <c r="F497" s="439">
        <v>340</v>
      </c>
      <c r="G497" s="451">
        <v>421</v>
      </c>
      <c r="H497" s="1248" t="s">
        <v>33</v>
      </c>
      <c r="I497" s="1249"/>
      <c r="J497" s="460"/>
      <c r="K497" s="979">
        <v>55000</v>
      </c>
      <c r="L497" s="461">
        <v>11282.55</v>
      </c>
      <c r="M497" s="1139">
        <v>55000</v>
      </c>
      <c r="N497" s="410">
        <v>0</v>
      </c>
      <c r="O497" s="545">
        <v>0</v>
      </c>
      <c r="P497" s="545">
        <v>0</v>
      </c>
      <c r="Q497" s="627">
        <v>60000</v>
      </c>
      <c r="R497" s="469">
        <v>0</v>
      </c>
      <c r="S497" s="458">
        <v>0</v>
      </c>
      <c r="T497" s="678">
        <f t="shared" si="164"/>
        <v>60000</v>
      </c>
      <c r="U497" s="628">
        <f t="shared" si="170"/>
        <v>115000</v>
      </c>
      <c r="V497" s="628">
        <v>115000</v>
      </c>
      <c r="W497" s="628">
        <v>115000</v>
      </c>
    </row>
    <row r="498" spans="2:23" ht="12.75">
      <c r="B498" s="356"/>
      <c r="C498" s="363"/>
      <c r="D498" s="56"/>
      <c r="E498" s="182"/>
      <c r="F498" s="439">
        <v>341</v>
      </c>
      <c r="G498" s="451">
        <v>422</v>
      </c>
      <c r="H498" s="1248" t="s">
        <v>34</v>
      </c>
      <c r="I498" s="1249"/>
      <c r="J498" s="460"/>
      <c r="K498" s="979">
        <v>30000</v>
      </c>
      <c r="L498" s="461">
        <v>13077</v>
      </c>
      <c r="M498" s="1139">
        <v>30000</v>
      </c>
      <c r="N498" s="423">
        <v>0</v>
      </c>
      <c r="O498" s="464">
        <v>0</v>
      </c>
      <c r="P498" s="464">
        <v>0</v>
      </c>
      <c r="Q498" s="464">
        <v>0</v>
      </c>
      <c r="R498" s="634">
        <v>0</v>
      </c>
      <c r="S498" s="464">
        <v>0</v>
      </c>
      <c r="T498" s="757">
        <f t="shared" si="164"/>
        <v>0</v>
      </c>
      <c r="U498" s="628">
        <f t="shared" si="170"/>
        <v>30000</v>
      </c>
      <c r="V498" s="628">
        <v>30000</v>
      </c>
      <c r="W498" s="628">
        <v>30000</v>
      </c>
    </row>
    <row r="499" spans="2:23" ht="12.75">
      <c r="B499" s="356"/>
      <c r="C499" s="363"/>
      <c r="D499" s="56"/>
      <c r="E499" s="182"/>
      <c r="F499" s="439">
        <v>342</v>
      </c>
      <c r="G499" s="451">
        <v>423</v>
      </c>
      <c r="H499" s="1248" t="s">
        <v>35</v>
      </c>
      <c r="I499" s="1249"/>
      <c r="J499" s="460"/>
      <c r="K499" s="979">
        <v>277000</v>
      </c>
      <c r="L499" s="461">
        <v>67465.85</v>
      </c>
      <c r="M499" s="1139">
        <v>277000</v>
      </c>
      <c r="N499" s="423">
        <v>0</v>
      </c>
      <c r="O499" s="464">
        <v>0</v>
      </c>
      <c r="P499" s="464">
        <v>0</v>
      </c>
      <c r="Q499" s="464">
        <v>76000</v>
      </c>
      <c r="R499" s="634">
        <v>0</v>
      </c>
      <c r="S499" s="464">
        <v>0</v>
      </c>
      <c r="T499" s="757">
        <f t="shared" si="164"/>
        <v>76000</v>
      </c>
      <c r="U499" s="628">
        <f t="shared" si="170"/>
        <v>353000</v>
      </c>
      <c r="V499" s="628">
        <v>353000</v>
      </c>
      <c r="W499" s="628">
        <v>353000</v>
      </c>
    </row>
    <row r="500" spans="2:23" ht="12.75">
      <c r="B500" s="356"/>
      <c r="C500" s="363"/>
      <c r="D500" s="56"/>
      <c r="E500" s="182"/>
      <c r="F500" s="439">
        <v>343</v>
      </c>
      <c r="G500" s="451">
        <v>425</v>
      </c>
      <c r="H500" s="1248" t="s">
        <v>91</v>
      </c>
      <c r="I500" s="1249"/>
      <c r="J500" s="1250"/>
      <c r="K500" s="958">
        <v>117000</v>
      </c>
      <c r="L500" s="961">
        <v>5229</v>
      </c>
      <c r="M500" s="999">
        <v>117000</v>
      </c>
      <c r="N500" s="423">
        <v>0</v>
      </c>
      <c r="O500" s="464">
        <v>0</v>
      </c>
      <c r="P500" s="464">
        <v>0</v>
      </c>
      <c r="Q500" s="464">
        <v>664000</v>
      </c>
      <c r="R500" s="634">
        <v>0</v>
      </c>
      <c r="S500" s="464">
        <v>0</v>
      </c>
      <c r="T500" s="757">
        <f t="shared" si="164"/>
        <v>664000</v>
      </c>
      <c r="U500" s="628">
        <f t="shared" si="170"/>
        <v>781000</v>
      </c>
      <c r="V500" s="628">
        <v>781000</v>
      </c>
      <c r="W500" s="628">
        <v>781000</v>
      </c>
    </row>
    <row r="501" spans="2:23" ht="12.75">
      <c r="B501" s="356"/>
      <c r="C501" s="363"/>
      <c r="D501" s="56"/>
      <c r="E501" s="182"/>
      <c r="F501" s="439">
        <v>344</v>
      </c>
      <c r="G501" s="451">
        <v>426</v>
      </c>
      <c r="H501" s="386" t="s">
        <v>38</v>
      </c>
      <c r="I501" s="484"/>
      <c r="J501" s="460"/>
      <c r="K501" s="979">
        <v>75000</v>
      </c>
      <c r="L501" s="461">
        <v>17260</v>
      </c>
      <c r="M501" s="1139">
        <v>75000</v>
      </c>
      <c r="N501" s="423">
        <v>0</v>
      </c>
      <c r="O501" s="464">
        <v>0</v>
      </c>
      <c r="P501" s="464">
        <v>0</v>
      </c>
      <c r="Q501" s="464">
        <v>100000</v>
      </c>
      <c r="R501" s="634">
        <v>0</v>
      </c>
      <c r="S501" s="464">
        <v>0</v>
      </c>
      <c r="T501" s="757">
        <f t="shared" si="164"/>
        <v>100000</v>
      </c>
      <c r="U501" s="628">
        <f t="shared" si="170"/>
        <v>175000</v>
      </c>
      <c r="V501" s="628">
        <v>175000</v>
      </c>
      <c r="W501" s="628">
        <v>175000</v>
      </c>
    </row>
    <row r="502" spans="2:23" ht="12.75">
      <c r="B502" s="356"/>
      <c r="C502" s="363"/>
      <c r="D502" s="56"/>
      <c r="E502" s="182"/>
      <c r="F502" s="439">
        <v>345</v>
      </c>
      <c r="G502" s="451">
        <v>481</v>
      </c>
      <c r="H502" s="386" t="s">
        <v>1387</v>
      </c>
      <c r="I502" s="484"/>
      <c r="J502" s="460"/>
      <c r="K502" s="979">
        <v>30000</v>
      </c>
      <c r="L502" s="461">
        <v>30039.6</v>
      </c>
      <c r="M502" s="1139">
        <v>30000</v>
      </c>
      <c r="N502" s="423">
        <v>0</v>
      </c>
      <c r="O502" s="464">
        <v>0</v>
      </c>
      <c r="P502" s="464">
        <v>0</v>
      </c>
      <c r="Q502" s="464">
        <v>0</v>
      </c>
      <c r="R502" s="634">
        <v>0</v>
      </c>
      <c r="S502" s="464">
        <v>0</v>
      </c>
      <c r="T502" s="757">
        <f t="shared" si="164"/>
        <v>0</v>
      </c>
      <c r="U502" s="628">
        <f>SUM(M502:T502)</f>
        <v>30000</v>
      </c>
      <c r="V502" s="628">
        <v>30000</v>
      </c>
      <c r="W502" s="628">
        <v>30000</v>
      </c>
    </row>
    <row r="503" spans="2:23" ht="12.75">
      <c r="B503" s="356"/>
      <c r="C503" s="363"/>
      <c r="D503" s="56"/>
      <c r="E503" s="182"/>
      <c r="F503" s="439">
        <v>346</v>
      </c>
      <c r="G503" s="451">
        <v>482</v>
      </c>
      <c r="H503" s="1248" t="s">
        <v>82</v>
      </c>
      <c r="I503" s="1249"/>
      <c r="J503" s="1250"/>
      <c r="K503" s="958">
        <v>101000</v>
      </c>
      <c r="L503" s="961">
        <v>100000</v>
      </c>
      <c r="M503" s="999">
        <v>101000</v>
      </c>
      <c r="N503" s="423">
        <v>0</v>
      </c>
      <c r="O503" s="464">
        <v>0</v>
      </c>
      <c r="P503" s="464">
        <v>0</v>
      </c>
      <c r="Q503" s="464">
        <v>0</v>
      </c>
      <c r="R503" s="634">
        <v>0</v>
      </c>
      <c r="S503" s="464">
        <v>0</v>
      </c>
      <c r="T503" s="757">
        <f t="shared" si="164"/>
        <v>0</v>
      </c>
      <c r="U503" s="628">
        <f aca="true" t="shared" si="172" ref="U503:U515">SUM(M503:S503)</f>
        <v>101000</v>
      </c>
      <c r="V503" s="628">
        <v>101000</v>
      </c>
      <c r="W503" s="628">
        <v>101000</v>
      </c>
    </row>
    <row r="504" spans="2:23" ht="12.75">
      <c r="B504" s="465"/>
      <c r="C504" s="473" t="s">
        <v>1328</v>
      </c>
      <c r="D504" s="474"/>
      <c r="E504" s="475"/>
      <c r="F504" s="474"/>
      <c r="G504" s="476"/>
      <c r="H504" s="1200" t="s">
        <v>128</v>
      </c>
      <c r="I504" s="1201"/>
      <c r="J504" s="1201"/>
      <c r="K504" s="996">
        <f>K507</f>
        <v>1586836</v>
      </c>
      <c r="L504" s="996">
        <f>L507</f>
        <v>811449.9400000001</v>
      </c>
      <c r="M504" s="1150">
        <f>M507</f>
        <v>1586836</v>
      </c>
      <c r="N504" s="1149">
        <f aca="true" t="shared" si="173" ref="N504:S504">N507</f>
        <v>0</v>
      </c>
      <c r="O504" s="611">
        <f>O507</f>
        <v>0</v>
      </c>
      <c r="P504" s="611">
        <f t="shared" si="173"/>
        <v>0</v>
      </c>
      <c r="Q504" s="611">
        <f t="shared" si="173"/>
        <v>200000</v>
      </c>
      <c r="R504" s="611">
        <f>R507</f>
        <v>0</v>
      </c>
      <c r="S504" s="730">
        <f t="shared" si="173"/>
        <v>0</v>
      </c>
      <c r="T504" s="731">
        <f t="shared" si="164"/>
        <v>200000</v>
      </c>
      <c r="U504" s="889">
        <f t="shared" si="172"/>
        <v>1786836</v>
      </c>
      <c r="V504" s="889">
        <v>1786836</v>
      </c>
      <c r="W504" s="889">
        <v>1786836</v>
      </c>
    </row>
    <row r="505" spans="2:23" s="709" customFormat="1" ht="12.75">
      <c r="B505" s="654"/>
      <c r="C505" s="655"/>
      <c r="D505" s="631"/>
      <c r="E505" s="630" t="s">
        <v>290</v>
      </c>
      <c r="F505" s="631"/>
      <c r="G505" s="632"/>
      <c r="H505" s="1301" t="s">
        <v>291</v>
      </c>
      <c r="I505" s="1302"/>
      <c r="J505" s="1303"/>
      <c r="K505" s="977">
        <f aca="true" t="shared" si="174" ref="K505:S506">K506</f>
        <v>1586836</v>
      </c>
      <c r="L505" s="1142">
        <f t="shared" si="174"/>
        <v>811449.9400000001</v>
      </c>
      <c r="M505" s="1140">
        <f t="shared" si="174"/>
        <v>1586836</v>
      </c>
      <c r="N505" s="656">
        <f t="shared" si="174"/>
        <v>0</v>
      </c>
      <c r="O505" s="656">
        <f t="shared" si="174"/>
        <v>0</v>
      </c>
      <c r="P505" s="656">
        <f t="shared" si="174"/>
        <v>0</v>
      </c>
      <c r="Q505" s="656">
        <f t="shared" si="174"/>
        <v>200000</v>
      </c>
      <c r="R505" s="656">
        <f t="shared" si="174"/>
        <v>0</v>
      </c>
      <c r="S505" s="657">
        <f t="shared" si="174"/>
        <v>0</v>
      </c>
      <c r="T505" s="657">
        <f t="shared" si="164"/>
        <v>200000</v>
      </c>
      <c r="U505" s="890">
        <f t="shared" si="172"/>
        <v>1786836</v>
      </c>
      <c r="V505" s="890">
        <v>1786836</v>
      </c>
      <c r="W505" s="890">
        <v>1786836</v>
      </c>
    </row>
    <row r="506" spans="2:23" ht="12.75" customHeight="1">
      <c r="B506" s="287"/>
      <c r="C506" s="288"/>
      <c r="D506" s="435"/>
      <c r="E506" s="352" t="s">
        <v>308</v>
      </c>
      <c r="F506" s="435"/>
      <c r="G506" s="436"/>
      <c r="H506" s="1194" t="s">
        <v>1361</v>
      </c>
      <c r="I506" s="1195"/>
      <c r="J506" s="1196"/>
      <c r="K506" s="981">
        <f t="shared" si="174"/>
        <v>1586836</v>
      </c>
      <c r="L506" s="1148">
        <f t="shared" si="174"/>
        <v>811449.9400000001</v>
      </c>
      <c r="M506" s="1151">
        <f t="shared" si="174"/>
        <v>1586836</v>
      </c>
      <c r="N506" s="292">
        <f t="shared" si="174"/>
        <v>0</v>
      </c>
      <c r="O506" s="292">
        <f t="shared" si="174"/>
        <v>0</v>
      </c>
      <c r="P506" s="292">
        <f t="shared" si="174"/>
        <v>0</v>
      </c>
      <c r="Q506" s="292">
        <f t="shared" si="174"/>
        <v>200000</v>
      </c>
      <c r="R506" s="292">
        <f t="shared" si="174"/>
        <v>0</v>
      </c>
      <c r="S506" s="348">
        <f t="shared" si="174"/>
        <v>0</v>
      </c>
      <c r="T506" s="348">
        <f t="shared" si="164"/>
        <v>200000</v>
      </c>
      <c r="U506" s="674">
        <f t="shared" si="172"/>
        <v>1786836</v>
      </c>
      <c r="V506" s="674">
        <v>1786836</v>
      </c>
      <c r="W506" s="674">
        <v>1786836</v>
      </c>
    </row>
    <row r="507" spans="2:23" ht="12.75">
      <c r="B507" s="437"/>
      <c r="C507" s="438"/>
      <c r="D507" s="182" t="s">
        <v>284</v>
      </c>
      <c r="E507" s="58"/>
      <c r="F507" s="439"/>
      <c r="G507" s="440"/>
      <c r="H507" s="1185" t="s">
        <v>119</v>
      </c>
      <c r="I507" s="1186"/>
      <c r="J507" s="452"/>
      <c r="K507" s="971">
        <f>SUM(K508:K515)</f>
        <v>1586836</v>
      </c>
      <c r="L507" s="997">
        <f>SUM(L508:L515)</f>
        <v>811449.9400000001</v>
      </c>
      <c r="M507" s="750">
        <f>SUM(M508:M515)</f>
        <v>1586836</v>
      </c>
      <c r="N507" s="69">
        <f aca="true" t="shared" si="175" ref="N507:S507">SUM(N508:N515)</f>
        <v>0</v>
      </c>
      <c r="O507" s="55">
        <f t="shared" si="175"/>
        <v>0</v>
      </c>
      <c r="P507" s="55">
        <f t="shared" si="175"/>
        <v>0</v>
      </c>
      <c r="Q507" s="55">
        <f t="shared" si="175"/>
        <v>200000</v>
      </c>
      <c r="R507" s="55">
        <f t="shared" si="175"/>
        <v>0</v>
      </c>
      <c r="S507" s="180">
        <f t="shared" si="175"/>
        <v>0</v>
      </c>
      <c r="T507" s="343">
        <f t="shared" si="164"/>
        <v>200000</v>
      </c>
      <c r="U507" s="876">
        <f t="shared" si="172"/>
        <v>1786836</v>
      </c>
      <c r="V507" s="876">
        <v>1786836</v>
      </c>
      <c r="W507" s="876">
        <v>1786836</v>
      </c>
    </row>
    <row r="508" spans="2:23" ht="12.75">
      <c r="B508" s="480"/>
      <c r="C508" s="481"/>
      <c r="D508" s="482"/>
      <c r="E508" s="481"/>
      <c r="F508" s="403">
        <v>347</v>
      </c>
      <c r="G508" s="483">
        <v>411</v>
      </c>
      <c r="H508" s="1188" t="s">
        <v>27</v>
      </c>
      <c r="I508" s="1189"/>
      <c r="J508" s="1190"/>
      <c r="K508" s="775">
        <v>495000</v>
      </c>
      <c r="L508" s="775">
        <v>328533.26999999996</v>
      </c>
      <c r="M508" s="378">
        <v>495000</v>
      </c>
      <c r="N508" s="417">
        <v>0</v>
      </c>
      <c r="O508" s="417">
        <v>0</v>
      </c>
      <c r="P508" s="417">
        <v>0</v>
      </c>
      <c r="Q508" s="420">
        <v>0</v>
      </c>
      <c r="R508" s="414">
        <v>0</v>
      </c>
      <c r="S508" s="420">
        <v>0</v>
      </c>
      <c r="T508" s="423">
        <f t="shared" si="164"/>
        <v>0</v>
      </c>
      <c r="U508" s="628">
        <f t="shared" si="172"/>
        <v>495000</v>
      </c>
      <c r="V508" s="628">
        <v>495000</v>
      </c>
      <c r="W508" s="628">
        <v>495000</v>
      </c>
    </row>
    <row r="509" spans="2:23" ht="12.75">
      <c r="B509" s="356"/>
      <c r="C509" s="492"/>
      <c r="D509" s="358"/>
      <c r="E509" s="368"/>
      <c r="F509" s="403">
        <v>348</v>
      </c>
      <c r="G509" s="451">
        <v>412</v>
      </c>
      <c r="H509" s="1188" t="s">
        <v>79</v>
      </c>
      <c r="I509" s="1189"/>
      <c r="J509" s="1190"/>
      <c r="K509" s="980">
        <v>85000</v>
      </c>
      <c r="L509" s="980">
        <v>54700.780000000006</v>
      </c>
      <c r="M509" s="980">
        <v>85000</v>
      </c>
      <c r="N509" s="417">
        <v>0</v>
      </c>
      <c r="O509" s="417">
        <v>0</v>
      </c>
      <c r="P509" s="417">
        <v>0</v>
      </c>
      <c r="Q509" s="420">
        <v>0</v>
      </c>
      <c r="R509" s="414">
        <v>0</v>
      </c>
      <c r="S509" s="420">
        <v>0</v>
      </c>
      <c r="T509" s="423">
        <f t="shared" si="164"/>
        <v>0</v>
      </c>
      <c r="U509" s="628">
        <f t="shared" si="172"/>
        <v>85000</v>
      </c>
      <c r="V509" s="628">
        <v>85000</v>
      </c>
      <c r="W509" s="628">
        <v>85000</v>
      </c>
    </row>
    <row r="510" spans="2:23" ht="12.75">
      <c r="B510" s="493"/>
      <c r="C510" s="494"/>
      <c r="D510" s="62"/>
      <c r="E510" s="286"/>
      <c r="F510" s="403">
        <v>349</v>
      </c>
      <c r="G510" s="451">
        <v>421</v>
      </c>
      <c r="H510" s="408" t="s">
        <v>129</v>
      </c>
      <c r="I510" s="446"/>
      <c r="J510" s="1145"/>
      <c r="K510" s="750">
        <v>149000</v>
      </c>
      <c r="L510" s="750">
        <v>103707.06</v>
      </c>
      <c r="M510" s="750">
        <v>149000</v>
      </c>
      <c r="N510" s="410">
        <v>0</v>
      </c>
      <c r="O510" s="417">
        <v>0</v>
      </c>
      <c r="P510" s="417">
        <v>0</v>
      </c>
      <c r="Q510" s="420">
        <v>0</v>
      </c>
      <c r="R510" s="414">
        <v>0</v>
      </c>
      <c r="S510" s="420">
        <v>0</v>
      </c>
      <c r="T510" s="423">
        <f t="shared" si="164"/>
        <v>0</v>
      </c>
      <c r="U510" s="628">
        <f t="shared" si="172"/>
        <v>149000</v>
      </c>
      <c r="V510" s="628">
        <v>149000</v>
      </c>
      <c r="W510" s="628">
        <v>149000</v>
      </c>
    </row>
    <row r="511" spans="2:23" ht="12.75">
      <c r="B511" s="495"/>
      <c r="C511" s="496"/>
      <c r="D511" s="63"/>
      <c r="E511" s="286"/>
      <c r="F511" s="403">
        <v>350</v>
      </c>
      <c r="G511" s="451">
        <v>423</v>
      </c>
      <c r="H511" s="408" t="s">
        <v>35</v>
      </c>
      <c r="I511" s="446"/>
      <c r="J511" s="1145"/>
      <c r="K511" s="750">
        <v>146000</v>
      </c>
      <c r="L511" s="750">
        <v>70430</v>
      </c>
      <c r="M511" s="750">
        <v>146000</v>
      </c>
      <c r="N511" s="410">
        <v>0</v>
      </c>
      <c r="O511" s="417">
        <v>0</v>
      </c>
      <c r="P511" s="417">
        <v>0</v>
      </c>
      <c r="Q511" s="420">
        <v>5000</v>
      </c>
      <c r="R511" s="414">
        <v>0</v>
      </c>
      <c r="S511" s="420">
        <v>0</v>
      </c>
      <c r="T511" s="423">
        <f t="shared" si="164"/>
        <v>5000</v>
      </c>
      <c r="U511" s="628">
        <f t="shared" si="172"/>
        <v>151000</v>
      </c>
      <c r="V511" s="628">
        <v>151000</v>
      </c>
      <c r="W511" s="628">
        <v>151000</v>
      </c>
    </row>
    <row r="512" spans="2:23" ht="12.75">
      <c r="B512" s="495"/>
      <c r="C512" s="496"/>
      <c r="D512" s="63"/>
      <c r="E512" s="286"/>
      <c r="F512" s="403">
        <v>351</v>
      </c>
      <c r="G512" s="451">
        <v>424</v>
      </c>
      <c r="H512" s="1188" t="s">
        <v>36</v>
      </c>
      <c r="I512" s="1189"/>
      <c r="J512" s="1189"/>
      <c r="K512" s="555">
        <v>27000</v>
      </c>
      <c r="L512" s="555">
        <v>11000</v>
      </c>
      <c r="M512" s="555">
        <v>27000</v>
      </c>
      <c r="N512" s="410">
        <v>0</v>
      </c>
      <c r="O512" s="417">
        <v>0</v>
      </c>
      <c r="P512" s="417">
        <v>0</v>
      </c>
      <c r="Q512" s="417">
        <v>0</v>
      </c>
      <c r="R512" s="417">
        <v>0</v>
      </c>
      <c r="S512" s="420">
        <v>0</v>
      </c>
      <c r="T512" s="423">
        <f t="shared" si="164"/>
        <v>0</v>
      </c>
      <c r="U512" s="628">
        <f t="shared" si="172"/>
        <v>27000</v>
      </c>
      <c r="V512" s="628">
        <v>27000</v>
      </c>
      <c r="W512" s="628">
        <v>27000</v>
      </c>
    </row>
    <row r="513" spans="2:23" ht="12.75">
      <c r="B513" s="495"/>
      <c r="C513" s="496"/>
      <c r="D513" s="63"/>
      <c r="E513" s="286"/>
      <c r="F513" s="403">
        <v>352</v>
      </c>
      <c r="G513" s="451">
        <v>425</v>
      </c>
      <c r="H513" s="1188" t="s">
        <v>91</v>
      </c>
      <c r="I513" s="1189"/>
      <c r="J513" s="1189"/>
      <c r="K513" s="555">
        <v>104000</v>
      </c>
      <c r="L513" s="555">
        <v>0</v>
      </c>
      <c r="M513" s="555">
        <v>104000</v>
      </c>
      <c r="N513" s="410">
        <v>0</v>
      </c>
      <c r="O513" s="417">
        <v>0</v>
      </c>
      <c r="P513" s="417">
        <v>0</v>
      </c>
      <c r="Q513" s="417">
        <v>175000</v>
      </c>
      <c r="R513" s="417">
        <v>0</v>
      </c>
      <c r="S513" s="420">
        <v>0</v>
      </c>
      <c r="T513" s="423">
        <f t="shared" si="164"/>
        <v>175000</v>
      </c>
      <c r="U513" s="628">
        <f t="shared" si="172"/>
        <v>279000</v>
      </c>
      <c r="V513" s="628">
        <v>279000</v>
      </c>
      <c r="W513" s="628">
        <v>279000</v>
      </c>
    </row>
    <row r="514" spans="2:23" ht="12.75">
      <c r="B514" s="495"/>
      <c r="C514" s="496"/>
      <c r="D514" s="63"/>
      <c r="E514" s="286"/>
      <c r="F514" s="403">
        <v>353</v>
      </c>
      <c r="G514" s="547">
        <v>426</v>
      </c>
      <c r="H514" s="556" t="s">
        <v>38</v>
      </c>
      <c r="I514" s="586"/>
      <c r="J514" s="586"/>
      <c r="K514" s="750">
        <v>513836</v>
      </c>
      <c r="L514" s="750">
        <v>193817.21000000002</v>
      </c>
      <c r="M514" s="750">
        <v>513836</v>
      </c>
      <c r="N514" s="410">
        <v>0</v>
      </c>
      <c r="O514" s="417">
        <v>0</v>
      </c>
      <c r="P514" s="417">
        <v>0</v>
      </c>
      <c r="Q514" s="417">
        <v>20000</v>
      </c>
      <c r="R514" s="417">
        <v>0</v>
      </c>
      <c r="S514" s="420">
        <v>0</v>
      </c>
      <c r="T514" s="423">
        <f t="shared" si="164"/>
        <v>20000</v>
      </c>
      <c r="U514" s="628">
        <f t="shared" si="172"/>
        <v>533836</v>
      </c>
      <c r="V514" s="628">
        <v>533836</v>
      </c>
      <c r="W514" s="628">
        <v>533836</v>
      </c>
    </row>
    <row r="515" spans="2:23" ht="12" customHeight="1" thickBot="1">
      <c r="B515" s="494"/>
      <c r="C515" s="494"/>
      <c r="D515" s="62"/>
      <c r="E515" s="553"/>
      <c r="F515" s="403">
        <v>354</v>
      </c>
      <c r="G515" s="491">
        <v>482</v>
      </c>
      <c r="H515" s="716" t="s">
        <v>82</v>
      </c>
      <c r="I515" s="760"/>
      <c r="J515" s="760"/>
      <c r="K515" s="1003">
        <v>67000</v>
      </c>
      <c r="L515" s="1003">
        <v>49261.62000000001</v>
      </c>
      <c r="M515" s="1003">
        <v>67000</v>
      </c>
      <c r="N515" s="410">
        <v>0</v>
      </c>
      <c r="O515" s="417">
        <v>0</v>
      </c>
      <c r="P515" s="417">
        <v>0</v>
      </c>
      <c r="Q515" s="420">
        <v>0</v>
      </c>
      <c r="R515" s="414">
        <v>0</v>
      </c>
      <c r="S515" s="420">
        <v>0</v>
      </c>
      <c r="T515" s="423">
        <f t="shared" si="164"/>
        <v>0</v>
      </c>
      <c r="U515" s="628">
        <f t="shared" si="172"/>
        <v>67000</v>
      </c>
      <c r="V515" s="628">
        <v>67000</v>
      </c>
      <c r="W515" s="628">
        <v>67000</v>
      </c>
    </row>
    <row r="516" spans="2:23" ht="13.5" thickBot="1">
      <c r="B516" s="1197" t="s">
        <v>130</v>
      </c>
      <c r="C516" s="1198"/>
      <c r="D516" s="1198"/>
      <c r="E516" s="1198"/>
      <c r="F516" s="1198"/>
      <c r="G516" s="1198"/>
      <c r="H516" s="1198"/>
      <c r="I516" s="1198"/>
      <c r="J516" s="1199"/>
      <c r="K516" s="7">
        <f aca="true" t="shared" si="176" ref="K516:S516">K75+K40+K7+K58+K30</f>
        <v>527841676</v>
      </c>
      <c r="L516" s="7">
        <f t="shared" si="176"/>
        <v>288241030.79</v>
      </c>
      <c r="M516" s="7">
        <f t="shared" si="176"/>
        <v>444656763</v>
      </c>
      <c r="N516" s="294">
        <f t="shared" si="176"/>
        <v>205000</v>
      </c>
      <c r="O516" s="294">
        <f t="shared" si="176"/>
        <v>12551595</v>
      </c>
      <c r="P516" s="294">
        <f t="shared" si="176"/>
        <v>60684696.879999995</v>
      </c>
      <c r="Q516" s="294">
        <f t="shared" si="176"/>
        <v>218195981.22</v>
      </c>
      <c r="R516" s="294">
        <f t="shared" si="176"/>
        <v>90000</v>
      </c>
      <c r="S516" s="294">
        <f t="shared" si="176"/>
        <v>505000</v>
      </c>
      <c r="T516" s="350">
        <f t="shared" si="164"/>
        <v>292232273.1</v>
      </c>
      <c r="U516" s="73">
        <f>S516+Q516+P516+O516+N516+M516+R516</f>
        <v>736889036.1</v>
      </c>
      <c r="V516" s="73">
        <v>736889036.1</v>
      </c>
      <c r="W516" s="73">
        <v>736889036.1</v>
      </c>
    </row>
    <row r="517" spans="2:23" ht="12.75">
      <c r="B517" s="587"/>
      <c r="C517" s="587"/>
      <c r="D517" s="588"/>
      <c r="E517" s="587"/>
      <c r="F517" s="589"/>
      <c r="G517" s="588"/>
      <c r="H517" s="497"/>
      <c r="I517" s="497"/>
      <c r="J517" s="497"/>
      <c r="K517" s="967"/>
      <c r="L517" s="967"/>
      <c r="N517" s="362"/>
      <c r="O517" s="362"/>
      <c r="P517" s="362"/>
      <c r="Q517" s="418"/>
      <c r="R517" s="418"/>
      <c r="S517" s="498"/>
      <c r="T517" s="498"/>
      <c r="U517" s="499"/>
      <c r="V517" s="499"/>
      <c r="W517" s="499"/>
    </row>
    <row r="518" spans="2:23" ht="81.75" customHeight="1">
      <c r="B518" s="1345"/>
      <c r="C518" s="1342"/>
      <c r="D518" s="1342"/>
      <c r="E518" s="1342"/>
      <c r="F518" s="1342"/>
      <c r="G518" s="1342"/>
      <c r="H518" s="1342"/>
      <c r="I518" s="1342"/>
      <c r="J518" s="1342"/>
      <c r="N518" s="362"/>
      <c r="O518" s="362"/>
      <c r="P518" s="362"/>
      <c r="Q518" s="362"/>
      <c r="R518" s="362"/>
      <c r="S518" s="275"/>
      <c r="T518" s="275"/>
      <c r="U518" s="499"/>
      <c r="V518" s="499"/>
      <c r="W518" s="499"/>
    </row>
    <row r="519" spans="2:23" ht="12.75">
      <c r="B519" s="1345"/>
      <c r="C519" s="1342"/>
      <c r="D519" s="1342"/>
      <c r="E519" s="1342"/>
      <c r="F519" s="1342"/>
      <c r="G519" s="1342"/>
      <c r="H519" s="1342"/>
      <c r="I519" s="1342"/>
      <c r="J519" s="1342"/>
      <c r="N519" s="409"/>
      <c r="O519" s="362"/>
      <c r="P519" s="362"/>
      <c r="Q519" s="362"/>
      <c r="R519" s="362"/>
      <c r="S519" s="275"/>
      <c r="T519" s="275"/>
      <c r="U519" s="499"/>
      <c r="V519" s="499"/>
      <c r="W519" s="499"/>
    </row>
    <row r="520" spans="2:23" ht="12.75" hidden="1">
      <c r="B520" s="1345"/>
      <c r="C520" s="1342"/>
      <c r="D520" s="1342"/>
      <c r="E520" s="1342"/>
      <c r="F520" s="1342"/>
      <c r="G520" s="1342"/>
      <c r="H520" s="1342"/>
      <c r="I520" s="1342"/>
      <c r="J520" s="1342"/>
      <c r="N520" s="362"/>
      <c r="O520" s="362"/>
      <c r="P520" s="362"/>
      <c r="Q520" s="362"/>
      <c r="R520" s="362"/>
      <c r="S520" s="275"/>
      <c r="T520" s="275"/>
      <c r="U520" s="499"/>
      <c r="V520" s="499"/>
      <c r="W520" s="499"/>
    </row>
    <row r="521" spans="2:23" ht="12.75" hidden="1">
      <c r="B521" s="1342"/>
      <c r="C521" s="1342"/>
      <c r="D521" s="1342"/>
      <c r="E521" s="1342"/>
      <c r="F521" s="1342"/>
      <c r="G521" s="1342"/>
      <c r="H521" s="1342"/>
      <c r="I521" s="1342"/>
      <c r="J521" s="1342"/>
      <c r="M521" s="569"/>
      <c r="N521" s="570">
        <v>411</v>
      </c>
      <c r="O521" s="362"/>
      <c r="P521" s="362"/>
      <c r="Q521" s="362"/>
      <c r="R521" s="362"/>
      <c r="S521" s="500"/>
      <c r="T521" s="500"/>
      <c r="U521" s="499"/>
      <c r="V521" s="499"/>
      <c r="W521" s="499"/>
    </row>
    <row r="522" spans="2:23" ht="12.75" hidden="1">
      <c r="B522" s="1342"/>
      <c r="C522" s="1342"/>
      <c r="D522" s="1342"/>
      <c r="E522" s="1342"/>
      <c r="F522" s="1342"/>
      <c r="G522" s="1342"/>
      <c r="H522" s="1342"/>
      <c r="I522" s="1342"/>
      <c r="J522" s="1342"/>
      <c r="M522" s="419"/>
      <c r="N522" s="570">
        <v>412</v>
      </c>
      <c r="O522" s="362"/>
      <c r="P522" s="362"/>
      <c r="Q522" s="362"/>
      <c r="R522" s="362"/>
      <c r="S522" s="362"/>
      <c r="T522" s="362"/>
      <c r="U522" s="499"/>
      <c r="V522" s="499"/>
      <c r="W522" s="499"/>
    </row>
    <row r="523" spans="13:23" ht="12.75" hidden="1">
      <c r="M523" s="572"/>
      <c r="N523" s="571" t="s">
        <v>1198</v>
      </c>
      <c r="O523" s="362"/>
      <c r="P523" s="362"/>
      <c r="Q523" s="362"/>
      <c r="R523" s="362"/>
      <c r="S523" s="362"/>
      <c r="T523" s="362"/>
      <c r="U523" s="499"/>
      <c r="V523" s="499"/>
      <c r="W523" s="499"/>
    </row>
    <row r="524" spans="13:23" ht="12.75" hidden="1">
      <c r="M524" s="409"/>
      <c r="N524" s="362"/>
      <c r="O524" s="362"/>
      <c r="P524" s="362"/>
      <c r="Q524" s="362"/>
      <c r="R524" s="362"/>
      <c r="S524" s="275"/>
      <c r="T524" s="275"/>
      <c r="U524" s="501"/>
      <c r="V524" s="501"/>
      <c r="W524" s="501"/>
    </row>
    <row r="525" spans="13:23" ht="12.75">
      <c r="M525" s="64"/>
      <c r="N525" s="362"/>
      <c r="O525" s="362"/>
      <c r="P525" s="362"/>
      <c r="Q525" s="362"/>
      <c r="R525" s="362"/>
      <c r="S525" s="362"/>
      <c r="T525" s="362"/>
      <c r="U525" s="499"/>
      <c r="V525" s="499"/>
      <c r="W525" s="499"/>
    </row>
    <row r="526" ht="12.75">
      <c r="M526" s="409"/>
    </row>
    <row r="527" ht="12.75">
      <c r="M527" s="409"/>
    </row>
    <row r="528" ht="12.75">
      <c r="M528" s="409"/>
    </row>
    <row r="529" spans="2:23" ht="12.75">
      <c r="B529" s="355"/>
      <c r="C529" s="355"/>
      <c r="D529" s="355"/>
      <c r="E529" s="355"/>
      <c r="F529" s="355"/>
      <c r="G529" s="355"/>
      <c r="M529" s="409"/>
      <c r="U529" s="355"/>
      <c r="V529" s="355"/>
      <c r="W529" s="355"/>
    </row>
    <row r="530" spans="2:23" ht="12.75">
      <c r="B530" s="355"/>
      <c r="C530" s="355"/>
      <c r="D530" s="355"/>
      <c r="E530" s="355"/>
      <c r="F530" s="355"/>
      <c r="G530" s="355"/>
      <c r="M530" s="409"/>
      <c r="U530" s="355"/>
      <c r="V530" s="355"/>
      <c r="W530" s="355"/>
    </row>
    <row r="531" spans="2:23" ht="12.75">
      <c r="B531" s="355"/>
      <c r="C531" s="355"/>
      <c r="D531" s="355"/>
      <c r="E531" s="355"/>
      <c r="F531" s="355"/>
      <c r="G531" s="355"/>
      <c r="M531" s="409"/>
      <c r="U531" s="355"/>
      <c r="V531" s="355"/>
      <c r="W531" s="355"/>
    </row>
    <row r="532" spans="2:23" ht="12.75">
      <c r="B532" s="355"/>
      <c r="C532" s="355"/>
      <c r="D532" s="355"/>
      <c r="E532" s="355"/>
      <c r="F532" s="355"/>
      <c r="G532" s="355"/>
      <c r="M532" s="409"/>
      <c r="U532" s="355"/>
      <c r="V532" s="355"/>
      <c r="W532" s="355"/>
    </row>
    <row r="559" spans="2:23" ht="12.75">
      <c r="B559" s="355"/>
      <c r="C559" s="355"/>
      <c r="D559" s="355"/>
      <c r="E559" s="355"/>
      <c r="F559" s="355"/>
      <c r="G559" s="355"/>
      <c r="M559" s="409"/>
      <c r="U559" s="355"/>
      <c r="V559" s="355"/>
      <c r="W559" s="355"/>
    </row>
    <row r="560" spans="2:23" ht="12.75">
      <c r="B560" s="355"/>
      <c r="C560" s="355"/>
      <c r="D560" s="355"/>
      <c r="E560" s="355"/>
      <c r="F560" s="355"/>
      <c r="G560" s="355"/>
      <c r="M560" s="409"/>
      <c r="U560" s="355"/>
      <c r="V560" s="355"/>
      <c r="W560" s="355"/>
    </row>
    <row r="562" spans="2:23" ht="12.75">
      <c r="B562" s="355"/>
      <c r="C562" s="355"/>
      <c r="D562" s="355"/>
      <c r="E562" s="355"/>
      <c r="F562" s="355"/>
      <c r="G562" s="355"/>
      <c r="M562" s="409"/>
      <c r="U562" s="355"/>
      <c r="V562" s="355"/>
      <c r="W562" s="355"/>
    </row>
    <row r="570" spans="2:23" ht="12.75">
      <c r="B570" s="355"/>
      <c r="C570" s="355"/>
      <c r="D570" s="355"/>
      <c r="E570" s="355"/>
      <c r="F570" s="355"/>
      <c r="G570" s="355"/>
      <c r="N570" s="383"/>
      <c r="U570" s="355"/>
      <c r="V570" s="355"/>
      <c r="W570" s="355"/>
    </row>
  </sheetData>
  <sheetProtection/>
  <mergeCells count="445">
    <mergeCell ref="I2:P2"/>
    <mergeCell ref="H104:J104"/>
    <mergeCell ref="H475:J475"/>
    <mergeCell ref="H120:J120"/>
    <mergeCell ref="H83:J83"/>
    <mergeCell ref="H125:J125"/>
    <mergeCell ref="H124:J124"/>
    <mergeCell ref="H106:J106"/>
    <mergeCell ref="H109:J109"/>
    <mergeCell ref="H437:J437"/>
    <mergeCell ref="H481:J481"/>
    <mergeCell ref="H424:J424"/>
    <mergeCell ref="H142:J142"/>
    <mergeCell ref="H210:J210"/>
    <mergeCell ref="H205:J205"/>
    <mergeCell ref="H179:J179"/>
    <mergeCell ref="H267:J267"/>
    <mergeCell ref="H333:J333"/>
    <mergeCell ref="H201:J201"/>
    <mergeCell ref="H291:J291"/>
    <mergeCell ref="H290:J290"/>
    <mergeCell ref="H180:J180"/>
    <mergeCell ref="H202:J202"/>
    <mergeCell ref="H204:J204"/>
    <mergeCell ref="H213:J213"/>
    <mergeCell ref="H230:J230"/>
    <mergeCell ref="H216:J216"/>
    <mergeCell ref="H288:J288"/>
    <mergeCell ref="H208:J208"/>
    <mergeCell ref="H244:J244"/>
    <mergeCell ref="H214:J214"/>
    <mergeCell ref="H215:J215"/>
    <mergeCell ref="H218:J218"/>
    <mergeCell ref="H227:J227"/>
    <mergeCell ref="H221:J221"/>
    <mergeCell ref="H281:J281"/>
    <mergeCell ref="H220:J220"/>
    <mergeCell ref="H223:J223"/>
    <mergeCell ref="H225:J225"/>
    <mergeCell ref="H219:J219"/>
    <mergeCell ref="H212:J212"/>
    <mergeCell ref="H206:J206"/>
    <mergeCell ref="H209:J209"/>
    <mergeCell ref="H112:J112"/>
    <mergeCell ref="H151:J151"/>
    <mergeCell ref="H186:J186"/>
    <mergeCell ref="H147:J147"/>
    <mergeCell ref="H168:J168"/>
    <mergeCell ref="H152:J152"/>
    <mergeCell ref="H155:J155"/>
    <mergeCell ref="H200:J200"/>
    <mergeCell ref="H197:J197"/>
    <mergeCell ref="H193:I193"/>
    <mergeCell ref="H188:J188"/>
    <mergeCell ref="H199:J199"/>
    <mergeCell ref="H194:J194"/>
    <mergeCell ref="H191:J191"/>
    <mergeCell ref="H161:J161"/>
    <mergeCell ref="H144:J144"/>
    <mergeCell ref="H148:J148"/>
    <mergeCell ref="H176:J176"/>
    <mergeCell ref="H177:J177"/>
    <mergeCell ref="H146:J146"/>
    <mergeCell ref="H160:J160"/>
    <mergeCell ref="H166:J166"/>
    <mergeCell ref="H162:J162"/>
    <mergeCell ref="H165:J165"/>
    <mergeCell ref="H181:J181"/>
    <mergeCell ref="H171:J171"/>
    <mergeCell ref="H175:J175"/>
    <mergeCell ref="H183:J183"/>
    <mergeCell ref="H198:J198"/>
    <mergeCell ref="H195:J195"/>
    <mergeCell ref="H192:J192"/>
    <mergeCell ref="H178:J178"/>
    <mergeCell ref="H119:J119"/>
    <mergeCell ref="H174:J174"/>
    <mergeCell ref="H127:J127"/>
    <mergeCell ref="H126:J126"/>
    <mergeCell ref="H169:J169"/>
    <mergeCell ref="H134:J134"/>
    <mergeCell ref="H149:J149"/>
    <mergeCell ref="H133:J133"/>
    <mergeCell ref="H153:J153"/>
    <mergeCell ref="H137:J137"/>
    <mergeCell ref="H141:J141"/>
    <mergeCell ref="H135:J135"/>
    <mergeCell ref="H143:J143"/>
    <mergeCell ref="H140:J140"/>
    <mergeCell ref="H121:J121"/>
    <mergeCell ref="H138:J138"/>
    <mergeCell ref="H131:J131"/>
    <mergeCell ref="H139:J139"/>
    <mergeCell ref="H122:J122"/>
    <mergeCell ref="H123:J123"/>
    <mergeCell ref="H132:J132"/>
    <mergeCell ref="H130:J130"/>
    <mergeCell ref="H136:J136"/>
    <mergeCell ref="H117:J117"/>
    <mergeCell ref="H113:J113"/>
    <mergeCell ref="H96:J96"/>
    <mergeCell ref="H114:J114"/>
    <mergeCell ref="H108:J108"/>
    <mergeCell ref="H118:J118"/>
    <mergeCell ref="H115:J115"/>
    <mergeCell ref="H98:J98"/>
    <mergeCell ref="H18:J18"/>
    <mergeCell ref="H19:J19"/>
    <mergeCell ref="H95:J95"/>
    <mergeCell ref="B518:J522"/>
    <mergeCell ref="H452:J452"/>
    <mergeCell ref="H289:J289"/>
    <mergeCell ref="H345:J345"/>
    <mergeCell ref="H100:J100"/>
    <mergeCell ref="H425:J425"/>
    <mergeCell ref="H110:J110"/>
    <mergeCell ref="M4:U4"/>
    <mergeCell ref="H14:J14"/>
    <mergeCell ref="H6:J6"/>
    <mergeCell ref="H10:J10"/>
    <mergeCell ref="H8:J8"/>
    <mergeCell ref="H16:J16"/>
    <mergeCell ref="H15:J15"/>
    <mergeCell ref="H9:J9"/>
    <mergeCell ref="H13:J13"/>
    <mergeCell ref="H11:J11"/>
    <mergeCell ref="H7:J7"/>
    <mergeCell ref="H28:J28"/>
    <mergeCell ref="H29:J29"/>
    <mergeCell ref="H20:J20"/>
    <mergeCell ref="H25:J25"/>
    <mergeCell ref="H24:J24"/>
    <mergeCell ref="H23:J23"/>
    <mergeCell ref="H26:J26"/>
    <mergeCell ref="H12:J12"/>
    <mergeCell ref="H17:J17"/>
    <mergeCell ref="H38:J38"/>
    <mergeCell ref="H48:J48"/>
    <mergeCell ref="H45:J45"/>
    <mergeCell ref="H39:J39"/>
    <mergeCell ref="H50:J50"/>
    <mergeCell ref="H49:J49"/>
    <mergeCell ref="H41:J41"/>
    <mergeCell ref="H42:J42"/>
    <mergeCell ref="H30:J30"/>
    <mergeCell ref="H27:J27"/>
    <mergeCell ref="H40:J40"/>
    <mergeCell ref="H33:J33"/>
    <mergeCell ref="H34:J34"/>
    <mergeCell ref="H35:J35"/>
    <mergeCell ref="H36:J36"/>
    <mergeCell ref="H37:J37"/>
    <mergeCell ref="H31:J31"/>
    <mergeCell ref="H32:J32"/>
    <mergeCell ref="H43:J43"/>
    <mergeCell ref="H66:J66"/>
    <mergeCell ref="H55:J55"/>
    <mergeCell ref="H52:J52"/>
    <mergeCell ref="H46:J46"/>
    <mergeCell ref="H51:J51"/>
    <mergeCell ref="H47:J47"/>
    <mergeCell ref="H44:J44"/>
    <mergeCell ref="H54:J54"/>
    <mergeCell ref="H53:J53"/>
    <mergeCell ref="H433:J433"/>
    <mergeCell ref="H68:J68"/>
    <mergeCell ref="H156:J156"/>
    <mergeCell ref="H159:J159"/>
    <mergeCell ref="H72:J72"/>
    <mergeCell ref="H57:J57"/>
    <mergeCell ref="H426:J426"/>
    <mergeCell ref="H349:J349"/>
    <mergeCell ref="H99:J99"/>
    <mergeCell ref="H111:J111"/>
    <mergeCell ref="H459:J459"/>
    <mergeCell ref="H443:J443"/>
    <mergeCell ref="H402:J402"/>
    <mergeCell ref="H439:I439"/>
    <mergeCell ref="H428:J428"/>
    <mergeCell ref="H444:J444"/>
    <mergeCell ref="H441:J441"/>
    <mergeCell ref="H449:J449"/>
    <mergeCell ref="H446:J446"/>
    <mergeCell ref="H454:J454"/>
    <mergeCell ref="H460:I460"/>
    <mergeCell ref="H457:I457"/>
    <mergeCell ref="H482:J482"/>
    <mergeCell ref="H469:J469"/>
    <mergeCell ref="H471:I471"/>
    <mergeCell ref="H450:J450"/>
    <mergeCell ref="H458:J458"/>
    <mergeCell ref="H461:J461"/>
    <mergeCell ref="H465:J465"/>
    <mergeCell ref="H473:I473"/>
    <mergeCell ref="H470:I470"/>
    <mergeCell ref="H462:J462"/>
    <mergeCell ref="H467:J467"/>
    <mergeCell ref="H480:J480"/>
    <mergeCell ref="H468:J468"/>
    <mergeCell ref="H472:J472"/>
    <mergeCell ref="H477:J477"/>
    <mergeCell ref="H479:J479"/>
    <mergeCell ref="H483:J483"/>
    <mergeCell ref="H490:J490"/>
    <mergeCell ref="H487:J487"/>
    <mergeCell ref="H486:J486"/>
    <mergeCell ref="H484:J484"/>
    <mergeCell ref="H485:J485"/>
    <mergeCell ref="H505:J505"/>
    <mergeCell ref="H500:J500"/>
    <mergeCell ref="H497:I497"/>
    <mergeCell ref="H503:J503"/>
    <mergeCell ref="H504:J504"/>
    <mergeCell ref="H488:J488"/>
    <mergeCell ref="H489:J489"/>
    <mergeCell ref="H499:I499"/>
    <mergeCell ref="H492:J492"/>
    <mergeCell ref="H493:J493"/>
    <mergeCell ref="H496:I496"/>
    <mergeCell ref="H495:J495"/>
    <mergeCell ref="H498:I498"/>
    <mergeCell ref="H494:J494"/>
    <mergeCell ref="H97:J97"/>
    <mergeCell ref="H86:J86"/>
    <mergeCell ref="H87:J87"/>
    <mergeCell ref="H456:J456"/>
    <mergeCell ref="H440:J440"/>
    <mergeCell ref="H429:J429"/>
    <mergeCell ref="H513:J513"/>
    <mergeCell ref="H509:J509"/>
    <mergeCell ref="H512:J512"/>
    <mergeCell ref="H508:J508"/>
    <mergeCell ref="H507:I507"/>
    <mergeCell ref="H506:J506"/>
    <mergeCell ref="H103:J103"/>
    <mergeCell ref="H107:J107"/>
    <mergeCell ref="H88:J88"/>
    <mergeCell ref="H93:J93"/>
    <mergeCell ref="H92:J92"/>
    <mergeCell ref="H101:J101"/>
    <mergeCell ref="H102:J102"/>
    <mergeCell ref="H105:J105"/>
    <mergeCell ref="H90:J90"/>
    <mergeCell ref="H94:J94"/>
    <mergeCell ref="H81:J81"/>
    <mergeCell ref="H77:J77"/>
    <mergeCell ref="H79:J79"/>
    <mergeCell ref="H75:J75"/>
    <mergeCell ref="H80:J80"/>
    <mergeCell ref="H78:I78"/>
    <mergeCell ref="H89:J89"/>
    <mergeCell ref="H91:J91"/>
    <mergeCell ref="H82:J82"/>
    <mergeCell ref="H60:J60"/>
    <mergeCell ref="H65:J65"/>
    <mergeCell ref="H64:J64"/>
    <mergeCell ref="H71:J71"/>
    <mergeCell ref="H76:J76"/>
    <mergeCell ref="H85:J85"/>
    <mergeCell ref="H70:J70"/>
    <mergeCell ref="H62:J62"/>
    <mergeCell ref="H69:J69"/>
    <mergeCell ref="H84:J84"/>
    <mergeCell ref="H417:J417"/>
    <mergeCell ref="H442:J442"/>
    <mergeCell ref="H434:J434"/>
    <mergeCell ref="H423:J423"/>
    <mergeCell ref="H432:J432"/>
    <mergeCell ref="H389:J389"/>
    <mergeCell ref="H348:J348"/>
    <mergeCell ref="H56:J56"/>
    <mergeCell ref="H67:J67"/>
    <mergeCell ref="H61:J61"/>
    <mergeCell ref="H59:J59"/>
    <mergeCell ref="H63:J63"/>
    <mergeCell ref="H427:J427"/>
    <mergeCell ref="H399:J399"/>
    <mergeCell ref="H414:J414"/>
    <mergeCell ref="H410:J410"/>
    <mergeCell ref="H334:J334"/>
    <mergeCell ref="H455:J455"/>
    <mergeCell ref="H447:J447"/>
    <mergeCell ref="H448:J448"/>
    <mergeCell ref="H451:J451"/>
    <mergeCell ref="H445:J445"/>
    <mergeCell ref="H396:J396"/>
    <mergeCell ref="H416:J416"/>
    <mergeCell ref="H409:J409"/>
    <mergeCell ref="H415:J415"/>
    <mergeCell ref="H398:J398"/>
    <mergeCell ref="H357:J357"/>
    <mergeCell ref="H363:J363"/>
    <mergeCell ref="H321:J321"/>
    <mergeCell ref="H311:J311"/>
    <mergeCell ref="H365:J365"/>
    <mergeCell ref="H305:J305"/>
    <mergeCell ref="H338:J338"/>
    <mergeCell ref="H354:J354"/>
    <mergeCell ref="H313:J313"/>
    <mergeCell ref="H327:J327"/>
    <mergeCell ref="H369:J369"/>
    <mergeCell ref="H367:J367"/>
    <mergeCell ref="H391:J391"/>
    <mergeCell ref="H361:J361"/>
    <mergeCell ref="H344:J344"/>
    <mergeCell ref="H341:J341"/>
    <mergeCell ref="H388:J388"/>
    <mergeCell ref="H372:J372"/>
    <mergeCell ref="H351:J351"/>
    <mergeCell ref="H366:J366"/>
    <mergeCell ref="H284:J284"/>
    <mergeCell ref="H331:J331"/>
    <mergeCell ref="H330:J330"/>
    <mergeCell ref="H229:J229"/>
    <mergeCell ref="H312:J312"/>
    <mergeCell ref="H231:J231"/>
    <mergeCell ref="H271:J271"/>
    <mergeCell ref="H253:J253"/>
    <mergeCell ref="H303:J303"/>
    <mergeCell ref="H287:J287"/>
    <mergeCell ref="H222:J222"/>
    <mergeCell ref="H226:J226"/>
    <mergeCell ref="H355:J355"/>
    <mergeCell ref="H340:J340"/>
    <mergeCell ref="H297:J297"/>
    <mergeCell ref="H250:J250"/>
    <mergeCell ref="H233:J233"/>
    <mergeCell ref="H234:J234"/>
    <mergeCell ref="H246:J246"/>
    <mergeCell ref="H248:J248"/>
    <mergeCell ref="H294:J294"/>
    <mergeCell ref="H392:J392"/>
    <mergeCell ref="H292:J292"/>
    <mergeCell ref="H237:J237"/>
    <mergeCell ref="H245:J245"/>
    <mergeCell ref="H241:I241"/>
    <mergeCell ref="H240:J240"/>
    <mergeCell ref="H239:J239"/>
    <mergeCell ref="H264:J264"/>
    <mergeCell ref="H298:J298"/>
    <mergeCell ref="H236:J236"/>
    <mergeCell ref="H255:J255"/>
    <mergeCell ref="H256:J256"/>
    <mergeCell ref="H251:J251"/>
    <mergeCell ref="H266:J266"/>
    <mergeCell ref="H238:J238"/>
    <mergeCell ref="H247:J247"/>
    <mergeCell ref="H257:J257"/>
    <mergeCell ref="H243:J243"/>
    <mergeCell ref="H274:J274"/>
    <mergeCell ref="H262:I262"/>
    <mergeCell ref="H276:J276"/>
    <mergeCell ref="H249:J249"/>
    <mergeCell ref="H270:J270"/>
    <mergeCell ref="H252:J252"/>
    <mergeCell ref="H254:J254"/>
    <mergeCell ref="H269:J269"/>
    <mergeCell ref="H265:J265"/>
    <mergeCell ref="H273:J273"/>
    <mergeCell ref="H295:J295"/>
    <mergeCell ref="H310:J310"/>
    <mergeCell ref="H307:J307"/>
    <mergeCell ref="H275:J275"/>
    <mergeCell ref="H277:J277"/>
    <mergeCell ref="H302:J302"/>
    <mergeCell ref="H279:J279"/>
    <mergeCell ref="H301:J301"/>
    <mergeCell ref="H293:J293"/>
    <mergeCell ref="H278:J278"/>
    <mergeCell ref="H280:J280"/>
    <mergeCell ref="H318:J318"/>
    <mergeCell ref="H282:J282"/>
    <mergeCell ref="H283:J283"/>
    <mergeCell ref="H326:J326"/>
    <mergeCell ref="H314:I314"/>
    <mergeCell ref="H285:I285"/>
    <mergeCell ref="H286:J286"/>
    <mergeCell ref="H304:J304"/>
    <mergeCell ref="H325:J325"/>
    <mergeCell ref="H320:J320"/>
    <mergeCell ref="H322:J322"/>
    <mergeCell ref="H299:J299"/>
    <mergeCell ref="H317:J317"/>
    <mergeCell ref="H309:J309"/>
    <mergeCell ref="H300:J300"/>
    <mergeCell ref="H347:J347"/>
    <mergeCell ref="H343:I343"/>
    <mergeCell ref="H332:I332"/>
    <mergeCell ref="H319:J319"/>
    <mergeCell ref="H360:J360"/>
    <mergeCell ref="H350:J350"/>
    <mergeCell ref="H346:J346"/>
    <mergeCell ref="H336:J336"/>
    <mergeCell ref="H358:J358"/>
    <mergeCell ref="H324:J324"/>
    <mergeCell ref="H368:J368"/>
    <mergeCell ref="H356:J356"/>
    <mergeCell ref="H339:J339"/>
    <mergeCell ref="H353:J353"/>
    <mergeCell ref="H371:J371"/>
    <mergeCell ref="H364:J364"/>
    <mergeCell ref="H359:J359"/>
    <mergeCell ref="H352:J352"/>
    <mergeCell ref="H362:J362"/>
    <mergeCell ref="H342:J342"/>
    <mergeCell ref="H370:J370"/>
    <mergeCell ref="H376:J376"/>
    <mergeCell ref="H385:J385"/>
    <mergeCell ref="H400:J400"/>
    <mergeCell ref="H411:J411"/>
    <mergeCell ref="H373:J373"/>
    <mergeCell ref="H387:J387"/>
    <mergeCell ref="H379:J379"/>
    <mergeCell ref="H405:J405"/>
    <mergeCell ref="H375:J375"/>
    <mergeCell ref="H412:J412"/>
    <mergeCell ref="H408:J408"/>
    <mergeCell ref="H383:J383"/>
    <mergeCell ref="H397:J397"/>
    <mergeCell ref="H403:J403"/>
    <mergeCell ref="H380:J380"/>
    <mergeCell ref="H394:J394"/>
    <mergeCell ref="H393:J393"/>
    <mergeCell ref="H384:J384"/>
    <mergeCell ref="B516:J516"/>
    <mergeCell ref="H436:J436"/>
    <mergeCell ref="H431:J431"/>
    <mergeCell ref="H491:J491"/>
    <mergeCell ref="H413:J413"/>
    <mergeCell ref="H374:J374"/>
    <mergeCell ref="H386:J386"/>
    <mergeCell ref="H377:J377"/>
    <mergeCell ref="H378:J378"/>
    <mergeCell ref="H407:J407"/>
    <mergeCell ref="H418:J418"/>
    <mergeCell ref="H419:J419"/>
    <mergeCell ref="H422:J422"/>
    <mergeCell ref="H430:I430"/>
    <mergeCell ref="H438:J438"/>
    <mergeCell ref="H381:J381"/>
    <mergeCell ref="H390:J390"/>
    <mergeCell ref="H406:J406"/>
    <mergeCell ref="H401:J401"/>
    <mergeCell ref="H404:J404"/>
  </mergeCells>
  <printOptions/>
  <pageMargins left="0.1968503937007874" right="0.1968503937007874" top="0.15748031496062992" bottom="0.3937007874015748" header="0.15748031496062992" footer="0.2755905511811024"/>
  <pageSetup horizontalDpi="600" verticalDpi="600" orientation="landscape" paperSize="9" scale="60" r:id="rId2"/>
  <headerFooter scaleWithDoc="0"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D25" sqref="C25:I25"/>
    </sheetView>
  </sheetViews>
  <sheetFormatPr defaultColWidth="9.140625" defaultRowHeight="12.75"/>
  <cols>
    <col min="1" max="1" width="6.140625" style="283" customWidth="1"/>
    <col min="2" max="2" width="35.28125" style="22" customWidth="1"/>
    <col min="3" max="3" width="13.421875" style="26" bestFit="1" customWidth="1"/>
    <col min="4" max="5" width="12.00390625" style="43" bestFit="1" customWidth="1"/>
    <col min="6" max="6" width="12.28125" style="26" bestFit="1" customWidth="1"/>
    <col min="7" max="7" width="14.57421875" style="26" customWidth="1"/>
    <col min="8" max="8" width="12.00390625" style="26" bestFit="1" customWidth="1"/>
    <col min="9" max="9" width="14.57421875" style="26" bestFit="1" customWidth="1"/>
    <col min="10" max="10" width="13.8515625" style="1" bestFit="1" customWidth="1"/>
    <col min="11" max="11" width="15.57421875" style="22" customWidth="1"/>
    <col min="12" max="16384" width="9.140625" style="22" customWidth="1"/>
  </cols>
  <sheetData>
    <row r="1" spans="1:10" s="23" customFormat="1" ht="12.75">
      <c r="A1" s="1364" t="s">
        <v>1546</v>
      </c>
      <c r="B1" s="1364"/>
      <c r="C1" s="1364"/>
      <c r="D1" s="1364"/>
      <c r="E1" s="1364"/>
      <c r="F1" s="1364"/>
      <c r="G1" s="272"/>
      <c r="H1" s="272"/>
      <c r="I1" s="272"/>
      <c r="J1" s="273"/>
    </row>
    <row r="2" spans="1:4" ht="13.5" thickBot="1">
      <c r="A2" s="274"/>
      <c r="B2" s="23"/>
      <c r="C2" s="42"/>
      <c r="D2" s="275"/>
    </row>
    <row r="3" spans="1:10" s="23" customFormat="1" ht="66" customHeight="1" thickBot="1">
      <c r="A3" s="1006" t="s">
        <v>23</v>
      </c>
      <c r="B3" s="1007" t="s">
        <v>24</v>
      </c>
      <c r="C3" s="1008" t="s">
        <v>1378</v>
      </c>
      <c r="D3" s="1008" t="s">
        <v>1379</v>
      </c>
      <c r="E3" s="1008" t="s">
        <v>1380</v>
      </c>
      <c r="F3" s="1008" t="s">
        <v>1381</v>
      </c>
      <c r="G3" s="1008" t="s">
        <v>1382</v>
      </c>
      <c r="H3" s="1008" t="s">
        <v>1521</v>
      </c>
      <c r="I3" s="1008" t="s">
        <v>1383</v>
      </c>
      <c r="J3" s="1009" t="s">
        <v>1547</v>
      </c>
    </row>
    <row r="4" spans="1:10" s="23" customFormat="1" ht="17.25" customHeight="1" thickBot="1">
      <c r="A4" s="1367" t="s">
        <v>25</v>
      </c>
      <c r="B4" s="1368"/>
      <c r="C4" s="1010">
        <f>C5+C12+C19+C22+C24+C28+C30+C35+C37</f>
        <v>444656763</v>
      </c>
      <c r="D4" s="1010">
        <f aca="true" t="shared" si="0" ref="D4:I4">D5+D12+D19+D22+D24+D28+D30+D35+D37</f>
        <v>205000</v>
      </c>
      <c r="E4" s="1010">
        <f t="shared" si="0"/>
        <v>12551595</v>
      </c>
      <c r="F4" s="1010">
        <f t="shared" si="0"/>
        <v>60684696.879999995</v>
      </c>
      <c r="G4" s="1010">
        <f t="shared" si="0"/>
        <v>218195981.22</v>
      </c>
      <c r="H4" s="1010">
        <f t="shared" si="0"/>
        <v>90000</v>
      </c>
      <c r="I4" s="1010">
        <f t="shared" si="0"/>
        <v>505000</v>
      </c>
      <c r="J4" s="1010">
        <f>SUM(C4:I4)</f>
        <v>736889036.1</v>
      </c>
    </row>
    <row r="5" spans="1:10" s="23" customFormat="1" ht="15" customHeight="1" thickBot="1">
      <c r="A5" s="1011">
        <v>41</v>
      </c>
      <c r="B5" s="1012" t="s">
        <v>26</v>
      </c>
      <c r="C5" s="1013">
        <f aca="true" t="shared" si="1" ref="C5:I5">SUM(C6:C11)</f>
        <v>111356878</v>
      </c>
      <c r="D5" s="1013">
        <f t="shared" si="1"/>
        <v>0</v>
      </c>
      <c r="E5" s="1013">
        <f t="shared" si="1"/>
        <v>0</v>
      </c>
      <c r="F5" s="1013">
        <f t="shared" si="1"/>
        <v>575000</v>
      </c>
      <c r="G5" s="1013">
        <f t="shared" si="1"/>
        <v>250000</v>
      </c>
      <c r="H5" s="1013">
        <f t="shared" si="1"/>
        <v>0</v>
      </c>
      <c r="I5" s="1013">
        <f t="shared" si="1"/>
        <v>0</v>
      </c>
      <c r="J5" s="1010">
        <f aca="true" t="shared" si="2" ref="J5:J46">SUM(C5:I5)</f>
        <v>112181878</v>
      </c>
    </row>
    <row r="6" spans="1:11" ht="12.75">
      <c r="A6" s="1014">
        <v>411</v>
      </c>
      <c r="B6" s="1015" t="s">
        <v>27</v>
      </c>
      <c r="C6" s="1016">
        <f>'Rashodi-2020'!M11+'Rashodi-2020'!M44+'Rashodi-2020'!M62+'Rashodi-2020'!M79+'Rashodi-2020'!M440+'Rashodi-2020'!M458+'Rashodi-2020'!M508+'Rashodi-2020'!M471+'Rashodi-2020'!M34+'Rashodi-2020'!M402+'Rashodi-2020'!M380</f>
        <v>89000200</v>
      </c>
      <c r="D6" s="1016">
        <f>'Rashodi-2020'!N11+'Rashodi-2020'!N44+'Rashodi-2020'!N62+'Rashodi-2020'!N79+'Rashodi-2020'!N440+'Rashodi-2020'!N458+'Rashodi-2020'!N508+'Rashodi-2020'!N471+'Rashodi-2020'!N34+'Rashodi-2020'!N402+'Rashodi-2020'!N380</f>
        <v>0</v>
      </c>
      <c r="E6" s="1016">
        <f>'Rashodi-2020'!O11+'Rashodi-2020'!O44+'Rashodi-2020'!O62+'Rashodi-2020'!O79+'Rashodi-2020'!O440+'Rashodi-2020'!O458+'Rashodi-2020'!O508+'Rashodi-2020'!O471+'Rashodi-2020'!O34+'Rashodi-2020'!O402+'Rashodi-2020'!O380</f>
        <v>0</v>
      </c>
      <c r="F6" s="1016">
        <f>'Rashodi-2020'!P11+'Rashodi-2020'!P44+'Rashodi-2020'!P62+'Rashodi-2020'!P79+'Rashodi-2020'!P440+'Rashodi-2020'!P458+'Rashodi-2020'!P508+'Rashodi-2020'!P471+'Rashodi-2020'!P34+'Rashodi-2020'!P402+'Rashodi-2020'!P380</f>
        <v>0</v>
      </c>
      <c r="G6" s="1016">
        <f>'Rashodi-2020'!Q11+'Rashodi-2020'!Q44+'Rashodi-2020'!Q62+'Rashodi-2020'!Q79+'Rashodi-2020'!Q440+'Rashodi-2020'!Q458+'Rashodi-2020'!Q508+'Rashodi-2020'!Q471+'Rashodi-2020'!Q34+'Rashodi-2020'!Q402+'Rashodi-2020'!Q380</f>
        <v>0</v>
      </c>
      <c r="H6" s="1016">
        <f>'Rashodi-2020'!R11+'Rashodi-2020'!R44+'Rashodi-2020'!R62+'Rashodi-2020'!R79+'Rashodi-2020'!R440+'Rashodi-2020'!R458+'Rashodi-2020'!R508+'Rashodi-2020'!R471+'Rashodi-2020'!R34+'Rashodi-2020'!R402+'Rashodi-2020'!R380</f>
        <v>0</v>
      </c>
      <c r="I6" s="1016">
        <f>'Rashodi-2020'!S11+'Rashodi-2020'!S44+'Rashodi-2020'!S62+'Rashodi-2020'!S79+'Rashodi-2020'!S440+'Rashodi-2020'!S458+'Rashodi-2020'!S508+'Rashodi-2020'!S471+'Rashodi-2020'!S34+'Rashodi-2020'!S402+'Rashodi-2020'!S380</f>
        <v>0</v>
      </c>
      <c r="J6" s="1017">
        <f t="shared" si="2"/>
        <v>89000200</v>
      </c>
      <c r="K6" s="1"/>
    </row>
    <row r="7" spans="1:11" ht="12.75">
      <c r="A7" s="1018">
        <v>412</v>
      </c>
      <c r="B7" s="1019" t="s">
        <v>28</v>
      </c>
      <c r="C7" s="1020">
        <f>'Rashodi-2020'!M12+'Rashodi-2020'!M45+'Rashodi-2020'!M63+'Rashodi-2020'!M80+'Rashodi-2020'!M441+'Rashodi-2020'!M459+'Rashodi-2020'!M509+'Rashodi-2020'!M472+'Rashodi-2020'!M35+'Rashodi-2020'!M403+'Rashodi-2020'!M381</f>
        <v>15634678</v>
      </c>
      <c r="D7" s="1020">
        <f>'Rashodi-2020'!N12+'Rashodi-2020'!N45+'Rashodi-2020'!N63+'Rashodi-2020'!N80+'Rashodi-2020'!N441+'Rashodi-2020'!N459+'Rashodi-2020'!N509+'Rashodi-2020'!N472+'Rashodi-2020'!N35+'Rashodi-2020'!N403+'Rashodi-2020'!N381</f>
        <v>0</v>
      </c>
      <c r="E7" s="1020">
        <f>'Rashodi-2020'!O12+'Rashodi-2020'!O45+'Rashodi-2020'!O63+'Rashodi-2020'!O80+'Rashodi-2020'!O441+'Rashodi-2020'!O459+'Rashodi-2020'!O509+'Rashodi-2020'!O472+'Rashodi-2020'!O35+'Rashodi-2020'!O403+'Rashodi-2020'!O381</f>
        <v>0</v>
      </c>
      <c r="F7" s="1020">
        <f>'Rashodi-2020'!P12+'Rashodi-2020'!P45+'Rashodi-2020'!P63+'Rashodi-2020'!P80+'Rashodi-2020'!P441+'Rashodi-2020'!P459+'Rashodi-2020'!P509+'Rashodi-2020'!P472+'Rashodi-2020'!P35+'Rashodi-2020'!P403+'Rashodi-2020'!P381</f>
        <v>0</v>
      </c>
      <c r="G7" s="1020">
        <f>'Rashodi-2020'!Q12+'Rashodi-2020'!Q45+'Rashodi-2020'!Q63+'Rashodi-2020'!Q80+'Rashodi-2020'!Q441+'Rashodi-2020'!Q459+'Rashodi-2020'!Q509+'Rashodi-2020'!Q472+'Rashodi-2020'!Q35+'Rashodi-2020'!Q403+'Rashodi-2020'!Q381</f>
        <v>0</v>
      </c>
      <c r="H7" s="1020">
        <f>'Rashodi-2020'!R12+'Rashodi-2020'!R45+'Rashodi-2020'!R63+'Rashodi-2020'!R80+'Rashodi-2020'!R441+'Rashodi-2020'!R459+'Rashodi-2020'!R509+'Rashodi-2020'!R472+'Rashodi-2020'!R35+'Rashodi-2020'!R403+'Rashodi-2020'!R381</f>
        <v>0</v>
      </c>
      <c r="I7" s="1020">
        <f>'Rashodi-2020'!S12+'Rashodi-2020'!S45+'Rashodi-2020'!S63+'Rashodi-2020'!S80+'Rashodi-2020'!S441+'Rashodi-2020'!S459+'Rashodi-2020'!S509+'Rashodi-2020'!S472+'Rashodi-2020'!S35+'Rashodi-2020'!S403+'Rashodi-2020'!S381</f>
        <v>0</v>
      </c>
      <c r="J7" s="1021">
        <f t="shared" si="2"/>
        <v>15634678</v>
      </c>
      <c r="K7" s="1"/>
    </row>
    <row r="8" spans="1:10" ht="12.75">
      <c r="A8" s="1018">
        <v>413</v>
      </c>
      <c r="B8" s="1019" t="s">
        <v>29</v>
      </c>
      <c r="C8" s="1020">
        <f>'Rashodi-2020'!M382</f>
        <v>200000</v>
      </c>
      <c r="D8" s="1020">
        <f>'Rashodi-2020'!N382</f>
        <v>0</v>
      </c>
      <c r="E8" s="1020">
        <f>'Rashodi-2020'!O382</f>
        <v>0</v>
      </c>
      <c r="F8" s="1020">
        <f>'Rashodi-2020'!P382</f>
        <v>150000</v>
      </c>
      <c r="G8" s="1020">
        <f>'Rashodi-2020'!Q382</f>
        <v>50000</v>
      </c>
      <c r="H8" s="1020">
        <f>'Rashodi-2020'!R382</f>
        <v>0</v>
      </c>
      <c r="I8" s="1020">
        <f>'Rashodi-2020'!S382</f>
        <v>0</v>
      </c>
      <c r="J8" s="1021">
        <f t="shared" si="2"/>
        <v>400000</v>
      </c>
    </row>
    <row r="9" spans="1:10" ht="12.75">
      <c r="A9" s="1018">
        <v>414</v>
      </c>
      <c r="B9" s="1019" t="s">
        <v>30</v>
      </c>
      <c r="C9" s="1020">
        <f>'Rashodi-2020'!M81+'Rashodi-2020'!M13+'Rashodi-2020'!M46+'Rashodi-2020'!M64+'Rashodi-2020'!M404+'Rashodi-2020'!M383+'Rashodi-2020'!M442</f>
        <v>1860000</v>
      </c>
      <c r="D9" s="1020">
        <f>'Rashodi-2020'!N81+'Rashodi-2020'!N13+'Rashodi-2020'!N46+'Rashodi-2020'!N64+'Rashodi-2020'!N404+'Rashodi-2020'!N383+'Rashodi-2020'!N442</f>
        <v>0</v>
      </c>
      <c r="E9" s="1020">
        <f>'Rashodi-2020'!O81+'Rashodi-2020'!O13+'Rashodi-2020'!O46+'Rashodi-2020'!O64+'Rashodi-2020'!O404+'Rashodi-2020'!O383+'Rashodi-2020'!O442</f>
        <v>0</v>
      </c>
      <c r="F9" s="1020">
        <f>'Rashodi-2020'!P81+'Rashodi-2020'!P13+'Rashodi-2020'!P46+'Rashodi-2020'!P64+'Rashodi-2020'!P404+'Rashodi-2020'!P383+'Rashodi-2020'!P442</f>
        <v>25000</v>
      </c>
      <c r="G9" s="1020">
        <f>'Rashodi-2020'!Q81+'Rashodi-2020'!Q13+'Rashodi-2020'!Q46+'Rashodi-2020'!Q64+'Rashodi-2020'!Q404+'Rashodi-2020'!Q383+'Rashodi-2020'!Q442</f>
        <v>0</v>
      </c>
      <c r="H9" s="1020">
        <f>'Rashodi-2020'!R81+'Rashodi-2020'!R13+'Rashodi-2020'!R46+'Rashodi-2020'!R64+'Rashodi-2020'!R404+'Rashodi-2020'!R383+'Rashodi-2020'!R442</f>
        <v>0</v>
      </c>
      <c r="I9" s="1020">
        <f>'Rashodi-2020'!S81+'Rashodi-2020'!S13+'Rashodi-2020'!S46+'Rashodi-2020'!S64+'Rashodi-2020'!S404+'Rashodi-2020'!S383+'Rashodi-2020'!S442</f>
        <v>0</v>
      </c>
      <c r="J9" s="1021">
        <f t="shared" si="2"/>
        <v>1885000</v>
      </c>
    </row>
    <row r="10" spans="1:10" ht="12.75">
      <c r="A10" s="1018">
        <v>415</v>
      </c>
      <c r="B10" s="1019" t="s">
        <v>31</v>
      </c>
      <c r="C10" s="1020">
        <f>'Rashodi-2020'!M14+'Rashodi-2020'!M65+'Rashodi-2020'!M82+'Rashodi-2020'!M47+'Rashodi-2020'!M36+'Rashodi-2020'!M405+'Rashodi-2020'!M384</f>
        <v>3772000</v>
      </c>
      <c r="D10" s="1020">
        <f>'Rashodi-2020'!N14+'Rashodi-2020'!N65+'Rashodi-2020'!N82+'Rashodi-2020'!N47+'Rashodi-2020'!N36+'Rashodi-2020'!N405+'Rashodi-2020'!N384</f>
        <v>0</v>
      </c>
      <c r="E10" s="1020">
        <f>'Rashodi-2020'!O14+'Rashodi-2020'!O65+'Rashodi-2020'!O82+'Rashodi-2020'!O47+'Rashodi-2020'!O36+'Rashodi-2020'!O405+'Rashodi-2020'!O384</f>
        <v>0</v>
      </c>
      <c r="F10" s="1020">
        <f>'Rashodi-2020'!P14+'Rashodi-2020'!P65+'Rashodi-2020'!P82+'Rashodi-2020'!P47+'Rashodi-2020'!P36+'Rashodi-2020'!P405+'Rashodi-2020'!P384</f>
        <v>400000</v>
      </c>
      <c r="G10" s="1020">
        <f>'Rashodi-2020'!Q14+'Rashodi-2020'!Q65+'Rashodi-2020'!Q82+'Rashodi-2020'!Q47+'Rashodi-2020'!Q36+'Rashodi-2020'!Q405+'Rashodi-2020'!Q384</f>
        <v>200000</v>
      </c>
      <c r="H10" s="1020">
        <f>'Rashodi-2020'!R14+'Rashodi-2020'!R65+'Rashodi-2020'!R82+'Rashodi-2020'!R47+'Rashodi-2020'!R36+'Rashodi-2020'!R405+'Rashodi-2020'!R384</f>
        <v>0</v>
      </c>
      <c r="I10" s="1020">
        <f>'Rashodi-2020'!S14+'Rashodi-2020'!S65+'Rashodi-2020'!S82+'Rashodi-2020'!S47+'Rashodi-2020'!S36+'Rashodi-2020'!S405+'Rashodi-2020'!S384</f>
        <v>0</v>
      </c>
      <c r="J10" s="1021">
        <f t="shared" si="2"/>
        <v>4372000</v>
      </c>
    </row>
    <row r="11" spans="1:10" ht="13.5" thickBot="1">
      <c r="A11" s="1022">
        <v>416</v>
      </c>
      <c r="B11" s="1023" t="s">
        <v>203</v>
      </c>
      <c r="C11" s="1024">
        <f>'Rashodi-2020'!M385+'Rashodi-2020'!M83</f>
        <v>890000</v>
      </c>
      <c r="D11" s="1024">
        <f>'Rashodi-2020'!N385+'Rashodi-2020'!N83</f>
        <v>0</v>
      </c>
      <c r="E11" s="1024">
        <f>'Rashodi-2020'!O385+'Rashodi-2020'!O83</f>
        <v>0</v>
      </c>
      <c r="F11" s="1024">
        <f>'Rashodi-2020'!P385+'Rashodi-2020'!P83</f>
        <v>0</v>
      </c>
      <c r="G11" s="1024">
        <f>'Rashodi-2020'!Q385+'Rashodi-2020'!Q83</f>
        <v>0</v>
      </c>
      <c r="H11" s="1024">
        <f>'Rashodi-2020'!R385+'Rashodi-2020'!R83</f>
        <v>0</v>
      </c>
      <c r="I11" s="1024">
        <f>'Rashodi-2020'!S385+'Rashodi-2020'!S83</f>
        <v>0</v>
      </c>
      <c r="J11" s="1025">
        <f t="shared" si="2"/>
        <v>890000</v>
      </c>
    </row>
    <row r="12" spans="1:10" s="23" customFormat="1" ht="14.25" customHeight="1" thickBot="1">
      <c r="A12" s="1011">
        <v>42</v>
      </c>
      <c r="B12" s="1026" t="s">
        <v>32</v>
      </c>
      <c r="C12" s="1027">
        <f>SUM(C13:C18)</f>
        <v>141102773</v>
      </c>
      <c r="D12" s="1027">
        <f aca="true" t="shared" si="3" ref="D12:I12">SUM(D13:D18)</f>
        <v>175000</v>
      </c>
      <c r="E12" s="1027">
        <f t="shared" si="3"/>
        <v>12181595</v>
      </c>
      <c r="F12" s="1027">
        <f t="shared" si="3"/>
        <v>6699182</v>
      </c>
      <c r="G12" s="1027">
        <f t="shared" si="3"/>
        <v>89204249</v>
      </c>
      <c r="H12" s="1027">
        <f t="shared" si="3"/>
        <v>90000</v>
      </c>
      <c r="I12" s="1027">
        <f t="shared" si="3"/>
        <v>505000</v>
      </c>
      <c r="J12" s="1010">
        <f t="shared" si="2"/>
        <v>249957799</v>
      </c>
    </row>
    <row r="13" spans="1:10" ht="12.75">
      <c r="A13" s="1014">
        <v>421</v>
      </c>
      <c r="B13" s="1015" t="s">
        <v>33</v>
      </c>
      <c r="C13" s="1016">
        <f>'Rashodi-2020'!M15+'Rashodi-2020'!M48+'Rashodi-2020'!M84+'Rashodi-2020'!M431+'Rashodi-2020'!M443+'Rashodi-2020'!M460+'Rashodi-2020'!M473+'Rashodi-2020'!M484+'Rashodi-2020'!M497+'Rashodi-2020'!M510+'Rashodi-2020'!M66+'Rashodi-2020'!M273+'Rashodi-2020'!M406+'Rashodi-2020'!M386+'Rashodi-2020'!M305++'Rashodi-2020'!M37+'Rashodi-2020'!M112</f>
        <v>19864106</v>
      </c>
      <c r="D13" s="1016">
        <f>'Rashodi-2020'!N15+'Rashodi-2020'!N48+'Rashodi-2020'!N84+'Rashodi-2020'!N431+'Rashodi-2020'!N443+'Rashodi-2020'!N460+'Rashodi-2020'!N473+'Rashodi-2020'!N484+'Rashodi-2020'!N497+'Rashodi-2020'!N510+'Rashodi-2020'!N66+'Rashodi-2020'!N273+'Rashodi-2020'!N406+'Rashodi-2020'!N386+'Rashodi-2020'!N305++'Rashodi-2020'!N37+'Rashodi-2020'!N112</f>
        <v>23000</v>
      </c>
      <c r="E13" s="1016">
        <f>'Rashodi-2020'!O15+'Rashodi-2020'!O48+'Rashodi-2020'!O84+'Rashodi-2020'!O431+'Rashodi-2020'!O443+'Rashodi-2020'!O460+'Rashodi-2020'!O473+'Rashodi-2020'!O484+'Rashodi-2020'!O497+'Rashodi-2020'!O510+'Rashodi-2020'!O66+'Rashodi-2020'!O273+'Rashodi-2020'!O406+'Rashodi-2020'!O386+'Rashodi-2020'!O305++'Rashodi-2020'!O37+'Rashodi-2020'!O112</f>
        <v>0</v>
      </c>
      <c r="F13" s="1016">
        <f>'Rashodi-2020'!P15+'Rashodi-2020'!P48+'Rashodi-2020'!P84+'Rashodi-2020'!P431+'Rashodi-2020'!P443+'Rashodi-2020'!P460+'Rashodi-2020'!P473+'Rashodi-2020'!P484+'Rashodi-2020'!P497+'Rashodi-2020'!P510+'Rashodi-2020'!P66+'Rashodi-2020'!P273+'Rashodi-2020'!P406+'Rashodi-2020'!P386+'Rashodi-2020'!P305++'Rashodi-2020'!P37+'Rashodi-2020'!P112</f>
        <v>1034500</v>
      </c>
      <c r="G13" s="1016">
        <f>'Rashodi-2020'!Q15+'Rashodi-2020'!Q48+'Rashodi-2020'!Q84+'Rashodi-2020'!Q431+'Rashodi-2020'!Q443+'Rashodi-2020'!Q460+'Rashodi-2020'!Q473+'Rashodi-2020'!Q484+'Rashodi-2020'!Q497+'Rashodi-2020'!Q510+'Rashodi-2020'!Q66+'Rashodi-2020'!Q273+'Rashodi-2020'!Q406+'Rashodi-2020'!Q386+'Rashodi-2020'!Q305++'Rashodi-2020'!Q37+'Rashodi-2020'!Q112</f>
        <v>1122535</v>
      </c>
      <c r="H13" s="1016">
        <f>'Rashodi-2020'!R15+'Rashodi-2020'!R48+'Rashodi-2020'!R84+'Rashodi-2020'!R431+'Rashodi-2020'!R443+'Rashodi-2020'!R460+'Rashodi-2020'!R473+'Rashodi-2020'!R484+'Rashodi-2020'!R497+'Rashodi-2020'!R510+'Rashodi-2020'!R66+'Rashodi-2020'!R273+'Rashodi-2020'!R406+'Rashodi-2020'!R386+'Rashodi-2020'!R305++'Rashodi-2020'!R37+'Rashodi-2020'!R112</f>
        <v>0</v>
      </c>
      <c r="I13" s="1016">
        <f>'Rashodi-2020'!S15+'Rashodi-2020'!S48+'Rashodi-2020'!S84+'Rashodi-2020'!S431+'Rashodi-2020'!S443+'Rashodi-2020'!S460+'Rashodi-2020'!S473+'Rashodi-2020'!S484+'Rashodi-2020'!S497+'Rashodi-2020'!S510+'Rashodi-2020'!S66+'Rashodi-2020'!S273+'Rashodi-2020'!S406+'Rashodi-2020'!S386+'Rashodi-2020'!S305++'Rashodi-2020'!S37+'Rashodi-2020'!S112</f>
        <v>80000</v>
      </c>
      <c r="J13" s="1017">
        <f t="shared" si="2"/>
        <v>22124141</v>
      </c>
    </row>
    <row r="14" spans="1:10" ht="12.75">
      <c r="A14" s="1018">
        <v>422</v>
      </c>
      <c r="B14" s="1019" t="s">
        <v>34</v>
      </c>
      <c r="C14" s="1020">
        <f>'Rashodi-2020'!M16+'Rashodi-2020'!M49+'Rashodi-2020'!M67+'Rashodi-2020'!M85+'Rashodi-2020'!M444+'Rashodi-2020'!M485+'Rashodi-2020'!M498+'Rashodi-2020'!M407+'Rashodi-2020'!M387+'Rashodi-2020'!M113</f>
        <v>680000</v>
      </c>
      <c r="D14" s="1020">
        <f>'Rashodi-2020'!N16+'Rashodi-2020'!N49+'Rashodi-2020'!N67+'Rashodi-2020'!N85+'Rashodi-2020'!N444+'Rashodi-2020'!N485+'Rashodi-2020'!N498+'Rashodi-2020'!N407+'Rashodi-2020'!N387+'Rashodi-2020'!N113</f>
        <v>10000</v>
      </c>
      <c r="E14" s="1020">
        <f>'Rashodi-2020'!O16+'Rashodi-2020'!O49+'Rashodi-2020'!O67+'Rashodi-2020'!O85+'Rashodi-2020'!O444+'Rashodi-2020'!O485+'Rashodi-2020'!O498+'Rashodi-2020'!O407+'Rashodi-2020'!O387+'Rashodi-2020'!O113</f>
        <v>0</v>
      </c>
      <c r="F14" s="1020">
        <f>'Rashodi-2020'!P16+'Rashodi-2020'!P49+'Rashodi-2020'!P67+'Rashodi-2020'!P85+'Rashodi-2020'!P444+'Rashodi-2020'!P485+'Rashodi-2020'!P498+'Rashodi-2020'!P407+'Rashodi-2020'!P387+'Rashodi-2020'!P113</f>
        <v>0</v>
      </c>
      <c r="G14" s="1020">
        <f>'Rashodi-2020'!Q16+'Rashodi-2020'!Q49+'Rashodi-2020'!Q67+'Rashodi-2020'!Q85+'Rashodi-2020'!Q444+'Rashodi-2020'!Q485+'Rashodi-2020'!Q498+'Rashodi-2020'!Q407+'Rashodi-2020'!Q387+'Rashodi-2020'!Q113</f>
        <v>0</v>
      </c>
      <c r="H14" s="1020">
        <f>'Rashodi-2020'!R16+'Rashodi-2020'!R49+'Rashodi-2020'!R67+'Rashodi-2020'!R85+'Rashodi-2020'!R444+'Rashodi-2020'!R485+'Rashodi-2020'!R498+'Rashodi-2020'!R407+'Rashodi-2020'!R387+'Rashodi-2020'!R113</f>
        <v>40000</v>
      </c>
      <c r="I14" s="1020">
        <f>'Rashodi-2020'!S16+'Rashodi-2020'!S49+'Rashodi-2020'!S67+'Rashodi-2020'!S85+'Rashodi-2020'!S444+'Rashodi-2020'!S485+'Rashodi-2020'!S498+'Rashodi-2020'!S407+'Rashodi-2020'!S387+'Rashodi-2020'!S113</f>
        <v>40000</v>
      </c>
      <c r="J14" s="1021">
        <f t="shared" si="2"/>
        <v>770000</v>
      </c>
    </row>
    <row r="15" spans="1:10" ht="12.75">
      <c r="A15" s="1018">
        <v>423</v>
      </c>
      <c r="B15" s="1019" t="s">
        <v>35</v>
      </c>
      <c r="C15" s="1020">
        <f>'Rashodi-2020'!M19+'Rashodi-2020'!M20+'Rashodi-2020'!M50+'Rashodi-2020'!M51+'Rashodi-2020'!M52+'Rashodi-2020'!M68+'Rashodi-2020'!M70+'Rashodi-2020'!M86+'Rashodi-2020'!M88+'Rashodi-2020'!M432+'Rashodi-2020'!M445+'Rashodi-2020'!M461+'Rashodi-2020'!M474+'Rashodi-2020'!M486+'Rashodi-2020'!M499+'Rashodi-2020'!M511+'Rashodi-2020'!M71+'Rashodi-2020'!M274+'Rashodi-2020'!M53+'Rashodi-2020'!M324+'Rashodi-2020'!M114+'Rashodi-2020'!M89+'Rashodi-2020'!M17+'Rashodi-2020'!M18+'Rashodi-2020'!M69+'Rashodi-2020'!M90+'Rashodi-2020'!M408+'Rashodi-2020'!M409+'Rashodi-2020'!M419+'Rashodi-2020'!M424+'Rashodi-2020'!M388+'Rashodi-2020'!M145+'Rashodi-2020'!M126+'Rashodi-2020'!M91+'Rashodi-2020'!M87+'Rashodi-2020'!M21</f>
        <v>53346534</v>
      </c>
      <c r="D15" s="1020">
        <f>'Rashodi-2020'!N19+'Rashodi-2020'!N20+'Rashodi-2020'!N50+'Rashodi-2020'!N51+'Rashodi-2020'!N52+'Rashodi-2020'!N68+'Rashodi-2020'!N70+'Rashodi-2020'!N86+'Rashodi-2020'!N88+'Rashodi-2020'!N432+'Rashodi-2020'!N445+'Rashodi-2020'!N461+'Rashodi-2020'!N474+'Rashodi-2020'!N486+'Rashodi-2020'!N499+'Rashodi-2020'!N511+'Rashodi-2020'!N71+'Rashodi-2020'!N274+'Rashodi-2020'!N53+'Rashodi-2020'!N324+'Rashodi-2020'!N114+'Rashodi-2020'!N89+'Rashodi-2020'!N17+'Rashodi-2020'!N18+'Rashodi-2020'!N69+'Rashodi-2020'!N90+'Rashodi-2020'!N408+'Rashodi-2020'!N409+'Rashodi-2020'!N419+'Rashodi-2020'!N424+'Rashodi-2020'!N388+'Rashodi-2020'!N145+'Rashodi-2020'!N126+'Rashodi-2020'!N91</f>
        <v>50000</v>
      </c>
      <c r="E15" s="1020">
        <f>'Rashodi-2020'!O19+'Rashodi-2020'!O20+'Rashodi-2020'!O50+'Rashodi-2020'!O51+'Rashodi-2020'!O52+'Rashodi-2020'!O68+'Rashodi-2020'!O70+'Rashodi-2020'!O86+'Rashodi-2020'!O88+'Rashodi-2020'!O432+'Rashodi-2020'!O445+'Rashodi-2020'!O461+'Rashodi-2020'!O474+'Rashodi-2020'!O486+'Rashodi-2020'!O499+'Rashodi-2020'!O511+'Rashodi-2020'!O71+'Rashodi-2020'!O274+'Rashodi-2020'!O53+'Rashodi-2020'!O324+'Rashodi-2020'!O114+'Rashodi-2020'!O89+'Rashodi-2020'!O17+'Rashodi-2020'!O18+'Rashodi-2020'!O69+'Rashodi-2020'!O90+'Rashodi-2020'!O408+'Rashodi-2020'!O409+'Rashodi-2020'!O419+'Rashodi-2020'!O424+'Rashodi-2020'!O388+'Rashodi-2020'!O145+'Rashodi-2020'!O126+'Rashodi-2020'!O91</f>
        <v>10340000</v>
      </c>
      <c r="F15" s="1020">
        <f>'Rashodi-2020'!P19+'Rashodi-2020'!P20+'Rashodi-2020'!P50+'Rashodi-2020'!P51+'Rashodi-2020'!P52+'Rashodi-2020'!P68+'Rashodi-2020'!P70+'Rashodi-2020'!P86+'Rashodi-2020'!P88+'Rashodi-2020'!P432+'Rashodi-2020'!P445+'Rashodi-2020'!P461+'Rashodi-2020'!P474+'Rashodi-2020'!P486+'Rashodi-2020'!P499+'Rashodi-2020'!P511+'Rashodi-2020'!P71+'Rashodi-2020'!P274+'Rashodi-2020'!P53+'Rashodi-2020'!P324+'Rashodi-2020'!P114+'Rashodi-2020'!P89+'Rashodi-2020'!P17+'Rashodi-2020'!P18+'Rashodi-2020'!P69+'Rashodi-2020'!P90+'Rashodi-2020'!P408+'Rashodi-2020'!P409+'Rashodi-2020'!P419+'Rashodi-2020'!P424+'Rashodi-2020'!P388+'Rashodi-2020'!P145+'Rashodi-2020'!P126+'Rashodi-2020'!P91</f>
        <v>3247682</v>
      </c>
      <c r="G15" s="1020">
        <f>'Rashodi-2020'!Q19+'Rashodi-2020'!Q20+'Rashodi-2020'!Q50+'Rashodi-2020'!Q51+'Rashodi-2020'!Q52+'Rashodi-2020'!Q68+'Rashodi-2020'!Q70+'Rashodi-2020'!Q86+'Rashodi-2020'!Q88+'Rashodi-2020'!Q432+'Rashodi-2020'!Q445+'Rashodi-2020'!Q461+'Rashodi-2020'!Q474+'Rashodi-2020'!Q486+'Rashodi-2020'!Q499+'Rashodi-2020'!Q511+'Rashodi-2020'!Q71+'Rashodi-2020'!Q274+'Rashodi-2020'!Q53+'Rashodi-2020'!Q324+'Rashodi-2020'!Q114+'Rashodi-2020'!Q89+'Rashodi-2020'!Q17+'Rashodi-2020'!Q18+'Rashodi-2020'!Q69+'Rashodi-2020'!Q90+'Rashodi-2020'!Q408+'Rashodi-2020'!Q409+'Rashodi-2020'!Q419+'Rashodi-2020'!Q424+'Rashodi-2020'!Q388+'Rashodi-2020'!Q145+'Rashodi-2020'!Q126+'Rashodi-2020'!Q91</f>
        <v>6917001</v>
      </c>
      <c r="H15" s="1020">
        <f>'Rashodi-2020'!R19+'Rashodi-2020'!R20+'Rashodi-2020'!R50+'Rashodi-2020'!R51+'Rashodi-2020'!R52+'Rashodi-2020'!R68+'Rashodi-2020'!R70+'Rashodi-2020'!R86+'Rashodi-2020'!R88+'Rashodi-2020'!R432+'Rashodi-2020'!R445+'Rashodi-2020'!R461+'Rashodi-2020'!R474+'Rashodi-2020'!R486+'Rashodi-2020'!R499+'Rashodi-2020'!R511+'Rashodi-2020'!R71+'Rashodi-2020'!R274+'Rashodi-2020'!R53+'Rashodi-2020'!R324+'Rashodi-2020'!R114+'Rashodi-2020'!R89+'Rashodi-2020'!R17+'Rashodi-2020'!R18+'Rashodi-2020'!R69+'Rashodi-2020'!R90+'Rashodi-2020'!R408+'Rashodi-2020'!R409+'Rashodi-2020'!R419+'Rashodi-2020'!R424+'Rashodi-2020'!R388+'Rashodi-2020'!R145+'Rashodi-2020'!R126+'Rashodi-2020'!R91</f>
        <v>50000</v>
      </c>
      <c r="I15" s="1020">
        <f>'Rashodi-2020'!S19+'Rashodi-2020'!S20+'Rashodi-2020'!S50+'Rashodi-2020'!S51+'Rashodi-2020'!S52+'Rashodi-2020'!S68+'Rashodi-2020'!S70+'Rashodi-2020'!S86+'Rashodi-2020'!S88+'Rashodi-2020'!S432+'Rashodi-2020'!S445+'Rashodi-2020'!S461+'Rashodi-2020'!S474+'Rashodi-2020'!S486+'Rashodi-2020'!S499+'Rashodi-2020'!S511+'Rashodi-2020'!S71+'Rashodi-2020'!S274+'Rashodi-2020'!S53+'Rashodi-2020'!S324+'Rashodi-2020'!S114+'Rashodi-2020'!S89+'Rashodi-2020'!S17+'Rashodi-2020'!S18+'Rashodi-2020'!S69+'Rashodi-2020'!S90+'Rashodi-2020'!S408+'Rashodi-2020'!S409+'Rashodi-2020'!S419+'Rashodi-2020'!S424+'Rashodi-2020'!S388+'Rashodi-2020'!S145+'Rashodi-2020'!S126+'Rashodi-2020'!S91</f>
        <v>385000</v>
      </c>
      <c r="J15" s="1021">
        <f t="shared" si="2"/>
        <v>74336217</v>
      </c>
    </row>
    <row r="16" spans="1:10" ht="12.75">
      <c r="A16" s="1018">
        <v>424</v>
      </c>
      <c r="B16" s="1019" t="s">
        <v>36</v>
      </c>
      <c r="C16" s="1020">
        <f>'Rashodi-2020'!M92+'Rashodi-2020'!M446+'Rashodi-2020'!M487+'Rashodi-2020'!M512+'Rashodi-2020'!M275+'Rashodi-2020'!M276+'Rashodi-2020'!M277+'Rashodi-2020'!M325+'Rashodi-2020'!M54+'Rashodi-2020'!M290+'Rashodi-2020'!M127+'Rashodi-2020'!M410+'Rashodi-2020'!M420+'Rashodi-2020'!M389+'Rashodi-2020'!M269+'Rashodi-2020'!M295+'Rashodi-2020'!M309+'Rashodi-2020'!M366+'Rashodi-2020'!M336+'Rashodi-2020'!M298+'Rashodi-2020'!M367+'Rashodi-2020'!M371+'Rashodi-2020'!M296+'Rashodi-2020'!M326+'Rashodi-2020'!M368+'Rashodi-2020'!M369+'Rashodi-2020'!M370+'Rashodi-2020'!M291+'Rashodi-2020'!M310+'Rashodi-2020'!M337+'Rashodi-2020'!M315</f>
        <v>31408000</v>
      </c>
      <c r="D16" s="1020">
        <f>'Rashodi-2020'!N92+'Rashodi-2020'!N446+'Rashodi-2020'!N487+'Rashodi-2020'!N512+'Rashodi-2020'!N275+'Rashodi-2020'!N276+'Rashodi-2020'!N277+'Rashodi-2020'!N325+'Rashodi-2020'!N54+'Rashodi-2020'!N290+'Rashodi-2020'!N127+'Rashodi-2020'!N410+'Rashodi-2020'!N420+'Rashodi-2020'!N389+'Rashodi-2020'!N269+'Rashodi-2020'!N295+'Rashodi-2020'!N309+'Rashodi-2020'!N366+'Rashodi-2020'!N336+'Rashodi-2020'!N298+'Rashodi-2020'!N367+'Rashodi-2020'!N371+'Rashodi-2020'!N296+'Rashodi-2020'!N326+'Rashodi-2020'!N368+'Rashodi-2020'!N369+'Rashodi-2020'!N370+'Rashodi-2020'!N291+'Rashodi-2020'!N310+'Rashodi-2020'!N337</f>
        <v>30000</v>
      </c>
      <c r="E16" s="1020">
        <f>'Rashodi-2020'!O92+'Rashodi-2020'!O446+'Rashodi-2020'!O487+'Rashodi-2020'!O512+'Rashodi-2020'!O275+'Rashodi-2020'!O276+'Rashodi-2020'!O277+'Rashodi-2020'!O325+'Rashodi-2020'!O54+'Rashodi-2020'!O290+'Rashodi-2020'!O127+'Rashodi-2020'!O410+'Rashodi-2020'!O420+'Rashodi-2020'!O389+'Rashodi-2020'!O269+'Rashodi-2020'!O295+'Rashodi-2020'!O309+'Rashodi-2020'!O366+'Rashodi-2020'!O336+'Rashodi-2020'!O298+'Rashodi-2020'!O367+'Rashodi-2020'!O371+'Rashodi-2020'!O296+'Rashodi-2020'!O326+'Rashodi-2020'!O368+'Rashodi-2020'!O369+'Rashodi-2020'!O370+'Rashodi-2020'!O291+'Rashodi-2020'!O310+'Rashodi-2020'!O337</f>
        <v>100000</v>
      </c>
      <c r="F16" s="1020">
        <f>'Rashodi-2020'!P92+'Rashodi-2020'!P446+'Rashodi-2020'!P487+'Rashodi-2020'!P512+'Rashodi-2020'!P275+'Rashodi-2020'!P276+'Rashodi-2020'!P277+'Rashodi-2020'!P325+'Rashodi-2020'!P54+'Rashodi-2020'!P290+'Rashodi-2020'!P127+'Rashodi-2020'!P410+'Rashodi-2020'!P420+'Rashodi-2020'!P389+'Rashodi-2020'!P269+'Rashodi-2020'!P295+'Rashodi-2020'!P309+'Rashodi-2020'!P366+'Rashodi-2020'!P336+'Rashodi-2020'!P298+'Rashodi-2020'!P367+'Rashodi-2020'!P371+'Rashodi-2020'!P296+'Rashodi-2020'!P326+'Rashodi-2020'!P368+'Rashodi-2020'!P369+'Rashodi-2020'!P370+'Rashodi-2020'!P291+'Rashodi-2020'!P310+'Rashodi-2020'!P337</f>
        <v>417500</v>
      </c>
      <c r="G16" s="1020">
        <f>'Rashodi-2020'!Q92+'Rashodi-2020'!Q446+'Rashodi-2020'!Q487+'Rashodi-2020'!Q512+'Rashodi-2020'!Q275+'Rashodi-2020'!Q276+'Rashodi-2020'!Q277+'Rashodi-2020'!Q325+'Rashodi-2020'!Q54+'Rashodi-2020'!Q290+'Rashodi-2020'!Q127+'Rashodi-2020'!Q410+'Rashodi-2020'!Q420+'Rashodi-2020'!Q389+'Rashodi-2020'!Q269+'Rashodi-2020'!Q295+'Rashodi-2020'!Q309+'Rashodi-2020'!Q366+'Rashodi-2020'!Q336+'Rashodi-2020'!Q298+'Rashodi-2020'!Q367+'Rashodi-2020'!Q371+'Rashodi-2020'!Q296+'Rashodi-2020'!Q326+'Rashodi-2020'!Q368+'Rashodi-2020'!Q369+'Rashodi-2020'!Q370+'Rashodi-2020'!Q291+'Rashodi-2020'!Q310+'Rashodi-2020'!Q337</f>
        <v>58718500</v>
      </c>
      <c r="H16" s="1020">
        <f>'Rashodi-2020'!R92+'Rashodi-2020'!R446+'Rashodi-2020'!R487+'Rashodi-2020'!R512+'Rashodi-2020'!R275+'Rashodi-2020'!R276+'Rashodi-2020'!R277+'Rashodi-2020'!R325+'Rashodi-2020'!R54+'Rashodi-2020'!R290+'Rashodi-2020'!R127+'Rashodi-2020'!R410+'Rashodi-2020'!R420+'Rashodi-2020'!R389+'Rashodi-2020'!R269+'Rashodi-2020'!R295+'Rashodi-2020'!R309+'Rashodi-2020'!R366+'Rashodi-2020'!R336+'Rashodi-2020'!R298+'Rashodi-2020'!R367+'Rashodi-2020'!R371+'Rashodi-2020'!R296+'Rashodi-2020'!R326+'Rashodi-2020'!R368+'Rashodi-2020'!R369+'Rashodi-2020'!R370+'Rashodi-2020'!R291+'Rashodi-2020'!R310+'Rashodi-2020'!R337</f>
        <v>0</v>
      </c>
      <c r="I16" s="1020">
        <f>'Rashodi-2020'!S92+'Rashodi-2020'!S446+'Rashodi-2020'!S487+'Rashodi-2020'!S512+'Rashodi-2020'!S275+'Rashodi-2020'!S276+'Rashodi-2020'!S277+'Rashodi-2020'!S325+'Rashodi-2020'!S54+'Rashodi-2020'!S290+'Rashodi-2020'!S127+'Rashodi-2020'!S410+'Rashodi-2020'!S420+'Rashodi-2020'!S389+'Rashodi-2020'!S269+'Rashodi-2020'!S295+'Rashodi-2020'!S309+'Rashodi-2020'!S366+'Rashodi-2020'!S336+'Rashodi-2020'!S298+'Rashodi-2020'!S367+'Rashodi-2020'!S371+'Rashodi-2020'!S296+'Rashodi-2020'!S326+'Rashodi-2020'!S368+'Rashodi-2020'!S369+'Rashodi-2020'!S370+'Rashodi-2020'!S291+'Rashodi-2020'!S310+'Rashodi-2020'!S337</f>
        <v>0</v>
      </c>
      <c r="J16" s="1021">
        <f t="shared" si="2"/>
        <v>90674000</v>
      </c>
    </row>
    <row r="17" spans="1:10" ht="12.75">
      <c r="A17" s="1018">
        <v>425</v>
      </c>
      <c r="B17" s="1019" t="s">
        <v>37</v>
      </c>
      <c r="C17" s="1020">
        <f>'Rashodi-2020'!M93+'Rashodi-2020'!M433+'Rashodi-2020'!M447+'Rashodi-2020'!M462+'Rashodi-2020'!M475+'Rashodi-2020'!M488+'Rashodi-2020'!M500+'Rashodi-2020'!M513+'Rashodi-2020'!M278+'Rashodi-2020'!M94+'Rashodi-2020'!M411+'Rashodi-2020'!M390+'Rashodi-2020'!M306+'Rashodi-2020'!M372+'Rashodi-2020'!M311+'Rashodi-2020'!M373+'Rashodi-2020'!M301+'Rashodi-2020'!M374+'Rashodi-2020'!M316</f>
        <v>23695087</v>
      </c>
      <c r="D17" s="1020">
        <f>'Rashodi-2020'!N93+'Rashodi-2020'!N433+'Rashodi-2020'!N447+'Rashodi-2020'!N462+'Rashodi-2020'!N475+'Rashodi-2020'!N488+'Rashodi-2020'!N500+'Rashodi-2020'!N513+'Rashodi-2020'!N278+'Rashodi-2020'!N94+'Rashodi-2020'!N411+'Rashodi-2020'!N390+'Rashodi-2020'!N306+'Rashodi-2020'!N372+'Rashodi-2020'!N311+'Rashodi-2020'!N373+'Rashodi-2020'!N301+'Rashodi-2020'!N374+'Rashodi-2020'!N316</f>
        <v>5000</v>
      </c>
      <c r="E17" s="1020">
        <f>'Rashodi-2020'!O93+'Rashodi-2020'!O433+'Rashodi-2020'!O447+'Rashodi-2020'!O462+'Rashodi-2020'!O475+'Rashodi-2020'!O488+'Rashodi-2020'!O500+'Rashodi-2020'!O513+'Rashodi-2020'!O278+'Rashodi-2020'!O94+'Rashodi-2020'!O411+'Rashodi-2020'!O390+'Rashodi-2020'!O306+'Rashodi-2020'!O372+'Rashodi-2020'!O311+'Rashodi-2020'!O373+'Rashodi-2020'!O301+'Rashodi-2020'!O374+'Rashodi-2020'!O316</f>
        <v>1741595</v>
      </c>
      <c r="F17" s="1020">
        <f>'Rashodi-2020'!P93+'Rashodi-2020'!P433+'Rashodi-2020'!P447+'Rashodi-2020'!P462+'Rashodi-2020'!P475+'Rashodi-2020'!P488+'Rashodi-2020'!P500+'Rashodi-2020'!P513+'Rashodi-2020'!P278+'Rashodi-2020'!P94+'Rashodi-2020'!P411+'Rashodi-2020'!P390+'Rashodi-2020'!P306+'Rashodi-2020'!P372+'Rashodi-2020'!P311+'Rashodi-2020'!P373+'Rashodi-2020'!P301+'Rashodi-2020'!P374+'Rashodi-2020'!P316</f>
        <v>90000</v>
      </c>
      <c r="G17" s="1020">
        <f>'Rashodi-2020'!Q93+'Rashodi-2020'!Q433+'Rashodi-2020'!Q447+'Rashodi-2020'!Q462+'Rashodi-2020'!Q475+'Rashodi-2020'!Q488+'Rashodi-2020'!Q500+'Rashodi-2020'!Q513+'Rashodi-2020'!Q278+'Rashodi-2020'!Q94+'Rashodi-2020'!Q411+'Rashodi-2020'!Q390+'Rashodi-2020'!Q306+'Rashodi-2020'!Q372+'Rashodi-2020'!Q311+'Rashodi-2020'!Q373+'Rashodi-2020'!Q301+'Rashodi-2020'!Q374+'Rashodi-2020'!Q316</f>
        <v>21489000</v>
      </c>
      <c r="H17" s="1020">
        <f>'Rashodi-2020'!R93+'Rashodi-2020'!R433+'Rashodi-2020'!R447+'Rashodi-2020'!R462+'Rashodi-2020'!R475+'Rashodi-2020'!R488+'Rashodi-2020'!R500+'Rashodi-2020'!R513+'Rashodi-2020'!R278+'Rashodi-2020'!R94+'Rashodi-2020'!R411+'Rashodi-2020'!R390+'Rashodi-2020'!R306+'Rashodi-2020'!R372+'Rashodi-2020'!R311+'Rashodi-2020'!R373+'Rashodi-2020'!R301+'Rashodi-2020'!R374+'Rashodi-2020'!R316</f>
        <v>0</v>
      </c>
      <c r="I17" s="1020">
        <f>'Rashodi-2020'!S93+'Rashodi-2020'!S433+'Rashodi-2020'!S447+'Rashodi-2020'!S462+'Rashodi-2020'!S475+'Rashodi-2020'!S488+'Rashodi-2020'!S500+'Rashodi-2020'!S513+'Rashodi-2020'!S278+'Rashodi-2020'!S94+'Rashodi-2020'!S411+'Rashodi-2020'!S390+'Rashodi-2020'!S306+'Rashodi-2020'!S372+'Rashodi-2020'!S311+'Rashodi-2020'!S373+'Rashodi-2020'!S301+'Rashodi-2020'!S374+'Rashodi-2020'!S316</f>
        <v>0</v>
      </c>
      <c r="J17" s="1021">
        <f t="shared" si="2"/>
        <v>47020682</v>
      </c>
    </row>
    <row r="18" spans="1:10" ht="13.5" thickBot="1">
      <c r="A18" s="1022">
        <v>426</v>
      </c>
      <c r="B18" s="1023" t="s">
        <v>38</v>
      </c>
      <c r="C18" s="1024">
        <f>'Rashodi-2020'!M23+'Rashodi-2020'!M55+'Rashodi-2020'!M72+'Rashodi-2020'!M95+'Rashodi-2020'!M434+'Rashodi-2020'!M448+'Rashodi-2020'!M463+'Rashodi-2020'!M476+'Rashodi-2020'!M489+'Rashodi-2020'!M501+'Rashodi-2020'!M514+'Rashodi-2020'!M279+'Rashodi-2020'!M280+'Rashodi-2020'!M115+'Rashodi-2020'!M96+'Rashodi-2020'!M412+'Rashodi-2020'!M421+'Rashodi-2020'!M425+'Rashodi-2020'!M391+'Rashodi-2020'!M38+'Rashodi-2020'!M129+'Rashodi-2020'!M22</f>
        <v>12109046</v>
      </c>
      <c r="D18" s="1024">
        <f>'Rashodi-2020'!N23+'Rashodi-2020'!N55+'Rashodi-2020'!N72+'Rashodi-2020'!N95+'Rashodi-2020'!N434+'Rashodi-2020'!N448+'Rashodi-2020'!N463+'Rashodi-2020'!N476+'Rashodi-2020'!N489+'Rashodi-2020'!N501+'Rashodi-2020'!N514+'Rashodi-2020'!N279+'Rashodi-2020'!N280+'Rashodi-2020'!N115+'Rashodi-2020'!N96+'Rashodi-2020'!N412+'Rashodi-2020'!N421+'Rashodi-2020'!N425+'Rashodi-2020'!N391+'Rashodi-2020'!N38+'Rashodi-2020'!N129+'Rashodi-2020'!N22</f>
        <v>57000</v>
      </c>
      <c r="E18" s="1024">
        <f>'Rashodi-2020'!O23+'Rashodi-2020'!O55+'Rashodi-2020'!O72+'Rashodi-2020'!O95+'Rashodi-2020'!O434+'Rashodi-2020'!O448+'Rashodi-2020'!O463+'Rashodi-2020'!O476+'Rashodi-2020'!O489+'Rashodi-2020'!O501+'Rashodi-2020'!O514+'Rashodi-2020'!O279+'Rashodi-2020'!O280+'Rashodi-2020'!O115+'Rashodi-2020'!O96+'Rashodi-2020'!O412+'Rashodi-2020'!O421+'Rashodi-2020'!O425+'Rashodi-2020'!O391+'Rashodi-2020'!O38+'Rashodi-2020'!O129+'Rashodi-2020'!O22</f>
        <v>0</v>
      </c>
      <c r="F18" s="1024">
        <f>'Rashodi-2020'!P23+'Rashodi-2020'!P55+'Rashodi-2020'!P72+'Rashodi-2020'!P95+'Rashodi-2020'!P434+'Rashodi-2020'!P448+'Rashodi-2020'!P463+'Rashodi-2020'!P476+'Rashodi-2020'!P489+'Rashodi-2020'!P501+'Rashodi-2020'!P514+'Rashodi-2020'!P279+'Rashodi-2020'!P280+'Rashodi-2020'!P115+'Rashodi-2020'!P96+'Rashodi-2020'!P412+'Rashodi-2020'!P421+'Rashodi-2020'!P425+'Rashodi-2020'!P391+'Rashodi-2020'!P38+'Rashodi-2020'!P129+'Rashodi-2020'!P22</f>
        <v>1909500</v>
      </c>
      <c r="G18" s="1024">
        <f>'Rashodi-2020'!Q23+'Rashodi-2020'!Q55+'Rashodi-2020'!Q72+'Rashodi-2020'!Q95+'Rashodi-2020'!Q434+'Rashodi-2020'!Q448+'Rashodi-2020'!Q463+'Rashodi-2020'!Q476+'Rashodi-2020'!Q489+'Rashodi-2020'!Q501+'Rashodi-2020'!Q514+'Rashodi-2020'!Q279+'Rashodi-2020'!Q280+'Rashodi-2020'!Q115+'Rashodi-2020'!Q96+'Rashodi-2020'!Q412+'Rashodi-2020'!Q421+'Rashodi-2020'!Q425+'Rashodi-2020'!Q391+'Rashodi-2020'!Q38+'Rashodi-2020'!Q129+'Rashodi-2020'!Q22</f>
        <v>957213</v>
      </c>
      <c r="H18" s="1024">
        <f>'Rashodi-2020'!R23+'Rashodi-2020'!R55+'Rashodi-2020'!R72+'Rashodi-2020'!R95+'Rashodi-2020'!R434+'Rashodi-2020'!R448+'Rashodi-2020'!R463+'Rashodi-2020'!R476+'Rashodi-2020'!R489+'Rashodi-2020'!R501+'Rashodi-2020'!R514+'Rashodi-2020'!R279+'Rashodi-2020'!R280+'Rashodi-2020'!R115+'Rashodi-2020'!R96+'Rashodi-2020'!R412+'Rashodi-2020'!R421+'Rashodi-2020'!R425+'Rashodi-2020'!R391+'Rashodi-2020'!R38+'Rashodi-2020'!R129+'Rashodi-2020'!R22</f>
        <v>0</v>
      </c>
      <c r="I18" s="1024">
        <f>'Rashodi-2020'!S23+'Rashodi-2020'!S55+'Rashodi-2020'!S72+'Rashodi-2020'!S95+'Rashodi-2020'!S434+'Rashodi-2020'!S448+'Rashodi-2020'!S463+'Rashodi-2020'!S476+'Rashodi-2020'!S489+'Rashodi-2020'!S501+'Rashodi-2020'!S514+'Rashodi-2020'!S279+'Rashodi-2020'!S280+'Rashodi-2020'!S115+'Rashodi-2020'!S96+'Rashodi-2020'!S412+'Rashodi-2020'!S421+'Rashodi-2020'!S425+'Rashodi-2020'!S391+'Rashodi-2020'!S38+'Rashodi-2020'!S129+'Rashodi-2020'!S22</f>
        <v>0</v>
      </c>
      <c r="J18" s="1025">
        <f t="shared" si="2"/>
        <v>15032759</v>
      </c>
    </row>
    <row r="19" spans="1:10" s="23" customFormat="1" ht="15" customHeight="1" thickBot="1">
      <c r="A19" s="1011">
        <v>44</v>
      </c>
      <c r="B19" s="1028" t="s">
        <v>40</v>
      </c>
      <c r="C19" s="1027">
        <f>SUM(C20:C21)</f>
        <v>71000</v>
      </c>
      <c r="D19" s="1027">
        <f aca="true" t="shared" si="4" ref="D19:I19">SUM(D20:D21)</f>
        <v>0</v>
      </c>
      <c r="E19" s="1027">
        <f t="shared" si="4"/>
        <v>0</v>
      </c>
      <c r="F19" s="1027">
        <f t="shared" si="4"/>
        <v>0</v>
      </c>
      <c r="G19" s="1027">
        <f t="shared" si="4"/>
        <v>0</v>
      </c>
      <c r="H19" s="1027">
        <f t="shared" si="4"/>
        <v>0</v>
      </c>
      <c r="I19" s="1027">
        <f t="shared" si="4"/>
        <v>0</v>
      </c>
      <c r="J19" s="1010">
        <f t="shared" si="2"/>
        <v>71000</v>
      </c>
    </row>
    <row r="20" spans="1:10" ht="13.5" thickBot="1">
      <c r="A20" s="1014">
        <v>441</v>
      </c>
      <c r="B20" s="1015" t="s">
        <v>41</v>
      </c>
      <c r="C20" s="1016">
        <f>'Rashodi-2020'!M449</f>
        <v>10000</v>
      </c>
      <c r="D20" s="1016">
        <f>'Rashodi-2020'!N449</f>
        <v>0</v>
      </c>
      <c r="E20" s="1016">
        <f>'Rashodi-2020'!O449</f>
        <v>0</v>
      </c>
      <c r="F20" s="1016">
        <f>'Rashodi-2020'!P449</f>
        <v>0</v>
      </c>
      <c r="G20" s="1016">
        <f>'Rashodi-2020'!Q449</f>
        <v>0</v>
      </c>
      <c r="H20" s="1016">
        <f>'Rashodi-2020'!R449</f>
        <v>0</v>
      </c>
      <c r="I20" s="1016">
        <f>'Rashodi-2020'!S449</f>
        <v>0</v>
      </c>
      <c r="J20" s="1010">
        <f t="shared" si="2"/>
        <v>10000</v>
      </c>
    </row>
    <row r="21" spans="1:10" ht="13.5" thickBot="1">
      <c r="A21" s="1029">
        <v>444</v>
      </c>
      <c r="B21" s="1030" t="s">
        <v>215</v>
      </c>
      <c r="C21" s="1031">
        <f>'Rashodi-2020'!M392+'Rashodi-2020'!M116</f>
        <v>61000</v>
      </c>
      <c r="D21" s="1031">
        <f>'Rashodi-2020'!N392</f>
        <v>0</v>
      </c>
      <c r="E21" s="1031">
        <f>'Rashodi-2020'!O392</f>
        <v>0</v>
      </c>
      <c r="F21" s="1031">
        <f>'Rashodi-2020'!P392</f>
        <v>0</v>
      </c>
      <c r="G21" s="1031">
        <f>'Rashodi-2020'!Q392</f>
        <v>0</v>
      </c>
      <c r="H21" s="1031">
        <f>'Rashodi-2020'!R392+'Rashodi-2020'!R116</f>
        <v>0</v>
      </c>
      <c r="I21" s="1031">
        <f>'Rashodi-2020'!S392</f>
        <v>0</v>
      </c>
      <c r="J21" s="1032">
        <f t="shared" si="2"/>
        <v>61000</v>
      </c>
    </row>
    <row r="22" spans="1:10" s="23" customFormat="1" ht="15" customHeight="1" thickBot="1">
      <c r="A22" s="1011">
        <v>45</v>
      </c>
      <c r="B22" s="1033" t="s">
        <v>1329</v>
      </c>
      <c r="C22" s="1027">
        <f>C23</f>
        <v>8500000</v>
      </c>
      <c r="D22" s="1027">
        <f aca="true" t="shared" si="5" ref="D22:I22">D23</f>
        <v>0</v>
      </c>
      <c r="E22" s="1027">
        <f t="shared" si="5"/>
        <v>0</v>
      </c>
      <c r="F22" s="1027">
        <f t="shared" si="5"/>
        <v>0</v>
      </c>
      <c r="G22" s="1027">
        <f t="shared" si="5"/>
        <v>15000000</v>
      </c>
      <c r="H22" s="1027">
        <f t="shared" si="5"/>
        <v>0</v>
      </c>
      <c r="I22" s="1027">
        <f t="shared" si="5"/>
        <v>0</v>
      </c>
      <c r="J22" s="1010">
        <f t="shared" si="2"/>
        <v>23500000</v>
      </c>
    </row>
    <row r="23" spans="1:10" ht="13.5" thickBot="1">
      <c r="A23" s="1034">
        <v>451</v>
      </c>
      <c r="B23" s="1035" t="s">
        <v>1330</v>
      </c>
      <c r="C23" s="1036">
        <f>'Rashodi-2020'!M292+'Rashodi-2020'!M281+'Rashodi-2020'!M286</f>
        <v>8500000</v>
      </c>
      <c r="D23" s="1036">
        <f>'Rashodi-2020'!N292+'Rashodi-2020'!N281+'Rashodi-2020'!N286</f>
        <v>0</v>
      </c>
      <c r="E23" s="1036">
        <f>'Rashodi-2020'!O292+'Rashodi-2020'!O281+'Rashodi-2020'!O286</f>
        <v>0</v>
      </c>
      <c r="F23" s="1036">
        <f>'Rashodi-2020'!P292+'Rashodi-2020'!P281+'Rashodi-2020'!P286</f>
        <v>0</v>
      </c>
      <c r="G23" s="1036">
        <f>'Rashodi-2020'!Q292+'Rashodi-2020'!Q281+'Rashodi-2020'!Q286</f>
        <v>15000000</v>
      </c>
      <c r="H23" s="1036">
        <f>'Rashodi-2020'!R292+'Rashodi-2020'!R281+'Rashodi-2020'!R286</f>
        <v>0</v>
      </c>
      <c r="I23" s="1036">
        <f>'Rashodi-2020'!S292+'Rashodi-2020'!S281+'Rashodi-2020'!S286</f>
        <v>0</v>
      </c>
      <c r="J23" s="1032">
        <f t="shared" si="2"/>
        <v>23500000</v>
      </c>
    </row>
    <row r="24" spans="1:10" s="23" customFormat="1" ht="15" customHeight="1" thickBot="1">
      <c r="A24" s="1011">
        <v>46</v>
      </c>
      <c r="B24" s="1033" t="s">
        <v>42</v>
      </c>
      <c r="C24" s="1027">
        <f>SUM(C25:C27)</f>
        <v>94945673</v>
      </c>
      <c r="D24" s="1027">
        <f aca="true" t="shared" si="6" ref="D24:I24">SUM(D25:D27)</f>
        <v>0</v>
      </c>
      <c r="E24" s="1027">
        <f t="shared" si="6"/>
        <v>0</v>
      </c>
      <c r="F24" s="1027">
        <f t="shared" si="6"/>
        <v>1492500</v>
      </c>
      <c r="G24" s="1027">
        <f t="shared" si="6"/>
        <v>0</v>
      </c>
      <c r="H24" s="1027">
        <f t="shared" si="6"/>
        <v>0</v>
      </c>
      <c r="I24" s="1027">
        <f t="shared" si="6"/>
        <v>0</v>
      </c>
      <c r="J24" s="1010">
        <f t="shared" si="2"/>
        <v>96438173</v>
      </c>
    </row>
    <row r="25" spans="1:10" ht="13.5" thickBot="1">
      <c r="A25" s="1034">
        <v>463</v>
      </c>
      <c r="B25" s="1035" t="s">
        <v>43</v>
      </c>
      <c r="C25" s="1036">
        <f>'Rashodi-2020'!M121+'Rashodi-2020'!M154+'Rashodi-2020'!M155+'Rashodi-2020'!M156+'Rashodi-2020'!M157+'Rashodi-2020'!M158+'Rashodi-2020'!M159+'Rashodi-2020'!M160+'Rashodi-2020'!M161+'Rashodi-2020'!M162+'Rashodi-2020'!M163+'Rashodi-2020'!M165+'Rashodi-2020'!M166+'Rashodi-2020'!M167+'Rashodi-2020'!M170+'Rashodi-2020'!M171+'Rashodi-2020'!M172+'Rashodi-2020'!M173+'Rashodi-2020'!M174+'Rashodi-2020'!M175+'Rashodi-2020'!M176+'Rashodi-2020'!M177+'Rashodi-2020'!M178+'Rashodi-2020'!M179+'Rashodi-2020'!M180+'Rashodi-2020'!M181+'Rashodi-2020'!M185+'Rashodi-2020'!M186+'Rashodi-2020'!M187+'Rashodi-2020'!M188+'Rashodi-2020'!M189+'Rashodi-2020'!M190+'Rashodi-2020'!M191+'Rashodi-2020'!M192+'Rashodi-2020'!M193+'Rashodi-2020'!M194+'Rashodi-2020'!M201+'Rashodi-2020'!M202+'Rashodi-2020'!M203+'Rashodi-2020'!M204+'Rashodi-2020'!M205+'Rashodi-2020'!M206+'Rashodi-2020'!M207+'Rashodi-2020'!M208+'Rashodi-2020'!M209+'Rashodi-2020'!M210+'Rashodi-2020'!M211+'Rashodi-2020'!M215+'Rashodi-2020'!M216+'Rashodi-2020'!M218+'Rashodi-2020'!M219+'Rashodi-2020'!M220+'Rashodi-2020'!M221+'Rashodi-2020'!M222+'Rashodi-2020'!M223+'Rashodi-2020'!M224+'Rashodi-2020'!M225+'Rashodi-2020'!M226+'Rashodi-2020'!M227+'Rashodi-2020'!M229+'Rashodi-2020'!M230+'Rashodi-2020'!M233+'Rashodi-2020'!M234+'Rashodi-2020'!M236+'Rashodi-2020'!M237+'Rashodi-2020'!M238+'Rashodi-2020'!M239+'Rashodi-2020'!M195+'Rashodi-2020'!M182+'Rashodi-2020'!M197+'Rashodi-2020'!M196+'Rashodi-2020'!M217+'Rashodi-2020'!M235+'Rashodi-2020'!M228+'Rashodi-2020'!M164</f>
        <v>71286322</v>
      </c>
      <c r="D25" s="1036">
        <f>'Rashodi-2020'!N121+'Rashodi-2020'!N154+'Rashodi-2020'!N155+'Rashodi-2020'!N156+'Rashodi-2020'!N157+'Rashodi-2020'!N158+'Rashodi-2020'!N159+'Rashodi-2020'!N160+'Rashodi-2020'!N161+'Rashodi-2020'!N162+'Rashodi-2020'!N163+'Rashodi-2020'!N165+'Rashodi-2020'!N166+'Rashodi-2020'!N167+'Rashodi-2020'!N170+'Rashodi-2020'!N171+'Rashodi-2020'!N172+'Rashodi-2020'!N173+'Rashodi-2020'!N174+'Rashodi-2020'!N175+'Rashodi-2020'!N176+'Rashodi-2020'!N177+'Rashodi-2020'!N178+'Rashodi-2020'!N179+'Rashodi-2020'!N180+'Rashodi-2020'!N181+'Rashodi-2020'!N185+'Rashodi-2020'!N186+'Rashodi-2020'!N187+'Rashodi-2020'!N188+'Rashodi-2020'!N189+'Rashodi-2020'!N190+'Rashodi-2020'!N191+'Rashodi-2020'!N192+'Rashodi-2020'!N193+'Rashodi-2020'!N194+'Rashodi-2020'!N201+'Rashodi-2020'!N202+'Rashodi-2020'!N203+'Rashodi-2020'!N204+'Rashodi-2020'!N205+'Rashodi-2020'!N206+'Rashodi-2020'!N207+'Rashodi-2020'!N208+'Rashodi-2020'!N209+'Rashodi-2020'!N210+'Rashodi-2020'!N211+'Rashodi-2020'!N215+'Rashodi-2020'!N216+'Rashodi-2020'!N218+'Rashodi-2020'!N219+'Rashodi-2020'!N220+'Rashodi-2020'!N221+'Rashodi-2020'!N222+'Rashodi-2020'!N223+'Rashodi-2020'!N224+'Rashodi-2020'!N225+'Rashodi-2020'!N226+'Rashodi-2020'!N227+'Rashodi-2020'!N229+'Rashodi-2020'!N230+'Rashodi-2020'!N233+'Rashodi-2020'!N234+'Rashodi-2020'!N236+'Rashodi-2020'!N237+'Rashodi-2020'!N238+'Rashodi-2020'!N239+'Rashodi-2020'!N195+'Rashodi-2020'!N182+'Rashodi-2020'!N197+'Rashodi-2020'!N196+'Rashodi-2020'!N217+'Rashodi-2020'!N235+'Rashodi-2020'!N228+'Rashodi-2020'!N164</f>
        <v>0</v>
      </c>
      <c r="E25" s="1036">
        <f>'Rashodi-2020'!O121+'Rashodi-2020'!O154+'Rashodi-2020'!O155+'Rashodi-2020'!O156+'Rashodi-2020'!O157+'Rashodi-2020'!O158+'Rashodi-2020'!O159+'Rashodi-2020'!O160+'Rashodi-2020'!O161+'Rashodi-2020'!O162+'Rashodi-2020'!O163+'Rashodi-2020'!O165+'Rashodi-2020'!O166+'Rashodi-2020'!O167+'Rashodi-2020'!O170+'Rashodi-2020'!O171+'Rashodi-2020'!O172+'Rashodi-2020'!O173+'Rashodi-2020'!O174+'Rashodi-2020'!O175+'Rashodi-2020'!O176+'Rashodi-2020'!O177+'Rashodi-2020'!O178+'Rashodi-2020'!O179+'Rashodi-2020'!O180+'Rashodi-2020'!O181+'Rashodi-2020'!O185+'Rashodi-2020'!O186+'Rashodi-2020'!O187+'Rashodi-2020'!O188+'Rashodi-2020'!O189+'Rashodi-2020'!O190+'Rashodi-2020'!O191+'Rashodi-2020'!O192+'Rashodi-2020'!O193+'Rashodi-2020'!O194+'Rashodi-2020'!O201+'Rashodi-2020'!O202+'Rashodi-2020'!O203+'Rashodi-2020'!O204+'Rashodi-2020'!O205+'Rashodi-2020'!O206+'Rashodi-2020'!O207+'Rashodi-2020'!O208+'Rashodi-2020'!O209+'Rashodi-2020'!O210+'Rashodi-2020'!O211+'Rashodi-2020'!O215+'Rashodi-2020'!O216+'Rashodi-2020'!O218+'Rashodi-2020'!O219+'Rashodi-2020'!O220+'Rashodi-2020'!O221+'Rashodi-2020'!O222+'Rashodi-2020'!O223+'Rashodi-2020'!O224+'Rashodi-2020'!O225+'Rashodi-2020'!O226+'Rashodi-2020'!O227+'Rashodi-2020'!O229+'Rashodi-2020'!O230+'Rashodi-2020'!O233+'Rashodi-2020'!O234+'Rashodi-2020'!O236+'Rashodi-2020'!O237+'Rashodi-2020'!O238+'Rashodi-2020'!O239+'Rashodi-2020'!O195+'Rashodi-2020'!O182+'Rashodi-2020'!O197+'Rashodi-2020'!O196+'Rashodi-2020'!O217+'Rashodi-2020'!O235+'Rashodi-2020'!O228+'Rashodi-2020'!O164</f>
        <v>0</v>
      </c>
      <c r="F25" s="1036">
        <f>'Rashodi-2020'!P121+'Rashodi-2020'!P154+'Rashodi-2020'!P155+'Rashodi-2020'!P156+'Rashodi-2020'!P157+'Rashodi-2020'!P158+'Rashodi-2020'!P159+'Rashodi-2020'!P160+'Rashodi-2020'!P161+'Rashodi-2020'!P162+'Rashodi-2020'!P163+'Rashodi-2020'!P165+'Rashodi-2020'!P166+'Rashodi-2020'!P167+'Rashodi-2020'!P170+'Rashodi-2020'!P171+'Rashodi-2020'!P172+'Rashodi-2020'!P173+'Rashodi-2020'!P174+'Rashodi-2020'!P175+'Rashodi-2020'!P176+'Rashodi-2020'!P177+'Rashodi-2020'!P178+'Rashodi-2020'!P179+'Rashodi-2020'!P180+'Rashodi-2020'!P181+'Rashodi-2020'!P185+'Rashodi-2020'!P186+'Rashodi-2020'!P187+'Rashodi-2020'!P188+'Rashodi-2020'!P189+'Rashodi-2020'!P190+'Rashodi-2020'!P191+'Rashodi-2020'!P192+'Rashodi-2020'!P193+'Rashodi-2020'!P194+'Rashodi-2020'!P201+'Rashodi-2020'!P202+'Rashodi-2020'!P203+'Rashodi-2020'!P204+'Rashodi-2020'!P205+'Rashodi-2020'!P206+'Rashodi-2020'!P207+'Rashodi-2020'!P208+'Rashodi-2020'!P209+'Rashodi-2020'!P210+'Rashodi-2020'!P211+'Rashodi-2020'!P215+'Rashodi-2020'!P216+'Rashodi-2020'!P218+'Rashodi-2020'!P219+'Rashodi-2020'!P220+'Rashodi-2020'!P221+'Rashodi-2020'!P222+'Rashodi-2020'!P223+'Rashodi-2020'!P224+'Rashodi-2020'!P225+'Rashodi-2020'!P226+'Rashodi-2020'!P227+'Rashodi-2020'!P229+'Rashodi-2020'!P230+'Rashodi-2020'!P233+'Rashodi-2020'!P234+'Rashodi-2020'!P236+'Rashodi-2020'!P237+'Rashodi-2020'!P238+'Rashodi-2020'!P239+'Rashodi-2020'!P195+'Rashodi-2020'!P182+'Rashodi-2020'!P197+'Rashodi-2020'!P196+'Rashodi-2020'!P217+'Rashodi-2020'!P235+'Rashodi-2020'!P228+'Rashodi-2020'!P164</f>
        <v>1492500</v>
      </c>
      <c r="G25" s="1036">
        <f>'Rashodi-2020'!Q121+'Rashodi-2020'!Q154+'Rashodi-2020'!Q155+'Rashodi-2020'!Q156+'Rashodi-2020'!Q157+'Rashodi-2020'!Q158+'Rashodi-2020'!Q159+'Rashodi-2020'!Q160+'Rashodi-2020'!Q161+'Rashodi-2020'!Q162+'Rashodi-2020'!Q163+'Rashodi-2020'!Q165+'Rashodi-2020'!Q166+'Rashodi-2020'!Q167+'Rashodi-2020'!Q170+'Rashodi-2020'!Q171+'Rashodi-2020'!Q172+'Rashodi-2020'!Q173+'Rashodi-2020'!Q174+'Rashodi-2020'!Q175+'Rashodi-2020'!Q176+'Rashodi-2020'!Q177+'Rashodi-2020'!Q178+'Rashodi-2020'!Q179+'Rashodi-2020'!Q180+'Rashodi-2020'!Q181+'Rashodi-2020'!Q185+'Rashodi-2020'!Q186+'Rashodi-2020'!Q187+'Rashodi-2020'!Q188+'Rashodi-2020'!Q189+'Rashodi-2020'!Q190+'Rashodi-2020'!Q191+'Rashodi-2020'!Q192+'Rashodi-2020'!Q193+'Rashodi-2020'!Q194+'Rashodi-2020'!Q201+'Rashodi-2020'!Q202+'Rashodi-2020'!Q203+'Rashodi-2020'!Q204+'Rashodi-2020'!Q205+'Rashodi-2020'!Q206+'Rashodi-2020'!Q207+'Rashodi-2020'!Q208+'Rashodi-2020'!Q209+'Rashodi-2020'!Q210+'Rashodi-2020'!Q211+'Rashodi-2020'!Q215+'Rashodi-2020'!Q216+'Rashodi-2020'!Q218+'Rashodi-2020'!Q219+'Rashodi-2020'!Q220+'Rashodi-2020'!Q221+'Rashodi-2020'!Q222+'Rashodi-2020'!Q223+'Rashodi-2020'!Q224+'Rashodi-2020'!Q225+'Rashodi-2020'!Q226+'Rashodi-2020'!Q227+'Rashodi-2020'!Q229+'Rashodi-2020'!Q230+'Rashodi-2020'!Q233+'Rashodi-2020'!Q234+'Rashodi-2020'!Q236+'Rashodi-2020'!Q237+'Rashodi-2020'!Q238+'Rashodi-2020'!Q239+'Rashodi-2020'!Q195+'Rashodi-2020'!Q182+'Rashodi-2020'!Q197+'Rashodi-2020'!Q196+'Rashodi-2020'!Q217+'Rashodi-2020'!Q235+'Rashodi-2020'!Q228+'Rashodi-2020'!Q164</f>
        <v>0</v>
      </c>
      <c r="H25" s="1036">
        <f>'Rashodi-2020'!R121+'Rashodi-2020'!R154+'Rashodi-2020'!R155+'Rashodi-2020'!R156+'Rashodi-2020'!R157+'Rashodi-2020'!R158+'Rashodi-2020'!R159+'Rashodi-2020'!R160+'Rashodi-2020'!R161+'Rashodi-2020'!R162+'Rashodi-2020'!R163+'Rashodi-2020'!R165+'Rashodi-2020'!R166+'Rashodi-2020'!R167+'Rashodi-2020'!R170+'Rashodi-2020'!R171+'Rashodi-2020'!R172+'Rashodi-2020'!R173+'Rashodi-2020'!R174+'Rashodi-2020'!R175+'Rashodi-2020'!R176+'Rashodi-2020'!R177+'Rashodi-2020'!R178+'Rashodi-2020'!R179+'Rashodi-2020'!R180+'Rashodi-2020'!R181+'Rashodi-2020'!R185+'Rashodi-2020'!R186+'Rashodi-2020'!R187+'Rashodi-2020'!R188+'Rashodi-2020'!R189+'Rashodi-2020'!R190+'Rashodi-2020'!R191+'Rashodi-2020'!R192+'Rashodi-2020'!R193+'Rashodi-2020'!R194+'Rashodi-2020'!R201+'Rashodi-2020'!R202+'Rashodi-2020'!R203+'Rashodi-2020'!R204+'Rashodi-2020'!R205+'Rashodi-2020'!R206+'Rashodi-2020'!R207+'Rashodi-2020'!R208+'Rashodi-2020'!R209+'Rashodi-2020'!R210+'Rashodi-2020'!R211+'Rashodi-2020'!R215+'Rashodi-2020'!R216+'Rashodi-2020'!R218+'Rashodi-2020'!R219+'Rashodi-2020'!R220+'Rashodi-2020'!R221+'Rashodi-2020'!R222+'Rashodi-2020'!R223+'Rashodi-2020'!R224+'Rashodi-2020'!R225+'Rashodi-2020'!R226+'Rashodi-2020'!R227+'Rashodi-2020'!R229+'Rashodi-2020'!R230+'Rashodi-2020'!R233+'Rashodi-2020'!R234+'Rashodi-2020'!R236+'Rashodi-2020'!R237+'Rashodi-2020'!R238+'Rashodi-2020'!R239+'Rashodi-2020'!R195+'Rashodi-2020'!R182+'Rashodi-2020'!R197+'Rashodi-2020'!R196+'Rashodi-2020'!R217+'Rashodi-2020'!R235+'Rashodi-2020'!R228+'Rashodi-2020'!R164</f>
        <v>0</v>
      </c>
      <c r="I25" s="1036">
        <f>'Rashodi-2020'!S121+'Rashodi-2020'!S154+'Rashodi-2020'!S155+'Rashodi-2020'!S156+'Rashodi-2020'!S157+'Rashodi-2020'!S158+'Rashodi-2020'!S159+'Rashodi-2020'!S160+'Rashodi-2020'!S161+'Rashodi-2020'!S162+'Rashodi-2020'!S163+'Rashodi-2020'!S165+'Rashodi-2020'!S166+'Rashodi-2020'!S167+'Rashodi-2020'!S170+'Rashodi-2020'!S171+'Rashodi-2020'!S172+'Rashodi-2020'!S173+'Rashodi-2020'!S174+'Rashodi-2020'!S175+'Rashodi-2020'!S176+'Rashodi-2020'!S177+'Rashodi-2020'!S178+'Rashodi-2020'!S179+'Rashodi-2020'!S180+'Rashodi-2020'!S181+'Rashodi-2020'!S185+'Rashodi-2020'!S186+'Rashodi-2020'!S187+'Rashodi-2020'!S188+'Rashodi-2020'!S189+'Rashodi-2020'!S190+'Rashodi-2020'!S191+'Rashodi-2020'!S192+'Rashodi-2020'!S193+'Rashodi-2020'!S194+'Rashodi-2020'!S201+'Rashodi-2020'!S202+'Rashodi-2020'!S203+'Rashodi-2020'!S204+'Rashodi-2020'!S205+'Rashodi-2020'!S206+'Rashodi-2020'!S207+'Rashodi-2020'!S208+'Rashodi-2020'!S209+'Rashodi-2020'!S210+'Rashodi-2020'!S211+'Rashodi-2020'!S215+'Rashodi-2020'!S216+'Rashodi-2020'!S218+'Rashodi-2020'!S219+'Rashodi-2020'!S220+'Rashodi-2020'!S221+'Rashodi-2020'!S222+'Rashodi-2020'!S223+'Rashodi-2020'!S224+'Rashodi-2020'!S225+'Rashodi-2020'!S226+'Rashodi-2020'!S227+'Rashodi-2020'!S229+'Rashodi-2020'!S230+'Rashodi-2020'!S233+'Rashodi-2020'!S234+'Rashodi-2020'!S236+'Rashodi-2020'!S237+'Rashodi-2020'!S238+'Rashodi-2020'!S239+'Rashodi-2020'!S195+'Rashodi-2020'!S182+'Rashodi-2020'!S197+'Rashodi-2020'!S196+'Rashodi-2020'!S217+'Rashodi-2020'!S235+'Rashodi-2020'!S228+'Rashodi-2020'!S164</f>
        <v>0</v>
      </c>
      <c r="J25" s="1017">
        <f t="shared" si="2"/>
        <v>72778822</v>
      </c>
    </row>
    <row r="26" spans="1:10" ht="13.5" thickBot="1">
      <c r="A26" s="1034">
        <v>464</v>
      </c>
      <c r="B26" s="1035" t="s">
        <v>1304</v>
      </c>
      <c r="C26" s="1036">
        <f>'Rashodi-2020'!M255+'Rashodi-2020'!M256+'Rashodi-2020'!M259+'Rashodi-2020'!M260+'Rashodi-2020'!M261+'Rashodi-2020'!M262+'Rashodi-2020'!M362+'Rashodi-2020'!M257+'Rashodi-2020'!M263+'Rashodi-2020'!M258</f>
        <v>21860897</v>
      </c>
      <c r="D26" s="1036">
        <f>'Rashodi-2020'!N255+'Rashodi-2020'!N256+'Rashodi-2020'!N259+'Rashodi-2020'!N260+'Rashodi-2020'!N261+'Rashodi-2020'!N262+'Rashodi-2020'!N362+'Rashodi-2020'!N257+'Rashodi-2020'!N263+'Rashodi-2020'!N258</f>
        <v>0</v>
      </c>
      <c r="E26" s="1036">
        <f>'Rashodi-2020'!O255+'Rashodi-2020'!O256+'Rashodi-2020'!O259+'Rashodi-2020'!O260+'Rashodi-2020'!O261+'Rashodi-2020'!O262+'Rashodi-2020'!O362+'Rashodi-2020'!O257+'Rashodi-2020'!O263+'Rashodi-2020'!O258</f>
        <v>0</v>
      </c>
      <c r="F26" s="1036">
        <f>'Rashodi-2020'!P255+'Rashodi-2020'!P256+'Rashodi-2020'!P259+'Rashodi-2020'!P260+'Rashodi-2020'!P261+'Rashodi-2020'!P262+'Rashodi-2020'!P362+'Rashodi-2020'!P257+'Rashodi-2020'!P263+'Rashodi-2020'!P258</f>
        <v>0</v>
      </c>
      <c r="G26" s="1036">
        <f>'Rashodi-2020'!Q255+'Rashodi-2020'!Q256+'Rashodi-2020'!Q259+'Rashodi-2020'!Q260+'Rashodi-2020'!Q261+'Rashodi-2020'!Q262+'Rashodi-2020'!Q362+'Rashodi-2020'!Q257+'Rashodi-2020'!Q263+'Rashodi-2020'!Q258</f>
        <v>0</v>
      </c>
      <c r="H26" s="1036">
        <f>'Rashodi-2020'!R255+'Rashodi-2020'!R256+'Rashodi-2020'!R259+'Rashodi-2020'!R260+'Rashodi-2020'!R261+'Rashodi-2020'!R262+'Rashodi-2020'!R362+'Rashodi-2020'!R257+'Rashodi-2020'!R263+'Rashodi-2020'!R258</f>
        <v>0</v>
      </c>
      <c r="I26" s="1036">
        <f>'Rashodi-2020'!S255+'Rashodi-2020'!S256+'Rashodi-2020'!S259+'Rashodi-2020'!S260+'Rashodi-2020'!S261+'Rashodi-2020'!S262+'Rashodi-2020'!S362+'Rashodi-2020'!S257+'Rashodi-2020'!S263+'Rashodi-2020'!S258</f>
        <v>0</v>
      </c>
      <c r="J26" s="1025">
        <f t="shared" si="2"/>
        <v>21860897</v>
      </c>
    </row>
    <row r="27" spans="1:10" s="26" customFormat="1" ht="13.5" thickBot="1">
      <c r="A27" s="1037">
        <v>465</v>
      </c>
      <c r="B27" s="1038" t="s">
        <v>216</v>
      </c>
      <c r="C27" s="1036">
        <f>'Rashodi-2020'!M464+'Rashodi-2020'!M99+'Rashodi-2020'!M24+'Rashodi-2020'!M56+'Rashodi-2020'!M73+'Rashodi-2020'!M450+'Rashodi-2020'!M98+'Rashodi-2020'!M39+'Rashodi-2020'!M413+'Rashodi-2020'!M393+'Rashodi-2020'!M97</f>
        <v>1798454</v>
      </c>
      <c r="D27" s="1036">
        <f>'Rashodi-2020'!N464+'Rashodi-2020'!N99+'Rashodi-2020'!N24+'Rashodi-2020'!N56+'Rashodi-2020'!N73+'Rashodi-2020'!N450+'Rashodi-2020'!N98+'Rashodi-2020'!N39+'Rashodi-2020'!N413+'Rashodi-2020'!N393+'Rashodi-2020'!N97</f>
        <v>0</v>
      </c>
      <c r="E27" s="1036">
        <f>'Rashodi-2020'!O464+'Rashodi-2020'!O99+'Rashodi-2020'!O24+'Rashodi-2020'!O56+'Rashodi-2020'!O73+'Rashodi-2020'!O450+'Rashodi-2020'!O98+'Rashodi-2020'!O39+'Rashodi-2020'!O413+'Rashodi-2020'!O393+'Rashodi-2020'!O97</f>
        <v>0</v>
      </c>
      <c r="F27" s="1036">
        <f>'Rashodi-2020'!P464+'Rashodi-2020'!P99+'Rashodi-2020'!P24+'Rashodi-2020'!P56+'Rashodi-2020'!P73+'Rashodi-2020'!P450+'Rashodi-2020'!P98+'Rashodi-2020'!P39+'Rashodi-2020'!P413+'Rashodi-2020'!P393+'Rashodi-2020'!P97</f>
        <v>0</v>
      </c>
      <c r="G27" s="1036">
        <f>'Rashodi-2020'!Q464+'Rashodi-2020'!Q99+'Rashodi-2020'!Q24+'Rashodi-2020'!Q56+'Rashodi-2020'!Q73+'Rashodi-2020'!Q450+'Rashodi-2020'!Q98+'Rashodi-2020'!Q39+'Rashodi-2020'!Q413+'Rashodi-2020'!Q393+'Rashodi-2020'!Q97</f>
        <v>0</v>
      </c>
      <c r="H27" s="1036">
        <f>'Rashodi-2020'!R464+'Rashodi-2020'!R99+'Rashodi-2020'!R24+'Rashodi-2020'!R56+'Rashodi-2020'!R73+'Rashodi-2020'!R450+'Rashodi-2020'!R98+'Rashodi-2020'!R39+'Rashodi-2020'!R413+'Rashodi-2020'!R393+'Rashodi-2020'!R97</f>
        <v>0</v>
      </c>
      <c r="I27" s="1036">
        <f>'Rashodi-2020'!S464+'Rashodi-2020'!S99+'Rashodi-2020'!S24+'Rashodi-2020'!S56+'Rashodi-2020'!S73+'Rashodi-2020'!S450+'Rashodi-2020'!S98+'Rashodi-2020'!S39+'Rashodi-2020'!S413+'Rashodi-2020'!S393+'Rashodi-2020'!S97</f>
        <v>0</v>
      </c>
      <c r="J27" s="1032">
        <f t="shared" si="2"/>
        <v>1798454</v>
      </c>
    </row>
    <row r="28" spans="1:10" s="23" customFormat="1" ht="15" customHeight="1" thickBot="1">
      <c r="A28" s="1011">
        <v>47</v>
      </c>
      <c r="B28" s="1028" t="s">
        <v>71</v>
      </c>
      <c r="C28" s="1027">
        <f aca="true" t="shared" si="7" ref="C28:I28">SUM(C29)</f>
        <v>18883000</v>
      </c>
      <c r="D28" s="1027">
        <f t="shared" si="7"/>
        <v>0</v>
      </c>
      <c r="E28" s="1027">
        <f t="shared" si="7"/>
        <v>0</v>
      </c>
      <c r="F28" s="1027">
        <f t="shared" si="7"/>
        <v>6646372</v>
      </c>
      <c r="G28" s="1027">
        <f t="shared" si="7"/>
        <v>1600000</v>
      </c>
      <c r="H28" s="1027">
        <f t="shared" si="7"/>
        <v>0</v>
      </c>
      <c r="I28" s="1027">
        <f t="shared" si="7"/>
        <v>0</v>
      </c>
      <c r="J28" s="1010">
        <f t="shared" si="2"/>
        <v>27129372</v>
      </c>
    </row>
    <row r="29" spans="1:10" s="355" customFormat="1" ht="13.5" thickBot="1">
      <c r="A29" s="1029">
        <v>472</v>
      </c>
      <c r="B29" s="1030" t="s">
        <v>44</v>
      </c>
      <c r="C29" s="1031">
        <f>'Rashodi-2020'!M100+'Rashodi-2020'!M242+'Rashodi-2020'!M247+'Rashodi-2020'!M251+'Rashodi-2020'!M351+'Rashodi-2020'!M353+'Rashodi-2020'!M352+'Rashodi-2020'!M243+'Rashodi-2020'!M244+'Rashodi-2020'!M245+'Rashodi-2020'!M246+'Rashodi-2020'!M74+'Rashodi-2020'!M128</f>
        <v>18883000</v>
      </c>
      <c r="D29" s="1031">
        <f>'Rashodi-2020'!N100+'Rashodi-2020'!N242+'Rashodi-2020'!N247+'Rashodi-2020'!N251+'Rashodi-2020'!N351+'Rashodi-2020'!N353+'Rashodi-2020'!N352+'Rashodi-2020'!N243+'Rashodi-2020'!N244+'Rashodi-2020'!N245+'Rashodi-2020'!N246+'Rashodi-2020'!N74+'Rashodi-2020'!N128</f>
        <v>0</v>
      </c>
      <c r="E29" s="1031">
        <f>'Rashodi-2020'!O100+'Rashodi-2020'!O242+'Rashodi-2020'!O247+'Rashodi-2020'!O251+'Rashodi-2020'!O351+'Rashodi-2020'!O353+'Rashodi-2020'!O352+'Rashodi-2020'!O243+'Rashodi-2020'!O244+'Rashodi-2020'!O245+'Rashodi-2020'!O246+'Rashodi-2020'!O74+'Rashodi-2020'!O128</f>
        <v>0</v>
      </c>
      <c r="F29" s="1031">
        <f>'Rashodi-2020'!P100+'Rashodi-2020'!P242+'Rashodi-2020'!P247+'Rashodi-2020'!P251+'Rashodi-2020'!P351+'Rashodi-2020'!P353+'Rashodi-2020'!P352+'Rashodi-2020'!P243+'Rashodi-2020'!P244+'Rashodi-2020'!P245+'Rashodi-2020'!P246+'Rashodi-2020'!P74+'Rashodi-2020'!P128</f>
        <v>6646372</v>
      </c>
      <c r="G29" s="1031">
        <f>'Rashodi-2020'!Q100+'Rashodi-2020'!Q242+'Rashodi-2020'!Q247+'Rashodi-2020'!Q251+'Rashodi-2020'!Q351+'Rashodi-2020'!Q353+'Rashodi-2020'!Q352+'Rashodi-2020'!Q243+'Rashodi-2020'!Q244+'Rashodi-2020'!Q245+'Rashodi-2020'!Q246+'Rashodi-2020'!Q74+'Rashodi-2020'!Q128</f>
        <v>1600000</v>
      </c>
      <c r="H29" s="1031">
        <f>'Rashodi-2020'!R100+'Rashodi-2020'!R242+'Rashodi-2020'!R247+'Rashodi-2020'!R251+'Rashodi-2020'!R351+'Rashodi-2020'!R353+'Rashodi-2020'!R352+'Rashodi-2020'!R243+'Rashodi-2020'!R244+'Rashodi-2020'!R245+'Rashodi-2020'!R246+'Rashodi-2020'!R74+'Rashodi-2020'!R128</f>
        <v>0</v>
      </c>
      <c r="I29" s="1031">
        <f>'Rashodi-2020'!S100+'Rashodi-2020'!S242+'Rashodi-2020'!S247+'Rashodi-2020'!S251+'Rashodi-2020'!S351+'Rashodi-2020'!S353+'Rashodi-2020'!S352+'Rashodi-2020'!S243+'Rashodi-2020'!S244+'Rashodi-2020'!S245+'Rashodi-2020'!S246+'Rashodi-2020'!S74+'Rashodi-2020'!S128</f>
        <v>0</v>
      </c>
      <c r="J29" s="1032">
        <f t="shared" si="2"/>
        <v>27129372</v>
      </c>
    </row>
    <row r="30" spans="1:10" s="23" customFormat="1" ht="15" customHeight="1" thickBot="1">
      <c r="A30" s="1011">
        <v>48</v>
      </c>
      <c r="B30" s="1028" t="s">
        <v>45</v>
      </c>
      <c r="C30" s="1027">
        <f>SUM(C31:C34)</f>
        <v>33677439</v>
      </c>
      <c r="D30" s="1027">
        <f aca="true" t="shared" si="8" ref="D30:I30">SUM(D31:D34)</f>
        <v>1000</v>
      </c>
      <c r="E30" s="1027">
        <f t="shared" si="8"/>
        <v>0</v>
      </c>
      <c r="F30" s="1027">
        <f t="shared" si="8"/>
        <v>5000</v>
      </c>
      <c r="G30" s="1027">
        <f t="shared" si="8"/>
        <v>0</v>
      </c>
      <c r="H30" s="1027">
        <f t="shared" si="8"/>
        <v>0</v>
      </c>
      <c r="I30" s="1027">
        <f t="shared" si="8"/>
        <v>0</v>
      </c>
      <c r="J30" s="1010">
        <f t="shared" si="2"/>
        <v>33683439</v>
      </c>
    </row>
    <row r="31" spans="1:10" ht="12.75">
      <c r="A31" s="1014">
        <v>481</v>
      </c>
      <c r="B31" s="1015" t="s">
        <v>46</v>
      </c>
      <c r="C31" s="1016">
        <f>'Rashodi-2020'!M25+'Rashodi-2020'!M451+'Rashodi-2020'!M140+'Rashodi-2020'!M142+'Rashodi-2020'!M149+'Rashodi-2020'!M359+'Rashodi-2020'!M141+'Rashodi-2020'!M250+'Rashodi-2020'!M297+'Rashodi-2020'!M502+'Rashodi-2020'!M29+'Rashodi-2020'!M102+'Rashodi-2020'!M101+'Rashodi-2020'!M348+'Rashodi-2020'!M150</f>
        <v>27920000</v>
      </c>
      <c r="D31" s="1016">
        <f>'Rashodi-2020'!N25+'Rashodi-2020'!N451+'Rashodi-2020'!N140+'Rashodi-2020'!N142+'Rashodi-2020'!N149+'Rashodi-2020'!N359+'Rashodi-2020'!N141+'Rashodi-2020'!N250+'Rashodi-2020'!N297+'Rashodi-2020'!N502+'Rashodi-2020'!N29+'Rashodi-2020'!N102+'Rashodi-2020'!N101+'Rashodi-2020'!N348+'Rashodi-2020'!N150</f>
        <v>0</v>
      </c>
      <c r="E31" s="1016">
        <f>'Rashodi-2020'!O25+'Rashodi-2020'!O451+'Rashodi-2020'!O140+'Rashodi-2020'!O142+'Rashodi-2020'!O149+'Rashodi-2020'!O359+'Rashodi-2020'!O141+'Rashodi-2020'!O250+'Rashodi-2020'!O297+'Rashodi-2020'!O502+'Rashodi-2020'!O29+'Rashodi-2020'!O102+'Rashodi-2020'!O101+'Rashodi-2020'!O348+'Rashodi-2020'!O150</f>
        <v>0</v>
      </c>
      <c r="F31" s="1016">
        <f>'Rashodi-2020'!P25+'Rashodi-2020'!P451+'Rashodi-2020'!P140+'Rashodi-2020'!P142+'Rashodi-2020'!P149+'Rashodi-2020'!P359+'Rashodi-2020'!P141+'Rashodi-2020'!P250+'Rashodi-2020'!P297+'Rashodi-2020'!P502+'Rashodi-2020'!P29+'Rashodi-2020'!P102+'Rashodi-2020'!P101+'Rashodi-2020'!P348+'Rashodi-2020'!P150</f>
        <v>0</v>
      </c>
      <c r="G31" s="1016">
        <f>'Rashodi-2020'!Q25+'Rashodi-2020'!Q451+'Rashodi-2020'!Q140+'Rashodi-2020'!Q142+'Rashodi-2020'!Q149+'Rashodi-2020'!Q359+'Rashodi-2020'!Q141+'Rashodi-2020'!Q250+'Rashodi-2020'!Q297+'Rashodi-2020'!Q502+'Rashodi-2020'!Q29+'Rashodi-2020'!Q102+'Rashodi-2020'!Q101+'Rashodi-2020'!Q348+'Rashodi-2020'!Q150</f>
        <v>0</v>
      </c>
      <c r="H31" s="1016">
        <f>'Rashodi-2020'!R25+'Rashodi-2020'!R451+'Rashodi-2020'!R140+'Rashodi-2020'!R142+'Rashodi-2020'!R149+'Rashodi-2020'!R359+'Rashodi-2020'!R141+'Rashodi-2020'!R250+'Rashodi-2020'!R297+'Rashodi-2020'!R502+'Rashodi-2020'!R29+'Rashodi-2020'!R102+'Rashodi-2020'!R101+'Rashodi-2020'!R348+'Rashodi-2020'!R150</f>
        <v>0</v>
      </c>
      <c r="I31" s="1016">
        <f>'Rashodi-2020'!S25+'Rashodi-2020'!S451+'Rashodi-2020'!S140+'Rashodi-2020'!S142+'Rashodi-2020'!S149+'Rashodi-2020'!S359+'Rashodi-2020'!S141+'Rashodi-2020'!S250+'Rashodi-2020'!S297+'Rashodi-2020'!S502+'Rashodi-2020'!S29+'Rashodi-2020'!S102+'Rashodi-2020'!S101+'Rashodi-2020'!S348+'Rashodi-2020'!S150</f>
        <v>0</v>
      </c>
      <c r="J31" s="1017">
        <f t="shared" si="2"/>
        <v>27920000</v>
      </c>
    </row>
    <row r="32" spans="1:10" ht="12.75">
      <c r="A32" s="1018">
        <v>482</v>
      </c>
      <c r="B32" s="1019" t="s">
        <v>47</v>
      </c>
      <c r="C32" s="1020">
        <f>'Rashodi-2020'!M103+'Rashodi-2020'!M465+'Rashodi-2020'!M490+'Rashodi-2020'!M515+'Rashodi-2020'!M452+'Rashodi-2020'!M477+'Rashodi-2020'!M435+'Rashodi-2020'!M57+'Rashodi-2020'!M282+'Rashodi-2020'!M414+'Rashodi-2020'!M394+'Rashodi-2020'!M503</f>
        <v>3957439</v>
      </c>
      <c r="D32" s="1020">
        <f>'Rashodi-2020'!N103+'Rashodi-2020'!N465+'Rashodi-2020'!N490+'Rashodi-2020'!N515+'Rashodi-2020'!N452+'Rashodi-2020'!N477+'Rashodi-2020'!N435+'Rashodi-2020'!N57+'Rashodi-2020'!N282+'Rashodi-2020'!N414+'Rashodi-2020'!N394+'Rashodi-2020'!N503</f>
        <v>1000</v>
      </c>
      <c r="E32" s="1020">
        <f>'Rashodi-2020'!O103+'Rashodi-2020'!O465+'Rashodi-2020'!O490+'Rashodi-2020'!O515+'Rashodi-2020'!O452+'Rashodi-2020'!O477+'Rashodi-2020'!O435+'Rashodi-2020'!O57+'Rashodi-2020'!O282+'Rashodi-2020'!O414+'Rashodi-2020'!O394+'Rashodi-2020'!O503</f>
        <v>0</v>
      </c>
      <c r="F32" s="1020">
        <f>'Rashodi-2020'!P103+'Rashodi-2020'!P465+'Rashodi-2020'!P490+'Rashodi-2020'!P515+'Rashodi-2020'!P452+'Rashodi-2020'!P477+'Rashodi-2020'!P435+'Rashodi-2020'!P57+'Rashodi-2020'!P282+'Rashodi-2020'!P414+'Rashodi-2020'!P394+'Rashodi-2020'!P503</f>
        <v>5000</v>
      </c>
      <c r="G32" s="1020">
        <f>'Rashodi-2020'!Q103+'Rashodi-2020'!Q465+'Rashodi-2020'!Q490+'Rashodi-2020'!Q515+'Rashodi-2020'!Q452+'Rashodi-2020'!Q477+'Rashodi-2020'!Q435+'Rashodi-2020'!Q57+'Rashodi-2020'!Q282+'Rashodi-2020'!Q414+'Rashodi-2020'!Q394+'Rashodi-2020'!Q503</f>
        <v>0</v>
      </c>
      <c r="H32" s="1020">
        <f>'Rashodi-2020'!R103+'Rashodi-2020'!R465+'Rashodi-2020'!R490+'Rashodi-2020'!R515+'Rashodi-2020'!R452+'Rashodi-2020'!R477+'Rashodi-2020'!R435+'Rashodi-2020'!R57+'Rashodi-2020'!R282+'Rashodi-2020'!R414+'Rashodi-2020'!R394+'Rashodi-2020'!R503</f>
        <v>0</v>
      </c>
      <c r="I32" s="1020">
        <f>'Rashodi-2020'!S103+'Rashodi-2020'!S465+'Rashodi-2020'!S490+'Rashodi-2020'!S515+'Rashodi-2020'!S452+'Rashodi-2020'!S477+'Rashodi-2020'!S435+'Rashodi-2020'!S57+'Rashodi-2020'!S282+'Rashodi-2020'!S414+'Rashodi-2020'!S394+'Rashodi-2020'!S503</f>
        <v>0</v>
      </c>
      <c r="J32" s="1021">
        <f t="shared" si="2"/>
        <v>3963439</v>
      </c>
    </row>
    <row r="33" spans="1:10" ht="12.75">
      <c r="A33" s="1018">
        <v>483</v>
      </c>
      <c r="B33" s="1019" t="s">
        <v>72</v>
      </c>
      <c r="C33" s="1020">
        <f>'Rashodi-2020'!M104</f>
        <v>400000</v>
      </c>
      <c r="D33" s="1020">
        <f>'Rashodi-2020'!N104</f>
        <v>0</v>
      </c>
      <c r="E33" s="1020">
        <f>'Rashodi-2020'!O104</f>
        <v>0</v>
      </c>
      <c r="F33" s="1020">
        <f>'Rashodi-2020'!P104</f>
        <v>0</v>
      </c>
      <c r="G33" s="1020">
        <f>'Rashodi-2020'!Q104</f>
        <v>0</v>
      </c>
      <c r="H33" s="1020">
        <f>'Rashodi-2020'!R104</f>
        <v>0</v>
      </c>
      <c r="I33" s="1020">
        <f>'Rashodi-2020'!S104</f>
        <v>0</v>
      </c>
      <c r="J33" s="1021">
        <f t="shared" si="2"/>
        <v>400000</v>
      </c>
    </row>
    <row r="34" spans="1:10" ht="13.5" thickBot="1">
      <c r="A34" s="1029">
        <v>485</v>
      </c>
      <c r="B34" s="1030" t="s">
        <v>75</v>
      </c>
      <c r="C34" s="1031">
        <f>'Rashodi-2020'!M105</f>
        <v>1400000</v>
      </c>
      <c r="D34" s="1031">
        <f>'Rashodi-2020'!N105</f>
        <v>0</v>
      </c>
      <c r="E34" s="1031">
        <f>'Rashodi-2020'!O105</f>
        <v>0</v>
      </c>
      <c r="F34" s="1031">
        <f>'Rashodi-2020'!P105</f>
        <v>0</v>
      </c>
      <c r="G34" s="1031">
        <f>'Rashodi-2020'!Q105</f>
        <v>0</v>
      </c>
      <c r="H34" s="1031">
        <f>'Rashodi-2020'!R105</f>
        <v>0</v>
      </c>
      <c r="I34" s="1031">
        <f>'Rashodi-2020'!S105</f>
        <v>0</v>
      </c>
      <c r="J34" s="1025">
        <f t="shared" si="2"/>
        <v>1400000</v>
      </c>
    </row>
    <row r="35" spans="1:10" s="23" customFormat="1" ht="15" customHeight="1" thickBot="1">
      <c r="A35" s="1011">
        <v>49</v>
      </c>
      <c r="B35" s="1028" t="s">
        <v>70</v>
      </c>
      <c r="C35" s="1027">
        <f aca="true" t="shared" si="9" ref="C35:I35">SUM(C36)</f>
        <v>1000000</v>
      </c>
      <c r="D35" s="1027">
        <f t="shared" si="9"/>
        <v>0</v>
      </c>
      <c r="E35" s="1027">
        <f t="shared" si="9"/>
        <v>0</v>
      </c>
      <c r="F35" s="1027">
        <f t="shared" si="9"/>
        <v>0</v>
      </c>
      <c r="G35" s="1027">
        <f t="shared" si="9"/>
        <v>0</v>
      </c>
      <c r="H35" s="1027">
        <f t="shared" si="9"/>
        <v>0</v>
      </c>
      <c r="I35" s="1027">
        <f t="shared" si="9"/>
        <v>0</v>
      </c>
      <c r="J35" s="1010">
        <f t="shared" si="2"/>
        <v>1000000</v>
      </c>
    </row>
    <row r="36" spans="1:10" ht="13.5" thickBot="1">
      <c r="A36" s="1029">
        <v>499</v>
      </c>
      <c r="B36" s="1030" t="s">
        <v>48</v>
      </c>
      <c r="C36" s="1031">
        <f>'Rashodi-2020'!M133+'Rashodi-2020'!M136</f>
        <v>1000000</v>
      </c>
      <c r="D36" s="1031">
        <f>'Rashodi-2020'!N133+'Rashodi-2020'!N136</f>
        <v>0</v>
      </c>
      <c r="E36" s="1031">
        <f>'Rashodi-2020'!O133+'Rashodi-2020'!O136</f>
        <v>0</v>
      </c>
      <c r="F36" s="1031">
        <f>'Rashodi-2020'!P133+'Rashodi-2020'!P136</f>
        <v>0</v>
      </c>
      <c r="G36" s="1031">
        <f>'Rashodi-2020'!Q133+'Rashodi-2020'!Q136</f>
        <v>0</v>
      </c>
      <c r="H36" s="1031">
        <f>'Rashodi-2020'!R133+'Rashodi-2020'!R136</f>
        <v>0</v>
      </c>
      <c r="I36" s="1031">
        <f>'Rashodi-2020'!S133+'Rashodi-2020'!S136</f>
        <v>0</v>
      </c>
      <c r="J36" s="1032">
        <f t="shared" si="2"/>
        <v>1000000</v>
      </c>
    </row>
    <row r="37" spans="1:11" s="23" customFormat="1" ht="15" customHeight="1" thickBot="1">
      <c r="A37" s="1011">
        <v>51</v>
      </c>
      <c r="B37" s="1028" t="s">
        <v>49</v>
      </c>
      <c r="C37" s="1027">
        <f>SUM(C38:C43)</f>
        <v>35120000</v>
      </c>
      <c r="D37" s="1027">
        <f aca="true" t="shared" si="10" ref="D37:I37">SUM(D38:D43)</f>
        <v>29000</v>
      </c>
      <c r="E37" s="1027">
        <f t="shared" si="10"/>
        <v>370000</v>
      </c>
      <c r="F37" s="1027">
        <f t="shared" si="10"/>
        <v>45266642.879999995</v>
      </c>
      <c r="G37" s="1027">
        <f t="shared" si="10"/>
        <v>112141732.22</v>
      </c>
      <c r="H37" s="1027">
        <f t="shared" si="10"/>
        <v>0</v>
      </c>
      <c r="I37" s="1027">
        <f t="shared" si="10"/>
        <v>0</v>
      </c>
      <c r="J37" s="1010">
        <f t="shared" si="2"/>
        <v>192927375.1</v>
      </c>
      <c r="K37" s="273"/>
    </row>
    <row r="38" spans="1:10" ht="12.75">
      <c r="A38" s="1014">
        <v>511</v>
      </c>
      <c r="B38" s="1015" t="s">
        <v>50</v>
      </c>
      <c r="C38" s="1016">
        <f>'Rashodi-2020'!M333+'Rashodi-2020'!M321+'Rashodi-2020'!M317+'Rashodi-2020'!M122+'Rashodi-2020'!M375+'Rashodi-2020'!M318+'Rashodi-2020'!M319+'Rashodi-2020'!M344+'Rashodi-2020'!M395+'Rashodi-2020'!M312+'Rashodi-2020'!M339+'Rashodi-2020'!M320+'Rashodi-2020'!M117+'Rashodi-2020'!M356+'Rashodi-2020'!M338+'Rashodi-2020'!M491+'Rashodi-2020'!M340</f>
        <v>28328000</v>
      </c>
      <c r="D38" s="1016">
        <f>'Rashodi-2020'!N333+'Rashodi-2020'!N321+'Rashodi-2020'!N317+'Rashodi-2020'!N122+'Rashodi-2020'!N375+'Rashodi-2020'!N318+'Rashodi-2020'!N319+'Rashodi-2020'!N344+'Rashodi-2020'!N395+'Rashodi-2020'!N312+'Rashodi-2020'!N339+'Rashodi-2020'!N320+'Rashodi-2020'!N117+'Rashodi-2020'!N356+'Rashodi-2020'!N338+'Rashodi-2020'!N491+'Rashodi-2020'!N340</f>
        <v>0</v>
      </c>
      <c r="E38" s="1016">
        <f>'Rashodi-2020'!O333+'Rashodi-2020'!O321+'Rashodi-2020'!O317+'Rashodi-2020'!O122+'Rashodi-2020'!O375+'Rashodi-2020'!O318+'Rashodi-2020'!O319+'Rashodi-2020'!O344+'Rashodi-2020'!O395+'Rashodi-2020'!O312+'Rashodi-2020'!O339+'Rashodi-2020'!O320+'Rashodi-2020'!O117+'Rashodi-2020'!O356+'Rashodi-2020'!O338+'Rashodi-2020'!O491+'Rashodi-2020'!O340</f>
        <v>0</v>
      </c>
      <c r="F38" s="1016">
        <f>'Rashodi-2020'!P333+'Rashodi-2020'!P321+'Rashodi-2020'!P317+'Rashodi-2020'!P122+'Rashodi-2020'!P375+'Rashodi-2020'!P318+'Rashodi-2020'!P319+'Rashodi-2020'!P344+'Rashodi-2020'!P395+'Rashodi-2020'!P312+'Rashodi-2020'!P339+'Rashodi-2020'!P320+'Rashodi-2020'!P117+'Rashodi-2020'!P356+'Rashodi-2020'!P338+'Rashodi-2020'!P491+'Rashodi-2020'!P340</f>
        <v>45216642.879999995</v>
      </c>
      <c r="G38" s="1016">
        <f>'Rashodi-2020'!Q333+'Rashodi-2020'!Q321+'Rashodi-2020'!Q317+'Rashodi-2020'!Q122+'Rashodi-2020'!Q375+'Rashodi-2020'!Q318+'Rashodi-2020'!Q319+'Rashodi-2020'!Q344+'Rashodi-2020'!Q395+'Rashodi-2020'!Q312+'Rashodi-2020'!Q339+'Rashodi-2020'!Q320+'Rashodi-2020'!Q117+'Rashodi-2020'!Q356+'Rashodi-2020'!Q338+'Rashodi-2020'!Q491+'Rashodi-2020'!Q340</f>
        <v>95081732.22</v>
      </c>
      <c r="H38" s="1016">
        <f>'Rashodi-2020'!R333+'Rashodi-2020'!R321+'Rashodi-2020'!R317+'Rashodi-2020'!R122+'Rashodi-2020'!R375+'Rashodi-2020'!R318+'Rashodi-2020'!R319+'Rashodi-2020'!R344+'Rashodi-2020'!R395+'Rashodi-2020'!R312+'Rashodi-2020'!R339+'Rashodi-2020'!R320+'Rashodi-2020'!R117+'Rashodi-2020'!R356+'Rashodi-2020'!R338+'Rashodi-2020'!R491+'Rashodi-2020'!R340</f>
        <v>0</v>
      </c>
      <c r="I38" s="1016">
        <f>'Rashodi-2020'!S333+'Rashodi-2020'!S321+'Rashodi-2020'!S317+'Rashodi-2020'!S122+'Rashodi-2020'!S375+'Rashodi-2020'!S318+'Rashodi-2020'!S319+'Rashodi-2020'!S344+'Rashodi-2020'!S395+'Rashodi-2020'!S312+'Rashodi-2020'!S339+'Rashodi-2020'!S320+'Rashodi-2020'!S117+'Rashodi-2020'!S356+'Rashodi-2020'!S338+'Rashodi-2020'!S491+'Rashodi-2020'!S340</f>
        <v>0</v>
      </c>
      <c r="J38" s="1016">
        <f aca="true" t="shared" si="11" ref="J38:J43">SUM(C38:I38)</f>
        <v>168626375.1</v>
      </c>
    </row>
    <row r="39" spans="1:10" ht="12.75">
      <c r="A39" s="1022">
        <v>512</v>
      </c>
      <c r="B39" s="1019" t="s">
        <v>51</v>
      </c>
      <c r="C39" s="1020">
        <f>'Rashodi-2020'!M106+'Rashodi-2020'!M492+'Rashodi-2020'!M283+'Rashodi-2020'!M118+'Rashodi-2020'!M107+'Rashodi-2020'!M453+'Rashodi-2020'!M130+'Rashodi-2020'!M415+'Rashodi-2020'!M396+'Rashodi-2020'!M123+'Rashodi-2020'!M266+'Rashodi-2020'!M466+'Rashodi-2020'!M478+'Rashodi-2020'!M329</f>
        <v>5452000</v>
      </c>
      <c r="D39" s="1020">
        <f>'Rashodi-2020'!N106+'Rashodi-2020'!N492+'Rashodi-2020'!N283+'Rashodi-2020'!N118+'Rashodi-2020'!N107+'Rashodi-2020'!N453+'Rashodi-2020'!N130+'Rashodi-2020'!N415+'Rashodi-2020'!N396+'Rashodi-2020'!N123+'Rashodi-2020'!N266+'Rashodi-2020'!N466+'Rashodi-2020'!N478+'Rashodi-2020'!N329</f>
        <v>9000</v>
      </c>
      <c r="E39" s="1020">
        <f>'Rashodi-2020'!O106+'Rashodi-2020'!O492+'Rashodi-2020'!O283+'Rashodi-2020'!O118+'Rashodi-2020'!O107+'Rashodi-2020'!O453+'Rashodi-2020'!O130+'Rashodi-2020'!O415+'Rashodi-2020'!O396+'Rashodi-2020'!O123+'Rashodi-2020'!O266+'Rashodi-2020'!O466+'Rashodi-2020'!O478+'Rashodi-2020'!O329</f>
        <v>370000</v>
      </c>
      <c r="F39" s="1020">
        <f>'Rashodi-2020'!P106+'Rashodi-2020'!P492+'Rashodi-2020'!P283+'Rashodi-2020'!P118+'Rashodi-2020'!P107+'Rashodi-2020'!P453+'Rashodi-2020'!P130+'Rashodi-2020'!P415+'Rashodi-2020'!P396+'Rashodi-2020'!P123+'Rashodi-2020'!P266+'Rashodi-2020'!P466+'Rashodi-2020'!P478+'Rashodi-2020'!P329</f>
        <v>0</v>
      </c>
      <c r="G39" s="1020">
        <f>'Rashodi-2020'!Q106+'Rashodi-2020'!Q492+'Rashodi-2020'!Q283+'Rashodi-2020'!Q118+'Rashodi-2020'!Q107+'Rashodi-2020'!Q453+'Rashodi-2020'!Q130+'Rashodi-2020'!Q415+'Rashodi-2020'!Q396+'Rashodi-2020'!Q123+'Rashodi-2020'!Q266+'Rashodi-2020'!Q466+'Rashodi-2020'!Q478+'Rashodi-2020'!Q329</f>
        <v>17030000</v>
      </c>
      <c r="H39" s="1020">
        <f>'Rashodi-2020'!R106+'Rashodi-2020'!R492+'Rashodi-2020'!R283+'Rashodi-2020'!R118+'Rashodi-2020'!R107+'Rashodi-2020'!R453+'Rashodi-2020'!R130+'Rashodi-2020'!R415+'Rashodi-2020'!R396+'Rashodi-2020'!R123+'Rashodi-2020'!R266+'Rashodi-2020'!R466+'Rashodi-2020'!R478+'Rashodi-2020'!R329</f>
        <v>0</v>
      </c>
      <c r="I39" s="1020">
        <f>'Rashodi-2020'!S106+'Rashodi-2020'!S492+'Rashodi-2020'!S283+'Rashodi-2020'!S118+'Rashodi-2020'!S107+'Rashodi-2020'!S453+'Rashodi-2020'!S130+'Rashodi-2020'!S415+'Rashodi-2020'!S396+'Rashodi-2020'!S123+'Rashodi-2020'!S266+'Rashodi-2020'!S466+'Rashodi-2020'!S478+'Rashodi-2020'!S329</f>
        <v>0</v>
      </c>
      <c r="J39" s="1020">
        <f t="shared" si="11"/>
        <v>22861000</v>
      </c>
    </row>
    <row r="40" spans="1:10" ht="12.75">
      <c r="A40" s="1022">
        <v>513</v>
      </c>
      <c r="B40" s="1019" t="s">
        <v>873</v>
      </c>
      <c r="C40" s="1020">
        <f>'Rashodi-2020'!M479</f>
        <v>140000</v>
      </c>
      <c r="D40" s="1020">
        <v>0</v>
      </c>
      <c r="E40" s="1020">
        <v>0</v>
      </c>
      <c r="F40" s="1020">
        <v>0</v>
      </c>
      <c r="G40" s="1020">
        <v>0</v>
      </c>
      <c r="H40" s="1020">
        <v>0</v>
      </c>
      <c r="I40" s="1020">
        <v>0</v>
      </c>
      <c r="J40" s="1020">
        <f t="shared" si="11"/>
        <v>140000</v>
      </c>
    </row>
    <row r="41" spans="1:10" ht="12.75">
      <c r="A41" s="1022">
        <v>514</v>
      </c>
      <c r="B41" s="1039" t="s">
        <v>217</v>
      </c>
      <c r="C41" s="1040">
        <v>0</v>
      </c>
      <c r="D41" s="1040">
        <v>0</v>
      </c>
      <c r="E41" s="1040">
        <v>0</v>
      </c>
      <c r="F41" s="1040">
        <v>0</v>
      </c>
      <c r="G41" s="1040">
        <v>0</v>
      </c>
      <c r="H41" s="1040">
        <v>0</v>
      </c>
      <c r="I41" s="1040">
        <v>0</v>
      </c>
      <c r="J41" s="1040">
        <f t="shared" si="11"/>
        <v>0</v>
      </c>
    </row>
    <row r="42" spans="1:10" ht="12.75">
      <c r="A42" s="1018">
        <v>515</v>
      </c>
      <c r="B42" s="1019" t="s">
        <v>218</v>
      </c>
      <c r="C42" s="1020">
        <f>'Rashodi-2020'!M416+'Rashodi-2020'!M397+'Rashodi-2020'!M108</f>
        <v>700000</v>
      </c>
      <c r="D42" s="1020">
        <f>'Rashodi-2020'!N416+'Rashodi-2020'!N397+'Rashodi-2020'!N108</f>
        <v>20000</v>
      </c>
      <c r="E42" s="1020">
        <f>'Rashodi-2020'!O416+'Rashodi-2020'!O397+'Rashodi-2020'!O108</f>
        <v>0</v>
      </c>
      <c r="F42" s="1020">
        <f>'Rashodi-2020'!P416+'Rashodi-2020'!P397+'Rashodi-2020'!P108</f>
        <v>50000</v>
      </c>
      <c r="G42" s="1020">
        <f>'Rashodi-2020'!Q416+'Rashodi-2020'!Q397+'Rashodi-2020'!Q108</f>
        <v>30000</v>
      </c>
      <c r="H42" s="1020">
        <f>'Rashodi-2020'!R416+'Rashodi-2020'!R397+'Rashodi-2020'!R108</f>
        <v>0</v>
      </c>
      <c r="I42" s="1020">
        <f>'Rashodi-2020'!S416+'Rashodi-2020'!S397+'Rashodi-2020'!S108</f>
        <v>0</v>
      </c>
      <c r="J42" s="1020">
        <f t="shared" si="11"/>
        <v>800000</v>
      </c>
    </row>
    <row r="43" spans="1:10" ht="13.5" thickBot="1">
      <c r="A43" s="1022">
        <v>541</v>
      </c>
      <c r="B43" s="1041" t="s">
        <v>74</v>
      </c>
      <c r="C43" s="1042">
        <f>'Rashodi-2020'!M109</f>
        <v>500000</v>
      </c>
      <c r="D43" s="1042">
        <f>'Rashodi-2020'!N109</f>
        <v>0</v>
      </c>
      <c r="E43" s="1042">
        <f>'Rashodi-2020'!O109</f>
        <v>0</v>
      </c>
      <c r="F43" s="1042">
        <f>'Rashodi-2020'!P109</f>
        <v>0</v>
      </c>
      <c r="G43" s="1042">
        <f>'Rashodi-2020'!Q109</f>
        <v>0</v>
      </c>
      <c r="H43" s="1042">
        <f>'Rashodi-2020'!R109</f>
        <v>0</v>
      </c>
      <c r="I43" s="1042">
        <f>'Rashodi-2020'!S109</f>
        <v>0</v>
      </c>
      <c r="J43" s="1042">
        <f t="shared" si="11"/>
        <v>500000</v>
      </c>
    </row>
    <row r="44" spans="1:10" s="23" customFormat="1" ht="15" customHeight="1" hidden="1" thickBot="1">
      <c r="A44" s="1011">
        <v>62</v>
      </c>
      <c r="B44" s="1043" t="s">
        <v>1177</v>
      </c>
      <c r="C44" s="1044">
        <f aca="true" t="shared" si="12" ref="C44:I44">SUM(C45)</f>
        <v>0</v>
      </c>
      <c r="D44" s="1044">
        <f t="shared" si="12"/>
        <v>0</v>
      </c>
      <c r="E44" s="1044">
        <f t="shared" si="12"/>
        <v>0</v>
      </c>
      <c r="F44" s="1044">
        <f t="shared" si="12"/>
        <v>0</v>
      </c>
      <c r="G44" s="1044">
        <f t="shared" si="12"/>
        <v>0</v>
      </c>
      <c r="H44" s="1044">
        <f t="shared" si="12"/>
        <v>0</v>
      </c>
      <c r="I44" s="1044">
        <f t="shared" si="12"/>
        <v>0</v>
      </c>
      <c r="J44" s="1010">
        <v>0</v>
      </c>
    </row>
    <row r="45" spans="1:10" ht="13.5" hidden="1" thickBot="1">
      <c r="A45" s="1029">
        <v>621</v>
      </c>
      <c r="B45" s="1045" t="s">
        <v>172</v>
      </c>
      <c r="C45" s="1046"/>
      <c r="D45" s="1046"/>
      <c r="E45" s="1046"/>
      <c r="F45" s="1046"/>
      <c r="G45" s="1046"/>
      <c r="H45" s="1046">
        <v>0</v>
      </c>
      <c r="I45" s="1046"/>
      <c r="J45" s="1032">
        <v>0</v>
      </c>
    </row>
    <row r="46" spans="1:10" ht="26.25" customHeight="1" thickBot="1">
      <c r="A46" s="1369" t="s">
        <v>1548</v>
      </c>
      <c r="B46" s="1370"/>
      <c r="C46" s="1047">
        <f>C4</f>
        <v>444656763</v>
      </c>
      <c r="D46" s="1047">
        <f aca="true" t="shared" si="13" ref="D46:I46">D4</f>
        <v>205000</v>
      </c>
      <c r="E46" s="1047">
        <f t="shared" si="13"/>
        <v>12551595</v>
      </c>
      <c r="F46" s="1047">
        <f t="shared" si="13"/>
        <v>60684696.879999995</v>
      </c>
      <c r="G46" s="1047">
        <f t="shared" si="13"/>
        <v>218195981.22</v>
      </c>
      <c r="H46" s="1047">
        <f t="shared" si="13"/>
        <v>90000</v>
      </c>
      <c r="I46" s="1047">
        <f t="shared" si="13"/>
        <v>505000</v>
      </c>
      <c r="J46" s="1047">
        <f t="shared" si="2"/>
        <v>736889036.1</v>
      </c>
    </row>
    <row r="47" spans="1:10" ht="12.75">
      <c r="A47" s="278"/>
      <c r="B47" s="279"/>
      <c r="C47" s="267"/>
      <c r="D47" s="268"/>
      <c r="E47" s="268"/>
      <c r="F47" s="268"/>
      <c r="G47" s="268"/>
      <c r="H47" s="268"/>
      <c r="I47" s="268"/>
      <c r="J47" s="24"/>
    </row>
    <row r="48" spans="1:10" ht="12.75">
      <c r="A48" s="280"/>
      <c r="B48" s="24"/>
      <c r="C48" s="268"/>
      <c r="D48" s="268"/>
      <c r="E48" s="268"/>
      <c r="F48" s="268"/>
      <c r="G48" s="268"/>
      <c r="H48" s="268"/>
      <c r="I48" s="268"/>
      <c r="J48" s="24"/>
    </row>
    <row r="49" spans="1:10" ht="12.75">
      <c r="A49" s="280"/>
      <c r="B49" s="24"/>
      <c r="C49" s="268"/>
      <c r="D49" s="268"/>
      <c r="E49" s="268"/>
      <c r="F49" s="268"/>
      <c r="G49" s="268"/>
      <c r="H49" s="268"/>
      <c r="I49" s="268"/>
      <c r="J49" s="281"/>
    </row>
    <row r="50" spans="1:10" ht="12.75">
      <c r="A50" s="280"/>
      <c r="B50" s="24"/>
      <c r="C50" s="268"/>
      <c r="D50" s="268"/>
      <c r="E50" s="267"/>
      <c r="F50" s="268"/>
      <c r="G50" s="268"/>
      <c r="H50" s="268"/>
      <c r="I50" s="268"/>
      <c r="J50" s="281"/>
    </row>
    <row r="51" spans="1:10" s="23" customFormat="1" ht="16.5" customHeight="1">
      <c r="A51" s="280"/>
      <c r="B51" s="24"/>
      <c r="C51" s="268"/>
      <c r="D51" s="268"/>
      <c r="E51" s="268"/>
      <c r="F51" s="267"/>
      <c r="G51" s="267"/>
      <c r="H51" s="267"/>
      <c r="I51" s="267"/>
      <c r="J51" s="279"/>
    </row>
    <row r="52" spans="1:10" ht="12.75">
      <c r="A52" s="280"/>
      <c r="B52" s="24"/>
      <c r="C52" s="268"/>
      <c r="D52" s="268"/>
      <c r="E52" s="268"/>
      <c r="F52" s="268"/>
      <c r="G52" s="268"/>
      <c r="H52" s="268"/>
      <c r="I52" s="268"/>
      <c r="J52" s="24"/>
    </row>
    <row r="53" spans="1:10" ht="12.75">
      <c r="A53" s="280"/>
      <c r="B53" s="24"/>
      <c r="C53" s="268"/>
      <c r="D53" s="268"/>
      <c r="E53" s="268"/>
      <c r="F53" s="268"/>
      <c r="G53" s="268"/>
      <c r="H53" s="268"/>
      <c r="I53" s="268"/>
      <c r="J53" s="281"/>
    </row>
    <row r="54" spans="1:10" ht="12.75">
      <c r="A54" s="278"/>
      <c r="B54" s="279"/>
      <c r="C54" s="267"/>
      <c r="D54" s="268"/>
      <c r="E54" s="268"/>
      <c r="F54" s="268"/>
      <c r="G54" s="268"/>
      <c r="H54" s="268"/>
      <c r="I54" s="268"/>
      <c r="J54" s="24"/>
    </row>
    <row r="55" spans="1:10" ht="12.75" customHeight="1">
      <c r="A55" s="280"/>
      <c r="B55" s="24"/>
      <c r="C55" s="268"/>
      <c r="D55" s="268"/>
      <c r="E55" s="268"/>
      <c r="F55" s="268"/>
      <c r="G55" s="268"/>
      <c r="H55" s="268"/>
      <c r="I55" s="268"/>
      <c r="J55" s="24"/>
    </row>
    <row r="56" spans="1:10" ht="12.75">
      <c r="A56" s="280"/>
      <c r="B56" s="24"/>
      <c r="C56" s="268"/>
      <c r="D56" s="267"/>
      <c r="E56" s="267"/>
      <c r="F56" s="268"/>
      <c r="G56" s="268"/>
      <c r="H56" s="268"/>
      <c r="I56" s="268"/>
      <c r="J56" s="24"/>
    </row>
    <row r="57" spans="1:10" s="23" customFormat="1" ht="12" customHeight="1">
      <c r="A57" s="280"/>
      <c r="B57" s="24"/>
      <c r="C57" s="268"/>
      <c r="D57" s="268"/>
      <c r="E57" s="268"/>
      <c r="F57" s="267"/>
      <c r="G57" s="267"/>
      <c r="H57" s="267"/>
      <c r="I57" s="267"/>
      <c r="J57" s="279"/>
    </row>
    <row r="58" spans="1:10" ht="12.75">
      <c r="A58" s="280"/>
      <c r="B58" s="24"/>
      <c r="C58" s="268"/>
      <c r="D58" s="268"/>
      <c r="E58" s="268"/>
      <c r="F58" s="268"/>
      <c r="G58" s="268"/>
      <c r="H58" s="268"/>
      <c r="I58" s="268"/>
      <c r="J58" s="24"/>
    </row>
    <row r="59" spans="1:10" s="23" customFormat="1" ht="12.75" customHeight="1">
      <c r="A59" s="280"/>
      <c r="B59" s="24"/>
      <c r="C59" s="268"/>
      <c r="D59" s="268"/>
      <c r="E59" s="268"/>
      <c r="F59" s="267"/>
      <c r="G59" s="267"/>
      <c r="H59" s="267"/>
      <c r="I59" s="267"/>
      <c r="J59" s="279"/>
    </row>
    <row r="60" spans="1:10" ht="12.75" customHeight="1">
      <c r="A60" s="280"/>
      <c r="B60" s="24"/>
      <c r="C60" s="268"/>
      <c r="D60" s="268"/>
      <c r="E60" s="268"/>
      <c r="F60" s="268"/>
      <c r="G60" s="268"/>
      <c r="H60" s="268"/>
      <c r="I60" s="268"/>
      <c r="J60" s="24"/>
    </row>
    <row r="61" spans="1:10" s="23" customFormat="1" ht="16.5" customHeight="1">
      <c r="A61" s="278"/>
      <c r="B61" s="279"/>
      <c r="C61" s="267"/>
      <c r="D61" s="268"/>
      <c r="E61" s="268"/>
      <c r="F61" s="267"/>
      <c r="G61" s="267"/>
      <c r="H61" s="267"/>
      <c r="I61" s="267"/>
      <c r="J61" s="279"/>
    </row>
    <row r="62" spans="1:10" ht="12.75">
      <c r="A62" s="280"/>
      <c r="B62" s="24"/>
      <c r="C62" s="268"/>
      <c r="D62" s="268"/>
      <c r="E62" s="268"/>
      <c r="F62" s="268"/>
      <c r="G62" s="268"/>
      <c r="H62" s="268"/>
      <c r="I62" s="268"/>
      <c r="J62" s="24"/>
    </row>
    <row r="63" spans="1:10" s="23" customFormat="1" ht="16.5" customHeight="1">
      <c r="A63" s="278"/>
      <c r="B63" s="279"/>
      <c r="C63" s="267"/>
      <c r="D63" s="267"/>
      <c r="E63" s="267"/>
      <c r="F63" s="267"/>
      <c r="G63" s="267"/>
      <c r="H63" s="267"/>
      <c r="I63" s="267"/>
      <c r="J63" s="279"/>
    </row>
    <row r="64" spans="1:10" ht="12.75">
      <c r="A64" s="280"/>
      <c r="B64" s="24"/>
      <c r="C64" s="268"/>
      <c r="D64" s="268"/>
      <c r="E64" s="268"/>
      <c r="F64" s="268"/>
      <c r="G64" s="268"/>
      <c r="H64" s="268"/>
      <c r="I64" s="268"/>
      <c r="J64" s="24"/>
    </row>
    <row r="65" spans="1:10" ht="12.75">
      <c r="A65" s="278"/>
      <c r="B65" s="279"/>
      <c r="C65" s="267"/>
      <c r="D65" s="268"/>
      <c r="E65" s="268"/>
      <c r="F65" s="268"/>
      <c r="G65" s="268"/>
      <c r="H65" s="268"/>
      <c r="I65" s="268"/>
      <c r="J65" s="24"/>
    </row>
    <row r="66" spans="1:10" ht="12.75">
      <c r="A66" s="280"/>
      <c r="B66" s="24"/>
      <c r="C66" s="268"/>
      <c r="D66" s="268"/>
      <c r="E66" s="268"/>
      <c r="F66" s="268"/>
      <c r="G66" s="268"/>
      <c r="H66" s="268"/>
      <c r="I66" s="268"/>
      <c r="J66" s="24"/>
    </row>
    <row r="67" spans="1:10" s="23" customFormat="1" ht="12.75" customHeight="1">
      <c r="A67" s="278"/>
      <c r="B67" s="279"/>
      <c r="C67" s="267"/>
      <c r="D67" s="268"/>
      <c r="E67" s="268"/>
      <c r="F67" s="267"/>
      <c r="G67" s="267"/>
      <c r="H67" s="267"/>
      <c r="I67" s="267"/>
      <c r="J67" s="279"/>
    </row>
    <row r="68" spans="1:10" ht="12.75">
      <c r="A68" s="280"/>
      <c r="B68" s="24"/>
      <c r="C68" s="268"/>
      <c r="D68" s="268"/>
      <c r="E68" s="268"/>
      <c r="F68" s="268"/>
      <c r="G68" s="268"/>
      <c r="H68" s="268"/>
      <c r="I68" s="268"/>
      <c r="J68" s="24"/>
    </row>
    <row r="69" spans="1:10" ht="12.75">
      <c r="A69" s="278"/>
      <c r="B69" s="279"/>
      <c r="C69" s="267"/>
      <c r="D69" s="267"/>
      <c r="E69" s="267"/>
      <c r="F69" s="268"/>
      <c r="G69" s="268"/>
      <c r="H69" s="268"/>
      <c r="I69" s="268"/>
      <c r="J69" s="24"/>
    </row>
    <row r="70" spans="1:10" ht="12.75">
      <c r="A70" s="280"/>
      <c r="B70" s="24"/>
      <c r="C70" s="268"/>
      <c r="D70" s="268"/>
      <c r="E70" s="268"/>
      <c r="F70" s="268"/>
      <c r="G70" s="268"/>
      <c r="H70" s="268"/>
      <c r="I70" s="268"/>
      <c r="J70" s="24"/>
    </row>
    <row r="71" spans="1:10" ht="11.25" customHeight="1">
      <c r="A71" s="280"/>
      <c r="B71" s="24"/>
      <c r="C71" s="268"/>
      <c r="D71" s="267"/>
      <c r="E71" s="267"/>
      <c r="F71" s="268"/>
      <c r="G71" s="268"/>
      <c r="H71" s="268"/>
      <c r="I71" s="268"/>
      <c r="J71" s="24"/>
    </row>
    <row r="72" spans="1:10" s="23" customFormat="1" ht="27.75" customHeight="1">
      <c r="A72" s="1365"/>
      <c r="B72" s="1365"/>
      <c r="C72" s="267"/>
      <c r="D72" s="268"/>
      <c r="E72" s="268"/>
      <c r="F72" s="267"/>
      <c r="G72" s="267"/>
      <c r="H72" s="267"/>
      <c r="I72" s="267"/>
      <c r="J72" s="279"/>
    </row>
    <row r="73" spans="1:10" s="23" customFormat="1" ht="12.75" customHeight="1">
      <c r="A73" s="278"/>
      <c r="B73" s="279"/>
      <c r="C73" s="267"/>
      <c r="D73" s="268"/>
      <c r="E73" s="268"/>
      <c r="F73" s="267"/>
      <c r="G73" s="267"/>
      <c r="H73" s="267"/>
      <c r="I73" s="267"/>
      <c r="J73" s="279"/>
    </row>
    <row r="74" spans="1:10" ht="12.75">
      <c r="A74" s="24"/>
      <c r="B74" s="24"/>
      <c r="C74" s="268"/>
      <c r="D74" s="267"/>
      <c r="E74" s="267"/>
      <c r="F74" s="268"/>
      <c r="G74" s="268"/>
      <c r="H74" s="268"/>
      <c r="I74" s="268"/>
      <c r="J74" s="24"/>
    </row>
    <row r="75" spans="1:10" ht="23.25" customHeight="1">
      <c r="A75" s="1365"/>
      <c r="B75" s="1365"/>
      <c r="C75" s="267"/>
      <c r="D75" s="268"/>
      <c r="E75" s="268"/>
      <c r="F75" s="43"/>
      <c r="G75" s="43"/>
      <c r="H75" s="43"/>
      <c r="I75" s="43"/>
      <c r="J75" s="22"/>
    </row>
    <row r="76" spans="1:10" ht="12.75" customHeight="1">
      <c r="A76" s="278"/>
      <c r="B76" s="279"/>
      <c r="C76" s="267"/>
      <c r="D76" s="268"/>
      <c r="E76" s="268"/>
      <c r="F76" s="43"/>
      <c r="G76" s="43"/>
      <c r="H76" s="43"/>
      <c r="I76" s="43"/>
      <c r="J76" s="22"/>
    </row>
    <row r="77" spans="1:10" ht="12.75" customHeight="1">
      <c r="A77" s="282"/>
      <c r="B77" s="24"/>
      <c r="C77" s="268"/>
      <c r="D77" s="268"/>
      <c r="E77" s="268"/>
      <c r="F77" s="43"/>
      <c r="G77" s="43"/>
      <c r="H77" s="43"/>
      <c r="I77" s="43"/>
      <c r="J77" s="22"/>
    </row>
    <row r="78" spans="1:10" ht="12.75" customHeight="1">
      <c r="A78" s="282"/>
      <c r="B78" s="24"/>
      <c r="C78" s="268"/>
      <c r="D78" s="268"/>
      <c r="E78" s="268"/>
      <c r="F78" s="43"/>
      <c r="G78" s="43"/>
      <c r="H78" s="43"/>
      <c r="I78" s="43"/>
      <c r="J78" s="22"/>
    </row>
    <row r="79" spans="1:10" ht="12.75" customHeight="1">
      <c r="A79" s="282"/>
      <c r="B79" s="24"/>
      <c r="C79" s="268"/>
      <c r="D79" s="268"/>
      <c r="E79" s="268"/>
      <c r="F79" s="43"/>
      <c r="G79" s="43"/>
      <c r="H79" s="43"/>
      <c r="I79" s="43"/>
      <c r="J79" s="22"/>
    </row>
    <row r="80" spans="1:10" ht="12.75">
      <c r="A80" s="24"/>
      <c r="B80" s="281"/>
      <c r="C80" s="268"/>
      <c r="D80" s="267"/>
      <c r="E80" s="267"/>
      <c r="F80" s="43"/>
      <c r="G80" s="43"/>
      <c r="H80" s="43"/>
      <c r="I80" s="43"/>
      <c r="J80" s="22"/>
    </row>
    <row r="81" spans="1:10" ht="12.75">
      <c r="A81" s="282"/>
      <c r="B81" s="24"/>
      <c r="C81" s="268"/>
      <c r="D81" s="267"/>
      <c r="E81" s="267"/>
      <c r="F81" s="43"/>
      <c r="G81" s="43"/>
      <c r="H81" s="43"/>
      <c r="I81" s="43"/>
      <c r="J81" s="22"/>
    </row>
    <row r="82" spans="1:10" ht="12.75">
      <c r="A82" s="282"/>
      <c r="B82" s="24"/>
      <c r="C82" s="268"/>
      <c r="D82" s="267"/>
      <c r="E82" s="267"/>
      <c r="F82" s="43"/>
      <c r="G82" s="43"/>
      <c r="H82" s="43"/>
      <c r="I82" s="43"/>
      <c r="J82" s="22"/>
    </row>
    <row r="83" spans="1:10" ht="12.75">
      <c r="A83" s="278"/>
      <c r="B83" s="279"/>
      <c r="C83" s="268"/>
      <c r="D83" s="267"/>
      <c r="E83" s="267"/>
      <c r="F83" s="43"/>
      <c r="G83" s="43"/>
      <c r="H83" s="43"/>
      <c r="I83" s="43"/>
      <c r="J83" s="22"/>
    </row>
    <row r="84" spans="1:10" ht="12.75">
      <c r="A84" s="282"/>
      <c r="B84" s="24"/>
      <c r="C84" s="268"/>
      <c r="D84" s="267"/>
      <c r="E84" s="267"/>
      <c r="F84" s="43"/>
      <c r="G84" s="43"/>
      <c r="H84" s="43"/>
      <c r="I84" s="43"/>
      <c r="J84" s="22"/>
    </row>
    <row r="85" spans="1:10" ht="12.75">
      <c r="A85" s="278"/>
      <c r="B85" s="279"/>
      <c r="C85" s="268"/>
      <c r="D85" s="267"/>
      <c r="E85" s="267"/>
      <c r="F85" s="43"/>
      <c r="G85" s="43"/>
      <c r="H85" s="43"/>
      <c r="I85" s="43"/>
      <c r="J85" s="22"/>
    </row>
    <row r="86" spans="1:10" ht="12.75">
      <c r="A86" s="24"/>
      <c r="B86" s="281"/>
      <c r="C86" s="268"/>
      <c r="D86" s="268"/>
      <c r="E86" s="268"/>
      <c r="F86" s="43"/>
      <c r="G86" s="43"/>
      <c r="H86" s="43"/>
      <c r="I86" s="43"/>
      <c r="J86" s="22"/>
    </row>
    <row r="87" spans="1:10" ht="12.75">
      <c r="A87" s="282"/>
      <c r="B87" s="24"/>
      <c r="C87" s="268"/>
      <c r="D87" s="268"/>
      <c r="E87" s="268"/>
      <c r="F87" s="43"/>
      <c r="G87" s="43"/>
      <c r="H87" s="43"/>
      <c r="I87" s="43"/>
      <c r="J87" s="22"/>
    </row>
    <row r="88" spans="1:10" ht="12.75">
      <c r="A88" s="278"/>
      <c r="B88" s="279"/>
      <c r="C88" s="267"/>
      <c r="D88" s="267"/>
      <c r="E88" s="267"/>
      <c r="F88" s="43"/>
      <c r="G88" s="43"/>
      <c r="H88" s="43"/>
      <c r="I88" s="43"/>
      <c r="J88" s="22"/>
    </row>
    <row r="89" spans="1:10" ht="12.75">
      <c r="A89" s="24"/>
      <c r="B89" s="24"/>
      <c r="C89" s="268"/>
      <c r="D89" s="268"/>
      <c r="E89" s="268"/>
      <c r="F89" s="43"/>
      <c r="G89" s="43"/>
      <c r="H89" s="43"/>
      <c r="I89" s="43"/>
      <c r="J89" s="22"/>
    </row>
    <row r="90" spans="1:10" ht="12.75">
      <c r="A90" s="24"/>
      <c r="B90" s="281"/>
      <c r="C90" s="268"/>
      <c r="D90" s="268"/>
      <c r="E90" s="268"/>
      <c r="F90" s="43"/>
      <c r="G90" s="43"/>
      <c r="H90" s="43"/>
      <c r="I90" s="43"/>
      <c r="J90" s="22"/>
    </row>
    <row r="91" spans="1:5" ht="12.75">
      <c r="A91" s="282"/>
      <c r="B91" s="24"/>
      <c r="C91" s="268"/>
      <c r="D91" s="268"/>
      <c r="E91" s="268"/>
    </row>
    <row r="92" spans="1:10" ht="25.5" customHeight="1">
      <c r="A92" s="1366"/>
      <c r="B92" s="1366"/>
      <c r="C92" s="267"/>
      <c r="D92" s="269"/>
      <c r="E92" s="268"/>
      <c r="J92" s="22"/>
    </row>
    <row r="93" spans="1:5" ht="12.75">
      <c r="A93" s="280"/>
      <c r="B93" s="24"/>
      <c r="C93" s="268"/>
      <c r="D93" s="268"/>
      <c r="E93" s="268"/>
    </row>
    <row r="94" spans="1:5" ht="12.75">
      <c r="A94" s="280"/>
      <c r="B94" s="24"/>
      <c r="C94" s="268"/>
      <c r="D94" s="268"/>
      <c r="E94" s="268"/>
    </row>
    <row r="95" spans="1:5" ht="12.75">
      <c r="A95" s="280"/>
      <c r="B95" s="24"/>
      <c r="C95" s="268"/>
      <c r="D95" s="268"/>
      <c r="E95" s="268"/>
    </row>
    <row r="96" spans="1:5" ht="12.75">
      <c r="A96" s="280"/>
      <c r="B96" s="24"/>
      <c r="C96" s="268"/>
      <c r="D96" s="268"/>
      <c r="E96" s="268"/>
    </row>
    <row r="97" spans="1:5" ht="12.75">
      <c r="A97" s="280"/>
      <c r="B97" s="24"/>
      <c r="C97" s="268"/>
      <c r="D97" s="268"/>
      <c r="E97" s="268"/>
    </row>
    <row r="98" spans="1:5" ht="12.75">
      <c r="A98" s="280"/>
      <c r="B98" s="24"/>
      <c r="C98" s="269"/>
      <c r="D98" s="268"/>
      <c r="E98" s="268"/>
    </row>
    <row r="99" spans="1:5" ht="12.75">
      <c r="A99" s="280"/>
      <c r="B99" s="24"/>
      <c r="C99" s="269"/>
      <c r="D99" s="268"/>
      <c r="E99" s="268"/>
    </row>
  </sheetData>
  <sheetProtection/>
  <mergeCells count="6">
    <mergeCell ref="A75:B75"/>
    <mergeCell ref="A92:B92"/>
    <mergeCell ref="A1:F1"/>
    <mergeCell ref="A4:B4"/>
    <mergeCell ref="A46:B46"/>
    <mergeCell ref="A72:B72"/>
  </mergeCells>
  <printOptions/>
  <pageMargins left="0.4724409448818898" right="0.31" top="0.15748031496062992" bottom="0.2755905511811024" header="0" footer="0.15748031496062992"/>
  <pageSetup horizontalDpi="600" verticalDpi="600" orientation="landscape" paperSize="10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1"/>
  <sheetViews>
    <sheetView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O6" sqref="O6"/>
    </sheetView>
  </sheetViews>
  <sheetFormatPr defaultColWidth="9.140625" defaultRowHeight="12.75"/>
  <cols>
    <col min="1" max="1" width="7.00390625" style="22" customWidth="1"/>
    <col min="2" max="3" width="7.57421875" style="22" customWidth="1"/>
    <col min="4" max="4" width="5.57421875" style="22" customWidth="1"/>
    <col min="5" max="5" width="14.7109375" style="907" customWidth="1"/>
    <col min="6" max="6" width="1.421875" style="22" hidden="1" customWidth="1"/>
    <col min="7" max="7" width="9.140625" style="22" customWidth="1"/>
    <col min="8" max="8" width="44.7109375" style="22" customWidth="1"/>
    <col min="9" max="9" width="33.140625" style="22" customWidth="1"/>
    <col min="10" max="10" width="4.421875" style="22" hidden="1" customWidth="1"/>
    <col min="11" max="11" width="16.28125" style="181" hidden="1" customWidth="1"/>
    <col min="12" max="12" width="16.140625" style="26" hidden="1" customWidth="1"/>
    <col min="13" max="15" width="15.8515625" style="26" customWidth="1"/>
    <col min="16" max="16" width="16.28125" style="22" hidden="1" customWidth="1"/>
    <col min="17" max="17" width="13.8515625" style="22" hidden="1" customWidth="1"/>
    <col min="18" max="18" width="20.421875" style="22" hidden="1" customWidth="1"/>
    <col min="19" max="19" width="20.421875" style="26" customWidth="1"/>
    <col min="20" max="31" width="9.140625" style="22" customWidth="1"/>
    <col min="32" max="16384" width="9.140625" style="22" customWidth="1"/>
  </cols>
  <sheetData>
    <row r="1" spans="1:11" ht="12.75">
      <c r="A1" s="25"/>
      <c r="B1" s="81" t="s">
        <v>135</v>
      </c>
      <c r="C1" s="25"/>
      <c r="D1" s="25"/>
      <c r="E1" s="891"/>
      <c r="F1" s="25"/>
      <c r="G1" s="407"/>
      <c r="H1" s="25"/>
      <c r="I1" s="25"/>
      <c r="J1" s="25"/>
      <c r="K1" s="392"/>
    </row>
    <row r="2" spans="1:15" ht="12.75">
      <c r="A2" s="25"/>
      <c r="B2" s="82" t="s">
        <v>136</v>
      </c>
      <c r="C2" s="25"/>
      <c r="D2" s="25"/>
      <c r="E2" s="891"/>
      <c r="F2" s="25"/>
      <c r="G2" s="407"/>
      <c r="H2" s="25"/>
      <c r="I2" s="25"/>
      <c r="J2" s="25"/>
      <c r="K2" s="392"/>
      <c r="M2" s="28"/>
      <c r="N2" s="28"/>
      <c r="O2" s="28"/>
    </row>
    <row r="3" spans="1:15" ht="12.75">
      <c r="A3" s="25"/>
      <c r="B3" s="82"/>
      <c r="C3" s="25"/>
      <c r="D3" s="25"/>
      <c r="E3" s="891"/>
      <c r="F3" s="25"/>
      <c r="G3" s="407"/>
      <c r="H3" s="25"/>
      <c r="I3" s="25"/>
      <c r="J3" s="25"/>
      <c r="K3" s="392"/>
      <c r="M3" s="28"/>
      <c r="N3" s="28"/>
      <c r="O3" s="28"/>
    </row>
    <row r="4" spans="1:15" ht="12.75">
      <c r="A4" s="25"/>
      <c r="B4" s="1420" t="s">
        <v>1544</v>
      </c>
      <c r="C4" s="1420"/>
      <c r="D4" s="1420"/>
      <c r="E4" s="1420"/>
      <c r="F4" s="1420"/>
      <c r="G4" s="1420"/>
      <c r="H4" s="1420"/>
      <c r="I4" s="1420"/>
      <c r="J4" s="1420"/>
      <c r="K4" s="1420"/>
      <c r="L4" s="1420"/>
      <c r="M4" s="1420"/>
      <c r="N4" s="738"/>
      <c r="O4" s="738"/>
    </row>
    <row r="5" spans="1:15" ht="15.75" thickBot="1">
      <c r="A5" s="25"/>
      <c r="B5" s="29"/>
      <c r="C5" s="29"/>
      <c r="D5" s="29"/>
      <c r="E5" s="892"/>
      <c r="F5" s="83"/>
      <c r="G5" s="29"/>
      <c r="H5" s="29"/>
      <c r="I5" s="29"/>
      <c r="J5" s="29"/>
      <c r="K5" s="393"/>
      <c r="M5" s="737"/>
      <c r="N5" s="737"/>
      <c r="O5" s="737"/>
    </row>
    <row r="6" spans="1:15" ht="63.75" thickBot="1">
      <c r="A6" s="84" t="s">
        <v>137</v>
      </c>
      <c r="B6" s="85" t="s">
        <v>138</v>
      </c>
      <c r="C6" s="85" t="s">
        <v>139</v>
      </c>
      <c r="D6" s="85" t="s">
        <v>140</v>
      </c>
      <c r="E6" s="893" t="s">
        <v>141</v>
      </c>
      <c r="F6" s="85" t="s">
        <v>142</v>
      </c>
      <c r="G6" s="1421" t="s">
        <v>143</v>
      </c>
      <c r="H6" s="1422"/>
      <c r="I6" s="1422"/>
      <c r="J6" s="1423"/>
      <c r="K6" s="86" t="s">
        <v>1341</v>
      </c>
      <c r="L6" s="86" t="s">
        <v>1341</v>
      </c>
      <c r="M6" s="86" t="s">
        <v>1342</v>
      </c>
      <c r="N6" s="86" t="s">
        <v>1363</v>
      </c>
      <c r="O6" s="86" t="s">
        <v>1545</v>
      </c>
    </row>
    <row r="7" spans="1:15" ht="12.75">
      <c r="A7" s="87" t="s">
        <v>16</v>
      </c>
      <c r="B7" s="30"/>
      <c r="C7" s="30"/>
      <c r="D7" s="30"/>
      <c r="E7" s="170"/>
      <c r="F7" s="30"/>
      <c r="G7" s="1424" t="s">
        <v>144</v>
      </c>
      <c r="H7" s="1425"/>
      <c r="I7" s="1425"/>
      <c r="J7" s="1426"/>
      <c r="K7" s="76">
        <f>K8+K101</f>
        <v>452948288</v>
      </c>
      <c r="L7" s="76">
        <f>L8+L101</f>
        <v>452948288</v>
      </c>
      <c r="M7" s="908">
        <f>M8+M101</f>
        <v>444656763</v>
      </c>
      <c r="N7" s="908">
        <f>N8+N101</f>
        <v>444656763</v>
      </c>
      <c r="O7" s="908">
        <f>O8+O101</f>
        <v>444656763</v>
      </c>
    </row>
    <row r="8" spans="1:19" s="32" customFormat="1" ht="12.75">
      <c r="A8" s="31"/>
      <c r="B8" s="88">
        <v>7</v>
      </c>
      <c r="C8" s="89"/>
      <c r="D8" s="89"/>
      <c r="E8" s="142"/>
      <c r="F8" s="90"/>
      <c r="G8" s="1374" t="s">
        <v>145</v>
      </c>
      <c r="H8" s="1375"/>
      <c r="I8" s="1375"/>
      <c r="J8" s="1419"/>
      <c r="K8" s="92">
        <f>K9+K22+K26+K38+K50+K54+K57+K74+K87+K91+K96</f>
        <v>452891288</v>
      </c>
      <c r="L8" s="92">
        <f>L9+L22+L26+L38+L50+L54+L57+L74+L87+L91+L96</f>
        <v>452891288</v>
      </c>
      <c r="M8" s="909">
        <f>M9+M22+M26+M38+M50+M54+M57+M74+M87+M91+M96</f>
        <v>444588763</v>
      </c>
      <c r="N8" s="909">
        <f>N9+N22+N26+N38+N50+N54+N57+N74+N87+N91+N96</f>
        <v>444588763</v>
      </c>
      <c r="O8" s="909">
        <f>O9+O22+O26+O38+O50+O54+O57+O74+O87+O91+O96</f>
        <v>444588763</v>
      </c>
      <c r="P8" s="534"/>
      <c r="Q8" s="353"/>
      <c r="S8" s="158"/>
    </row>
    <row r="9" spans="1:17" s="26" customFormat="1" ht="12.75">
      <c r="A9" s="165"/>
      <c r="B9" s="93"/>
      <c r="C9" s="93">
        <v>711</v>
      </c>
      <c r="D9" s="93"/>
      <c r="E9" s="894"/>
      <c r="F9" s="93"/>
      <c r="G9" s="93" t="s">
        <v>146</v>
      </c>
      <c r="H9" s="93"/>
      <c r="I9" s="93"/>
      <c r="J9" s="93"/>
      <c r="K9" s="390">
        <f>K10</f>
        <v>120550000</v>
      </c>
      <c r="L9" s="390">
        <f>L10</f>
        <v>120550000</v>
      </c>
      <c r="M9" s="910">
        <f>M10</f>
        <v>136943000</v>
      </c>
      <c r="N9" s="910">
        <f>N10</f>
        <v>136943000</v>
      </c>
      <c r="O9" s="910">
        <f>O10</f>
        <v>136943000</v>
      </c>
      <c r="P9" s="574"/>
      <c r="Q9" s="353"/>
    </row>
    <row r="10" spans="1:17" ht="12.75">
      <c r="A10" s="34"/>
      <c r="B10" s="98"/>
      <c r="C10" s="98"/>
      <c r="D10" s="99">
        <v>7111</v>
      </c>
      <c r="E10" s="895"/>
      <c r="F10" s="100"/>
      <c r="G10" s="1413" t="s">
        <v>147</v>
      </c>
      <c r="H10" s="1414"/>
      <c r="I10" s="1414"/>
      <c r="J10" s="1415"/>
      <c r="K10" s="104">
        <f>SUM(K11:K25)</f>
        <v>120550000</v>
      </c>
      <c r="L10" s="104">
        <f>SUM(L11:L25)</f>
        <v>120550000</v>
      </c>
      <c r="M10" s="911">
        <f>SUM(M11:M25)</f>
        <v>136943000</v>
      </c>
      <c r="N10" s="911">
        <f>SUM(N11:N25)</f>
        <v>136943000</v>
      </c>
      <c r="O10" s="911">
        <f>SUM(O11:O25)</f>
        <v>136943000</v>
      </c>
      <c r="P10" s="349"/>
      <c r="Q10" s="353"/>
    </row>
    <row r="11" spans="1:16" ht="12.75">
      <c r="A11" s="35"/>
      <c r="B11" s="105"/>
      <c r="C11" s="105"/>
      <c r="D11" s="105"/>
      <c r="E11" s="896">
        <v>711111</v>
      </c>
      <c r="F11" s="106"/>
      <c r="G11" s="1386" t="s">
        <v>148</v>
      </c>
      <c r="H11" s="1387"/>
      <c r="I11" s="65"/>
      <c r="J11" s="109"/>
      <c r="K11" s="394">
        <v>90000000</v>
      </c>
      <c r="L11" s="110">
        <v>90000000</v>
      </c>
      <c r="M11" s="912">
        <v>103000000</v>
      </c>
      <c r="N11" s="912">
        <v>103000000</v>
      </c>
      <c r="O11" s="912">
        <v>103000000</v>
      </c>
      <c r="P11" s="575"/>
    </row>
    <row r="12" spans="1:17" ht="12.75">
      <c r="A12" s="35"/>
      <c r="B12" s="105"/>
      <c r="C12" s="105"/>
      <c r="D12" s="105"/>
      <c r="E12" s="896">
        <v>711121</v>
      </c>
      <c r="F12" s="106"/>
      <c r="G12" s="1386" t="s">
        <v>1486</v>
      </c>
      <c r="H12" s="1387"/>
      <c r="I12" s="1387"/>
      <c r="J12" s="1388"/>
      <c r="K12" s="395">
        <v>100000</v>
      </c>
      <c r="L12" s="110">
        <v>100000</v>
      </c>
      <c r="M12" s="912">
        <v>100000</v>
      </c>
      <c r="N12" s="912">
        <v>100000</v>
      </c>
      <c r="O12" s="912">
        <v>100000</v>
      </c>
      <c r="Q12" s="1"/>
    </row>
    <row r="13" spans="1:17" ht="12.75">
      <c r="A13" s="35"/>
      <c r="B13" s="105"/>
      <c r="C13" s="105"/>
      <c r="D13" s="105"/>
      <c r="E13" s="897">
        <v>711122</v>
      </c>
      <c r="F13" s="106"/>
      <c r="G13" s="107" t="s">
        <v>1487</v>
      </c>
      <c r="H13" s="108"/>
      <c r="I13" s="108"/>
      <c r="J13" s="111"/>
      <c r="K13" s="395">
        <v>1000000</v>
      </c>
      <c r="L13" s="110">
        <v>1000000</v>
      </c>
      <c r="M13" s="912">
        <v>7500000</v>
      </c>
      <c r="N13" s="912">
        <v>7500000</v>
      </c>
      <c r="O13" s="912">
        <v>7500000</v>
      </c>
      <c r="Q13" s="1"/>
    </row>
    <row r="14" spans="1:17" ht="12.75">
      <c r="A14" s="35"/>
      <c r="B14" s="105"/>
      <c r="C14" s="105"/>
      <c r="D14" s="105"/>
      <c r="E14" s="897">
        <v>711123</v>
      </c>
      <c r="F14" s="106"/>
      <c r="G14" s="107" t="s">
        <v>1488</v>
      </c>
      <c r="H14" s="108"/>
      <c r="I14" s="108"/>
      <c r="J14" s="111"/>
      <c r="K14" s="395">
        <v>6500000</v>
      </c>
      <c r="L14" s="110">
        <v>6500000</v>
      </c>
      <c r="M14" s="912">
        <v>6500000</v>
      </c>
      <c r="N14" s="912">
        <v>6500000</v>
      </c>
      <c r="O14" s="912">
        <v>6500000</v>
      </c>
      <c r="Q14" s="1"/>
    </row>
    <row r="15" spans="1:15" ht="12.75">
      <c r="A15" s="35"/>
      <c r="B15" s="105"/>
      <c r="C15" s="105"/>
      <c r="D15" s="105"/>
      <c r="E15" s="897">
        <v>711145</v>
      </c>
      <c r="F15" s="106"/>
      <c r="G15" s="1386" t="s">
        <v>1489</v>
      </c>
      <c r="H15" s="1387"/>
      <c r="I15" s="1387"/>
      <c r="J15" s="109"/>
      <c r="K15" s="394">
        <v>450000</v>
      </c>
      <c r="L15" s="112">
        <v>450000</v>
      </c>
      <c r="M15" s="912">
        <v>450000</v>
      </c>
      <c r="N15" s="912">
        <v>450000</v>
      </c>
      <c r="O15" s="912">
        <v>450000</v>
      </c>
    </row>
    <row r="16" spans="1:17" ht="12.75" hidden="1">
      <c r="A16" s="35"/>
      <c r="B16" s="105"/>
      <c r="C16" s="105"/>
      <c r="D16" s="105"/>
      <c r="E16" s="897">
        <v>71116</v>
      </c>
      <c r="F16" s="106"/>
      <c r="G16" s="107" t="s">
        <v>208</v>
      </c>
      <c r="H16" s="108"/>
      <c r="I16" s="108"/>
      <c r="J16" s="109"/>
      <c r="K16" s="394">
        <v>0</v>
      </c>
      <c r="L16" s="112">
        <v>0</v>
      </c>
      <c r="M16" s="912">
        <v>0</v>
      </c>
      <c r="N16" s="912">
        <v>0</v>
      </c>
      <c r="O16" s="912">
        <v>0</v>
      </c>
      <c r="Q16" s="1"/>
    </row>
    <row r="17" spans="1:17" ht="12.75">
      <c r="A17" s="35"/>
      <c r="B17" s="105"/>
      <c r="C17" s="105"/>
      <c r="D17" s="105"/>
      <c r="E17" s="897">
        <v>711147</v>
      </c>
      <c r="F17" s="106"/>
      <c r="G17" s="107" t="s">
        <v>1490</v>
      </c>
      <c r="H17" s="108"/>
      <c r="I17" s="108"/>
      <c r="J17" s="109"/>
      <c r="K17" s="394">
        <v>500000</v>
      </c>
      <c r="L17" s="112">
        <v>500000</v>
      </c>
      <c r="M17" s="912">
        <v>500000</v>
      </c>
      <c r="N17" s="912">
        <v>500000</v>
      </c>
      <c r="O17" s="912">
        <v>500000</v>
      </c>
      <c r="Q17" s="1"/>
    </row>
    <row r="18" spans="1:15" ht="12.75">
      <c r="A18" s="35"/>
      <c r="B18" s="105"/>
      <c r="C18" s="105"/>
      <c r="D18" s="105"/>
      <c r="E18" s="897">
        <v>711181</v>
      </c>
      <c r="F18" s="106"/>
      <c r="G18" s="1386" t="s">
        <v>1491</v>
      </c>
      <c r="H18" s="1387"/>
      <c r="I18" s="65"/>
      <c r="J18" s="109"/>
      <c r="K18" s="394">
        <v>4500000</v>
      </c>
      <c r="L18" s="110">
        <v>4500000</v>
      </c>
      <c r="M18" s="912">
        <v>4500000</v>
      </c>
      <c r="N18" s="912">
        <v>4500000</v>
      </c>
      <c r="O18" s="912">
        <v>4500000</v>
      </c>
    </row>
    <row r="19" spans="1:15" ht="12.75">
      <c r="A19" s="35"/>
      <c r="B19" s="105"/>
      <c r="C19" s="105"/>
      <c r="D19" s="105"/>
      <c r="E19" s="897">
        <v>711183</v>
      </c>
      <c r="F19" s="106"/>
      <c r="G19" s="107" t="s">
        <v>1492</v>
      </c>
      <c r="H19" s="108"/>
      <c r="I19" s="65"/>
      <c r="J19" s="109"/>
      <c r="K19" s="394">
        <v>1000000</v>
      </c>
      <c r="L19" s="110">
        <v>1000000</v>
      </c>
      <c r="M19" s="912">
        <v>1000000</v>
      </c>
      <c r="N19" s="912">
        <v>1000000</v>
      </c>
      <c r="O19" s="912">
        <v>1000000</v>
      </c>
    </row>
    <row r="20" spans="1:15" ht="12.75">
      <c r="A20" s="35"/>
      <c r="B20" s="105"/>
      <c r="C20" s="105"/>
      <c r="D20" s="105"/>
      <c r="E20" s="897">
        <v>711184</v>
      </c>
      <c r="F20" s="106"/>
      <c r="G20" s="107" t="s">
        <v>1493</v>
      </c>
      <c r="H20" s="108"/>
      <c r="I20" s="65"/>
      <c r="J20" s="109"/>
      <c r="K20" s="394">
        <v>500000</v>
      </c>
      <c r="L20" s="110">
        <v>500000</v>
      </c>
      <c r="M20" s="912">
        <v>893000</v>
      </c>
      <c r="N20" s="912">
        <v>893000</v>
      </c>
      <c r="O20" s="912">
        <v>893000</v>
      </c>
    </row>
    <row r="21" spans="1:15" ht="12.75">
      <c r="A21" s="35"/>
      <c r="B21" s="105"/>
      <c r="C21" s="105"/>
      <c r="D21" s="105"/>
      <c r="E21" s="897">
        <v>711191</v>
      </c>
      <c r="F21" s="106"/>
      <c r="G21" s="1386" t="s">
        <v>1494</v>
      </c>
      <c r="H21" s="1387"/>
      <c r="I21" s="1387"/>
      <c r="J21" s="1388"/>
      <c r="K21" s="395">
        <v>15800000</v>
      </c>
      <c r="L21" s="110">
        <v>15800000</v>
      </c>
      <c r="M21" s="912">
        <v>11300000</v>
      </c>
      <c r="N21" s="912">
        <v>11300000</v>
      </c>
      <c r="O21" s="912">
        <v>11300000</v>
      </c>
    </row>
    <row r="22" spans="1:15" ht="12.75" hidden="1">
      <c r="A22" s="33"/>
      <c r="B22" s="93"/>
      <c r="C22" s="94">
        <v>712</v>
      </c>
      <c r="D22" s="93"/>
      <c r="E22" s="159"/>
      <c r="F22" s="95"/>
      <c r="G22" s="1410" t="s">
        <v>149</v>
      </c>
      <c r="H22" s="1411"/>
      <c r="I22" s="1411"/>
      <c r="J22" s="113"/>
      <c r="K22" s="114">
        <f aca="true" t="shared" si="0" ref="K22:O23">SUM(K23)</f>
        <v>0</v>
      </c>
      <c r="L22" s="114">
        <f t="shared" si="0"/>
        <v>0</v>
      </c>
      <c r="M22" s="913">
        <f t="shared" si="0"/>
        <v>0</v>
      </c>
      <c r="N22" s="913">
        <f t="shared" si="0"/>
        <v>0</v>
      </c>
      <c r="O22" s="913">
        <f t="shared" si="0"/>
        <v>0</v>
      </c>
    </row>
    <row r="23" spans="1:15" ht="12.75" hidden="1">
      <c r="A23" s="34"/>
      <c r="B23" s="98"/>
      <c r="C23" s="98"/>
      <c r="D23" s="99">
        <v>7121</v>
      </c>
      <c r="E23" s="898"/>
      <c r="F23" s="100"/>
      <c r="G23" s="101" t="s">
        <v>150</v>
      </c>
      <c r="H23" s="102"/>
      <c r="I23" s="115"/>
      <c r="J23" s="116"/>
      <c r="K23" s="118">
        <f t="shared" si="0"/>
        <v>0</v>
      </c>
      <c r="L23" s="118">
        <f t="shared" si="0"/>
        <v>0</v>
      </c>
      <c r="M23" s="914">
        <f t="shared" si="0"/>
        <v>0</v>
      </c>
      <c r="N23" s="914">
        <f t="shared" si="0"/>
        <v>0</v>
      </c>
      <c r="O23" s="914">
        <f t="shared" si="0"/>
        <v>0</v>
      </c>
    </row>
    <row r="24" spans="1:15" ht="12.75" hidden="1">
      <c r="A24" s="35"/>
      <c r="B24" s="105"/>
      <c r="C24" s="105"/>
      <c r="D24" s="105"/>
      <c r="E24" s="897">
        <v>71211</v>
      </c>
      <c r="F24" s="106"/>
      <c r="G24" s="1386" t="s">
        <v>150</v>
      </c>
      <c r="H24" s="1387"/>
      <c r="I24" s="65"/>
      <c r="J24" s="116"/>
      <c r="K24" s="396">
        <v>0</v>
      </c>
      <c r="L24" s="119">
        <v>0</v>
      </c>
      <c r="M24" s="915">
        <v>0</v>
      </c>
      <c r="N24" s="915">
        <v>0</v>
      </c>
      <c r="O24" s="915">
        <v>0</v>
      </c>
    </row>
    <row r="25" spans="1:15" ht="12.75">
      <c r="A25" s="35"/>
      <c r="B25" s="105"/>
      <c r="C25" s="105"/>
      <c r="D25" s="105"/>
      <c r="E25" s="897">
        <v>711193</v>
      </c>
      <c r="F25" s="106"/>
      <c r="G25" s="107" t="s">
        <v>1495</v>
      </c>
      <c r="H25" s="108"/>
      <c r="I25" s="65"/>
      <c r="J25" s="116"/>
      <c r="K25" s="396">
        <v>200000</v>
      </c>
      <c r="L25" s="119">
        <v>200000</v>
      </c>
      <c r="M25" s="915">
        <v>1200000</v>
      </c>
      <c r="N25" s="915">
        <v>1200000</v>
      </c>
      <c r="O25" s="915">
        <v>1200000</v>
      </c>
    </row>
    <row r="26" spans="1:19" ht="12.75">
      <c r="A26" s="33"/>
      <c r="B26" s="93"/>
      <c r="C26" s="94">
        <v>713</v>
      </c>
      <c r="D26" s="93"/>
      <c r="E26" s="894"/>
      <c r="F26" s="95"/>
      <c r="G26" s="1410" t="s">
        <v>151</v>
      </c>
      <c r="H26" s="1411"/>
      <c r="I26" s="120"/>
      <c r="J26" s="113"/>
      <c r="K26" s="97">
        <f>K27+K30+K32+K34</f>
        <v>74142472</v>
      </c>
      <c r="L26" s="97">
        <f>L27+L30+L32+L34</f>
        <v>74142472</v>
      </c>
      <c r="M26" s="916">
        <f>M27+M30+M32+M34</f>
        <v>49242472</v>
      </c>
      <c r="N26" s="916">
        <f>N27+N30+N32+N34</f>
        <v>49242472</v>
      </c>
      <c r="O26" s="916">
        <f>O27+O30+O32+O34</f>
        <v>49242472</v>
      </c>
      <c r="Q26" s="576" t="s">
        <v>1199</v>
      </c>
      <c r="R26" s="577">
        <f>M9+M22+M26+M38+M50</f>
        <v>201270472</v>
      </c>
      <c r="S26" s="275"/>
    </row>
    <row r="27" spans="1:19" ht="12.75">
      <c r="A27" s="34"/>
      <c r="B27" s="98"/>
      <c r="C27" s="98"/>
      <c r="D27" s="99">
        <v>7131</v>
      </c>
      <c r="E27" s="895"/>
      <c r="F27" s="100"/>
      <c r="G27" s="1413" t="s">
        <v>152</v>
      </c>
      <c r="H27" s="1414"/>
      <c r="I27" s="1414"/>
      <c r="J27" s="116"/>
      <c r="K27" s="121">
        <f>SUM(K28:K29)</f>
        <v>34500000</v>
      </c>
      <c r="L27" s="121">
        <f>SUM(L28:L29)</f>
        <v>34500000</v>
      </c>
      <c r="M27" s="917">
        <f>SUM(M28:M29)</f>
        <v>43420000</v>
      </c>
      <c r="N27" s="917">
        <f>SUM(N28:N29)</f>
        <v>43420000</v>
      </c>
      <c r="O27" s="917">
        <f>SUM(O28:O29)</f>
        <v>43420000</v>
      </c>
      <c r="R27" s="690">
        <v>0.00105</v>
      </c>
      <c r="S27" s="786"/>
    </row>
    <row r="28" spans="1:19" ht="12.75">
      <c r="A28" s="35"/>
      <c r="B28" s="105"/>
      <c r="C28" s="105"/>
      <c r="D28" s="105"/>
      <c r="E28" s="897">
        <v>713121</v>
      </c>
      <c r="F28" s="106"/>
      <c r="G28" s="107" t="s">
        <v>1496</v>
      </c>
      <c r="H28" s="108"/>
      <c r="I28" s="65"/>
      <c r="J28" s="109"/>
      <c r="K28" s="394">
        <v>20000000</v>
      </c>
      <c r="L28" s="122">
        <v>20000000</v>
      </c>
      <c r="M28" s="918">
        <v>18920000</v>
      </c>
      <c r="N28" s="918">
        <v>18920000</v>
      </c>
      <c r="O28" s="918">
        <v>18920000</v>
      </c>
      <c r="Q28" s="355" t="s">
        <v>1200</v>
      </c>
      <c r="R28" s="578">
        <f>R26*R27</f>
        <v>211333.9956</v>
      </c>
      <c r="S28" s="275"/>
    </row>
    <row r="29" spans="1:19" ht="12.75">
      <c r="A29" s="35"/>
      <c r="B29" s="105"/>
      <c r="C29" s="105"/>
      <c r="D29" s="105"/>
      <c r="E29" s="897">
        <v>713122</v>
      </c>
      <c r="F29" s="106"/>
      <c r="G29" s="107" t="s">
        <v>1497</v>
      </c>
      <c r="H29" s="108"/>
      <c r="I29" s="65"/>
      <c r="J29" s="109"/>
      <c r="K29" s="394">
        <v>14500000</v>
      </c>
      <c r="L29" s="122">
        <v>14500000</v>
      </c>
      <c r="M29" s="918">
        <v>24500000</v>
      </c>
      <c r="N29" s="918">
        <v>24500000</v>
      </c>
      <c r="O29" s="918">
        <v>24500000</v>
      </c>
      <c r="Q29" s="355"/>
      <c r="R29" s="578"/>
      <c r="S29" s="275"/>
    </row>
    <row r="30" spans="1:15" ht="12.75">
      <c r="A30" s="34"/>
      <c r="B30" s="98"/>
      <c r="C30" s="98"/>
      <c r="D30" s="99">
        <v>7133</v>
      </c>
      <c r="E30" s="895"/>
      <c r="F30" s="100"/>
      <c r="G30" s="1413" t="s">
        <v>153</v>
      </c>
      <c r="H30" s="1414"/>
      <c r="I30" s="1414"/>
      <c r="J30" s="116"/>
      <c r="K30" s="117">
        <f>K31</f>
        <v>920000</v>
      </c>
      <c r="L30" s="117">
        <f>L31</f>
        <v>920000</v>
      </c>
      <c r="M30" s="919">
        <f>M31</f>
        <v>1000000</v>
      </c>
      <c r="N30" s="919">
        <f>N31</f>
        <v>1000000</v>
      </c>
      <c r="O30" s="919">
        <f>O31</f>
        <v>1000000</v>
      </c>
    </row>
    <row r="31" spans="1:15" ht="12.75">
      <c r="A31" s="35"/>
      <c r="B31" s="105"/>
      <c r="C31" s="105"/>
      <c r="D31" s="105"/>
      <c r="E31" s="897">
        <v>713311</v>
      </c>
      <c r="F31" s="106"/>
      <c r="G31" s="107" t="s">
        <v>154</v>
      </c>
      <c r="H31" s="108"/>
      <c r="I31" s="65"/>
      <c r="J31" s="109"/>
      <c r="K31" s="394">
        <v>920000</v>
      </c>
      <c r="L31" s="122">
        <v>920000</v>
      </c>
      <c r="M31" s="918">
        <v>1000000</v>
      </c>
      <c r="N31" s="918">
        <v>1000000</v>
      </c>
      <c r="O31" s="918">
        <v>1000000</v>
      </c>
    </row>
    <row r="32" spans="1:19" ht="12.75">
      <c r="A32" s="34"/>
      <c r="B32" s="98"/>
      <c r="C32" s="98"/>
      <c r="D32" s="99">
        <v>7134</v>
      </c>
      <c r="E32" s="895"/>
      <c r="F32" s="100"/>
      <c r="G32" s="1413" t="s">
        <v>155</v>
      </c>
      <c r="H32" s="1414"/>
      <c r="I32" s="1414"/>
      <c r="J32" s="1415"/>
      <c r="K32" s="121">
        <f>SUM(K33:K37)</f>
        <v>38722472</v>
      </c>
      <c r="L32" s="121">
        <f>SUM(L33:L37)</f>
        <v>38722472</v>
      </c>
      <c r="M32" s="917">
        <f>SUM(M33:M37)</f>
        <v>4822472</v>
      </c>
      <c r="N32" s="917">
        <f>SUM(N33:N37)</f>
        <v>4822472</v>
      </c>
      <c r="O32" s="917">
        <f>SUM(O33:O37)</f>
        <v>4822472</v>
      </c>
      <c r="R32" s="27">
        <v>0.0007</v>
      </c>
      <c r="S32" s="787"/>
    </row>
    <row r="33" spans="1:19" ht="12.75">
      <c r="A33" s="35"/>
      <c r="B33" s="105"/>
      <c r="C33" s="105"/>
      <c r="D33" s="105"/>
      <c r="E33" s="897">
        <v>713421</v>
      </c>
      <c r="F33" s="106"/>
      <c r="G33" s="107" t="s">
        <v>1539</v>
      </c>
      <c r="H33" s="108"/>
      <c r="I33" s="65"/>
      <c r="J33" s="109"/>
      <c r="K33" s="394">
        <v>36900000</v>
      </c>
      <c r="L33" s="122">
        <v>36900000</v>
      </c>
      <c r="M33" s="918">
        <v>3000000</v>
      </c>
      <c r="N33" s="918">
        <v>3000000</v>
      </c>
      <c r="O33" s="918">
        <v>3000000</v>
      </c>
      <c r="Q33" s="355" t="s">
        <v>1201</v>
      </c>
      <c r="R33" s="578">
        <f>R26*R32</f>
        <v>140889.3304</v>
      </c>
      <c r="S33" s="275"/>
    </row>
    <row r="34" spans="1:15" ht="12.75" hidden="1">
      <c r="A34" s="34"/>
      <c r="B34" s="98"/>
      <c r="C34" s="98"/>
      <c r="D34" s="99">
        <v>7136</v>
      </c>
      <c r="E34" s="898"/>
      <c r="F34" s="100"/>
      <c r="G34" s="1392" t="s">
        <v>156</v>
      </c>
      <c r="H34" s="1393"/>
      <c r="I34" s="1393"/>
      <c r="J34" s="1394"/>
      <c r="K34" s="123">
        <f>SUM(K35)</f>
        <v>0</v>
      </c>
      <c r="L34" s="123">
        <f>SUM(L35)</f>
        <v>0</v>
      </c>
      <c r="M34" s="920">
        <f>SUM(M35)</f>
        <v>0</v>
      </c>
      <c r="N34" s="920">
        <f>SUM(N35)</f>
        <v>0</v>
      </c>
      <c r="O34" s="920">
        <f>SUM(O35)</f>
        <v>0</v>
      </c>
    </row>
    <row r="35" spans="1:15" ht="12.75" hidden="1">
      <c r="A35" s="35"/>
      <c r="B35" s="105"/>
      <c r="C35" s="105"/>
      <c r="D35" s="105"/>
      <c r="E35" s="897">
        <v>71361</v>
      </c>
      <c r="F35" s="106"/>
      <c r="G35" s="107" t="s">
        <v>156</v>
      </c>
      <c r="H35" s="108"/>
      <c r="I35" s="65"/>
      <c r="J35" s="109"/>
      <c r="K35" s="394">
        <v>0</v>
      </c>
      <c r="L35" s="124">
        <v>0</v>
      </c>
      <c r="M35" s="921">
        <v>0</v>
      </c>
      <c r="N35" s="921">
        <v>0</v>
      </c>
      <c r="O35" s="921">
        <v>0</v>
      </c>
    </row>
    <row r="36" spans="1:15" ht="12.75">
      <c r="A36" s="35"/>
      <c r="B36" s="105"/>
      <c r="C36" s="105"/>
      <c r="D36" s="105"/>
      <c r="E36" s="897">
        <v>713423</v>
      </c>
      <c r="F36" s="106"/>
      <c r="G36" s="107" t="s">
        <v>1540</v>
      </c>
      <c r="H36" s="108"/>
      <c r="I36" s="65"/>
      <c r="J36" s="109"/>
      <c r="K36" s="394">
        <v>1722472</v>
      </c>
      <c r="L36" s="124">
        <v>1722472</v>
      </c>
      <c r="M36" s="921">
        <v>1722472</v>
      </c>
      <c r="N36" s="921">
        <v>1722472</v>
      </c>
      <c r="O36" s="921">
        <v>1722472</v>
      </c>
    </row>
    <row r="37" spans="1:15" ht="12.75">
      <c r="A37" s="35"/>
      <c r="B37" s="105"/>
      <c r="C37" s="105"/>
      <c r="D37" s="105"/>
      <c r="E37" s="897">
        <v>713426</v>
      </c>
      <c r="F37" s="106"/>
      <c r="G37" s="107" t="s">
        <v>1498</v>
      </c>
      <c r="H37" s="108"/>
      <c r="I37" s="65"/>
      <c r="J37" s="109"/>
      <c r="K37" s="394">
        <v>100000</v>
      </c>
      <c r="L37" s="124">
        <v>100000</v>
      </c>
      <c r="M37" s="921">
        <v>100000</v>
      </c>
      <c r="N37" s="921">
        <v>100000</v>
      </c>
      <c r="O37" s="921">
        <v>100000</v>
      </c>
    </row>
    <row r="38" spans="1:15" ht="12.75">
      <c r="A38" s="33"/>
      <c r="B38" s="93"/>
      <c r="C38" s="94">
        <v>714</v>
      </c>
      <c r="D38" s="93"/>
      <c r="E38" s="894"/>
      <c r="F38" s="95"/>
      <c r="G38" s="1410" t="s">
        <v>157</v>
      </c>
      <c r="H38" s="1411"/>
      <c r="I38" s="1411"/>
      <c r="J38" s="113"/>
      <c r="K38" s="125">
        <f>K39+K42</f>
        <v>3810000</v>
      </c>
      <c r="L38" s="125">
        <f>L39+L42</f>
        <v>3810000</v>
      </c>
      <c r="M38" s="922">
        <f>M39+M42</f>
        <v>7160000</v>
      </c>
      <c r="N38" s="922">
        <f>N39+N42</f>
        <v>7160000</v>
      </c>
      <c r="O38" s="922">
        <f>O39+O42</f>
        <v>7160000</v>
      </c>
    </row>
    <row r="39" spans="1:19" ht="12.75">
      <c r="A39" s="34"/>
      <c r="B39" s="98"/>
      <c r="C39" s="98"/>
      <c r="D39" s="99">
        <v>7144</v>
      </c>
      <c r="E39" s="895"/>
      <c r="F39" s="100"/>
      <c r="G39" s="1413" t="s">
        <v>158</v>
      </c>
      <c r="H39" s="1414"/>
      <c r="I39" s="1414"/>
      <c r="J39" s="116"/>
      <c r="K39" s="126">
        <f>SUM(K40:K41)</f>
        <v>10000</v>
      </c>
      <c r="L39" s="126">
        <f>SUM(L40:L41)</f>
        <v>10000</v>
      </c>
      <c r="M39" s="923">
        <f>SUM(M40:M41)</f>
        <v>50000</v>
      </c>
      <c r="N39" s="923">
        <f>SUM(N40:N41)</f>
        <v>50000</v>
      </c>
      <c r="O39" s="923">
        <f>SUM(O40:O41)</f>
        <v>50000</v>
      </c>
      <c r="P39" s="1432" t="s">
        <v>1202</v>
      </c>
      <c r="Q39" s="1342"/>
      <c r="R39" s="578">
        <f>R28+R33</f>
        <v>352223.326</v>
      </c>
      <c r="S39" s="275"/>
    </row>
    <row r="40" spans="1:15" ht="12.75">
      <c r="A40" s="35"/>
      <c r="B40" s="105"/>
      <c r="C40" s="105"/>
      <c r="D40" s="105"/>
      <c r="E40" s="897">
        <v>714431</v>
      </c>
      <c r="F40" s="106"/>
      <c r="G40" s="1386" t="s">
        <v>159</v>
      </c>
      <c r="H40" s="1387"/>
      <c r="I40" s="1387"/>
      <c r="J40" s="1388"/>
      <c r="K40" s="395">
        <v>10000</v>
      </c>
      <c r="L40" s="127">
        <v>10000</v>
      </c>
      <c r="M40" s="924">
        <v>50000</v>
      </c>
      <c r="N40" s="924">
        <v>50000</v>
      </c>
      <c r="O40" s="924">
        <v>50000</v>
      </c>
    </row>
    <row r="41" spans="1:15" ht="12.75" hidden="1">
      <c r="A41" s="35"/>
      <c r="B41" s="105"/>
      <c r="C41" s="105"/>
      <c r="D41" s="105"/>
      <c r="E41" s="896">
        <v>71444</v>
      </c>
      <c r="F41" s="106"/>
      <c r="G41" s="1389" t="s">
        <v>160</v>
      </c>
      <c r="H41" s="1390"/>
      <c r="I41" s="1390"/>
      <c r="J41" s="1391"/>
      <c r="K41" s="395">
        <v>0</v>
      </c>
      <c r="L41" s="124">
        <v>0</v>
      </c>
      <c r="M41" s="924">
        <v>0</v>
      </c>
      <c r="N41" s="924">
        <v>0</v>
      </c>
      <c r="O41" s="924">
        <v>0</v>
      </c>
    </row>
    <row r="42" spans="1:15" ht="12.75">
      <c r="A42" s="34"/>
      <c r="B42" s="98"/>
      <c r="C42" s="98"/>
      <c r="D42" s="99">
        <v>7145</v>
      </c>
      <c r="E42" s="895"/>
      <c r="F42" s="100"/>
      <c r="G42" s="1413" t="s">
        <v>161</v>
      </c>
      <c r="H42" s="1414"/>
      <c r="I42" s="1414"/>
      <c r="J42" s="1415"/>
      <c r="K42" s="121">
        <f>SUM(K43:K48)</f>
        <v>3800000</v>
      </c>
      <c r="L42" s="121">
        <f>SUM(L43:L48)</f>
        <v>3800000</v>
      </c>
      <c r="M42" s="917">
        <f>SUM(M43:M49)</f>
        <v>7110000</v>
      </c>
      <c r="N42" s="917">
        <f>SUM(N43:N49)</f>
        <v>7110000</v>
      </c>
      <c r="O42" s="917">
        <f>SUM(O43:O49)</f>
        <v>7110000</v>
      </c>
    </row>
    <row r="43" spans="1:15" ht="12.75">
      <c r="A43" s="35"/>
      <c r="B43" s="105"/>
      <c r="C43" s="105"/>
      <c r="D43" s="105"/>
      <c r="E43" s="897">
        <v>714513</v>
      </c>
      <c r="F43" s="106"/>
      <c r="G43" s="1386" t="s">
        <v>1538</v>
      </c>
      <c r="H43" s="1387"/>
      <c r="I43" s="1416"/>
      <c r="J43" s="1417"/>
      <c r="K43" s="394">
        <v>3000000</v>
      </c>
      <c r="L43" s="122">
        <v>3000000</v>
      </c>
      <c r="M43" s="918">
        <v>5000000</v>
      </c>
      <c r="N43" s="918">
        <v>5000000</v>
      </c>
      <c r="O43" s="918">
        <v>5000000</v>
      </c>
    </row>
    <row r="44" spans="1:15" ht="12.75" hidden="1">
      <c r="A44" s="35"/>
      <c r="B44" s="105"/>
      <c r="C44" s="105"/>
      <c r="D44" s="105"/>
      <c r="E44" s="896">
        <v>71454</v>
      </c>
      <c r="F44" s="106"/>
      <c r="G44" s="1386" t="s">
        <v>162</v>
      </c>
      <c r="H44" s="1387"/>
      <c r="I44" s="1387"/>
      <c r="J44" s="1388"/>
      <c r="K44" s="395">
        <v>0</v>
      </c>
      <c r="L44" s="128">
        <v>0</v>
      </c>
      <c r="M44" s="925">
        <v>0</v>
      </c>
      <c r="N44" s="925">
        <v>0</v>
      </c>
      <c r="O44" s="925">
        <v>0</v>
      </c>
    </row>
    <row r="45" spans="1:15" ht="12.75">
      <c r="A45" s="35"/>
      <c r="B45" s="105"/>
      <c r="C45" s="105"/>
      <c r="D45" s="105"/>
      <c r="E45" s="896">
        <v>714543</v>
      </c>
      <c r="F45" s="106"/>
      <c r="G45" s="107" t="s">
        <v>1587</v>
      </c>
      <c r="H45" s="108"/>
      <c r="I45" s="108"/>
      <c r="J45" s="111"/>
      <c r="K45" s="395"/>
      <c r="L45" s="128"/>
      <c r="M45" s="925">
        <v>10000</v>
      </c>
      <c r="N45" s="925">
        <v>10000</v>
      </c>
      <c r="O45" s="925">
        <v>10000</v>
      </c>
    </row>
    <row r="46" spans="1:15" ht="12.75">
      <c r="A46" s="35"/>
      <c r="B46" s="105"/>
      <c r="C46" s="105"/>
      <c r="D46" s="105"/>
      <c r="E46" s="896">
        <v>714549</v>
      </c>
      <c r="F46" s="106"/>
      <c r="G46" s="107" t="s">
        <v>1588</v>
      </c>
      <c r="H46" s="108"/>
      <c r="I46" s="108"/>
      <c r="J46" s="111"/>
      <c r="K46" s="395"/>
      <c r="L46" s="128"/>
      <c r="M46" s="925">
        <v>300000</v>
      </c>
      <c r="N46" s="925">
        <v>300000</v>
      </c>
      <c r="O46" s="925">
        <v>300000</v>
      </c>
    </row>
    <row r="47" spans="1:15" ht="12.75">
      <c r="A47" s="35"/>
      <c r="B47" s="105"/>
      <c r="C47" s="105"/>
      <c r="D47" s="105"/>
      <c r="E47" s="897">
        <v>714552</v>
      </c>
      <c r="F47" s="106"/>
      <c r="G47" s="1371" t="s">
        <v>1499</v>
      </c>
      <c r="H47" s="1372"/>
      <c r="I47" s="1372"/>
      <c r="J47" s="1373"/>
      <c r="K47" s="395">
        <v>500000</v>
      </c>
      <c r="L47" s="122">
        <v>500000</v>
      </c>
      <c r="M47" s="918">
        <v>500000</v>
      </c>
      <c r="N47" s="918">
        <v>500000</v>
      </c>
      <c r="O47" s="918">
        <v>500000</v>
      </c>
    </row>
    <row r="48" spans="1:15" ht="12.75">
      <c r="A48" s="35"/>
      <c r="B48" s="105"/>
      <c r="C48" s="105"/>
      <c r="D48" s="105"/>
      <c r="E48" s="897">
        <v>714562</v>
      </c>
      <c r="F48" s="851"/>
      <c r="G48" s="1389" t="s">
        <v>1500</v>
      </c>
      <c r="H48" s="1390"/>
      <c r="I48" s="1390"/>
      <c r="J48" s="1391"/>
      <c r="K48" s="395">
        <v>300000</v>
      </c>
      <c r="L48" s="128">
        <v>300000</v>
      </c>
      <c r="M48" s="925">
        <v>1000000</v>
      </c>
      <c r="N48" s="925">
        <v>1000000</v>
      </c>
      <c r="O48" s="925">
        <v>1000000</v>
      </c>
    </row>
    <row r="49" spans="1:15" ht="12.75">
      <c r="A49" s="35"/>
      <c r="B49" s="105"/>
      <c r="C49" s="105"/>
      <c r="D49" s="105"/>
      <c r="E49" s="897">
        <v>714565</v>
      </c>
      <c r="F49" s="851"/>
      <c r="G49" s="388" t="s">
        <v>1589</v>
      </c>
      <c r="H49" s="270"/>
      <c r="I49" s="270"/>
      <c r="J49" s="389"/>
      <c r="K49" s="395"/>
      <c r="L49" s="128"/>
      <c r="M49" s="925">
        <v>300000</v>
      </c>
      <c r="N49" s="925">
        <v>300000</v>
      </c>
      <c r="O49" s="925">
        <v>300000</v>
      </c>
    </row>
    <row r="50" spans="1:15" ht="12.75">
      <c r="A50" s="33"/>
      <c r="B50" s="93"/>
      <c r="C50" s="94">
        <v>716</v>
      </c>
      <c r="D50" s="93"/>
      <c r="E50" s="894"/>
      <c r="F50" s="95"/>
      <c r="G50" s="1410" t="s">
        <v>163</v>
      </c>
      <c r="H50" s="1411"/>
      <c r="I50" s="120"/>
      <c r="J50" s="113"/>
      <c r="K50" s="125">
        <f>K51</f>
        <v>1500000</v>
      </c>
      <c r="L50" s="125">
        <f>L51</f>
        <v>1500000</v>
      </c>
      <c r="M50" s="922">
        <f>M51</f>
        <v>7925000</v>
      </c>
      <c r="N50" s="922">
        <f>N51</f>
        <v>7925000</v>
      </c>
      <c r="O50" s="922">
        <f>O51</f>
        <v>7925000</v>
      </c>
    </row>
    <row r="51" spans="1:15" ht="12.75">
      <c r="A51" s="34"/>
      <c r="B51" s="98"/>
      <c r="C51" s="98"/>
      <c r="D51" s="99">
        <v>7161</v>
      </c>
      <c r="E51" s="895"/>
      <c r="F51" s="100"/>
      <c r="G51" s="1392" t="s">
        <v>164</v>
      </c>
      <c r="H51" s="1393"/>
      <c r="I51" s="1393"/>
      <c r="J51" s="1394"/>
      <c r="K51" s="121">
        <f>SUM(K52:K53)</f>
        <v>1500000</v>
      </c>
      <c r="L51" s="121">
        <f>SUM(L52:L53)</f>
        <v>1500000</v>
      </c>
      <c r="M51" s="917">
        <f>SUM(M52:M53)</f>
        <v>7925000</v>
      </c>
      <c r="N51" s="917">
        <f>SUM(N52:N53)</f>
        <v>7925000</v>
      </c>
      <c r="O51" s="917">
        <f>SUM(O52:O53)</f>
        <v>7925000</v>
      </c>
    </row>
    <row r="52" spans="1:15" ht="12.75">
      <c r="A52" s="35"/>
      <c r="B52" s="105"/>
      <c r="C52" s="105"/>
      <c r="D52" s="105"/>
      <c r="E52" s="897">
        <v>716111</v>
      </c>
      <c r="F52" s="106"/>
      <c r="G52" s="1389" t="s">
        <v>1501</v>
      </c>
      <c r="H52" s="1390"/>
      <c r="I52" s="1390"/>
      <c r="J52" s="1391"/>
      <c r="K52" s="395">
        <v>1450000</v>
      </c>
      <c r="L52" s="122">
        <v>1450000</v>
      </c>
      <c r="M52" s="926">
        <v>6925000</v>
      </c>
      <c r="N52" s="926">
        <v>6925000</v>
      </c>
      <c r="O52" s="926">
        <v>6925000</v>
      </c>
    </row>
    <row r="53" spans="1:15" ht="26.25" customHeight="1">
      <c r="A53" s="35"/>
      <c r="B53" s="105"/>
      <c r="C53" s="105"/>
      <c r="D53" s="105"/>
      <c r="E53" s="897">
        <v>716112</v>
      </c>
      <c r="F53" s="106"/>
      <c r="G53" s="1418" t="s">
        <v>1537</v>
      </c>
      <c r="H53" s="1390"/>
      <c r="I53" s="1390"/>
      <c r="J53" s="1391"/>
      <c r="K53" s="395">
        <v>50000</v>
      </c>
      <c r="L53" s="122">
        <v>50000</v>
      </c>
      <c r="M53" s="926">
        <v>1000000</v>
      </c>
      <c r="N53" s="926">
        <v>1000000</v>
      </c>
      <c r="O53" s="926">
        <v>1000000</v>
      </c>
    </row>
    <row r="54" spans="1:15" ht="12.75">
      <c r="A54" s="33"/>
      <c r="B54" s="93"/>
      <c r="C54" s="94">
        <v>733</v>
      </c>
      <c r="D54" s="93"/>
      <c r="E54" s="894"/>
      <c r="F54" s="95"/>
      <c r="G54" s="96" t="s">
        <v>165</v>
      </c>
      <c r="H54" s="78"/>
      <c r="I54" s="120"/>
      <c r="J54" s="113"/>
      <c r="K54" s="97">
        <f>K55</f>
        <v>160771510</v>
      </c>
      <c r="L54" s="97">
        <f>L55</f>
        <v>160771510</v>
      </c>
      <c r="M54" s="916">
        <f>M55</f>
        <v>160771510</v>
      </c>
      <c r="N54" s="916">
        <f>N55</f>
        <v>160771510</v>
      </c>
      <c r="O54" s="916">
        <f>O55</f>
        <v>160771510</v>
      </c>
    </row>
    <row r="55" spans="1:15" ht="12.75">
      <c r="A55" s="34"/>
      <c r="B55" s="98"/>
      <c r="C55" s="98"/>
      <c r="D55" s="99">
        <v>7331</v>
      </c>
      <c r="E55" s="895"/>
      <c r="F55" s="100"/>
      <c r="G55" s="1392" t="s">
        <v>166</v>
      </c>
      <c r="H55" s="1393"/>
      <c r="I55" s="1393"/>
      <c r="J55" s="1394"/>
      <c r="K55" s="104">
        <f>SUM(K56:K56)</f>
        <v>160771510</v>
      </c>
      <c r="L55" s="104">
        <f>SUM(L56:L56)</f>
        <v>160771510</v>
      </c>
      <c r="M55" s="911">
        <f>SUM(M56:M56)</f>
        <v>160771510</v>
      </c>
      <c r="N55" s="911">
        <f>SUM(N56:N56)</f>
        <v>160771510</v>
      </c>
      <c r="O55" s="911">
        <f>SUM(O56:O56)</f>
        <v>160771510</v>
      </c>
    </row>
    <row r="56" spans="1:15" s="26" customFormat="1" ht="12.75">
      <c r="A56" s="36"/>
      <c r="B56" s="129"/>
      <c r="C56" s="129"/>
      <c r="D56" s="129"/>
      <c r="E56" s="899">
        <v>733158</v>
      </c>
      <c r="F56" s="130"/>
      <c r="G56" s="1386" t="s">
        <v>176</v>
      </c>
      <c r="H56" s="1387"/>
      <c r="I56" s="1387"/>
      <c r="J56" s="1388"/>
      <c r="K56" s="395">
        <v>160771510</v>
      </c>
      <c r="L56" s="112">
        <v>160771510</v>
      </c>
      <c r="M56" s="927">
        <v>160771510</v>
      </c>
      <c r="N56" s="927">
        <v>160771510</v>
      </c>
      <c r="O56" s="927">
        <v>160771510</v>
      </c>
    </row>
    <row r="57" spans="1:15" ht="12.75">
      <c r="A57" s="33"/>
      <c r="B57" s="93"/>
      <c r="C57" s="94">
        <v>741</v>
      </c>
      <c r="D57" s="93"/>
      <c r="E57" s="894"/>
      <c r="F57" s="95"/>
      <c r="G57" s="1410" t="s">
        <v>177</v>
      </c>
      <c r="H57" s="1411"/>
      <c r="I57" s="120"/>
      <c r="J57" s="113"/>
      <c r="K57" s="125">
        <f>K58+K65+K63</f>
        <v>49825806</v>
      </c>
      <c r="L57" s="125">
        <f>L58+L65+L63</f>
        <v>49825806</v>
      </c>
      <c r="M57" s="922">
        <f>M58+M65+M63</f>
        <v>36900000</v>
      </c>
      <c r="N57" s="922">
        <f>N58+N65+N63</f>
        <v>36900000</v>
      </c>
      <c r="O57" s="922">
        <f>O58+O65+O63</f>
        <v>36900000</v>
      </c>
    </row>
    <row r="58" spans="1:17" ht="12.75">
      <c r="A58" s="34"/>
      <c r="B58" s="98"/>
      <c r="C58" s="98"/>
      <c r="D58" s="99">
        <v>7411</v>
      </c>
      <c r="E58" s="895"/>
      <c r="F58" s="100"/>
      <c r="G58" s="101" t="s">
        <v>178</v>
      </c>
      <c r="H58" s="102"/>
      <c r="I58" s="115"/>
      <c r="J58" s="116"/>
      <c r="K58" s="118">
        <f>K59</f>
        <v>5806751</v>
      </c>
      <c r="L58" s="118">
        <f>L59</f>
        <v>5806751</v>
      </c>
      <c r="M58" s="914">
        <f>M59</f>
        <v>3300000</v>
      </c>
      <c r="N58" s="914">
        <f>N59</f>
        <v>3300000</v>
      </c>
      <c r="O58" s="914">
        <f>O59</f>
        <v>3300000</v>
      </c>
      <c r="Q58" s="533"/>
    </row>
    <row r="59" spans="1:15" ht="12.75">
      <c r="A59" s="35"/>
      <c r="B59" s="105"/>
      <c r="C59" s="105"/>
      <c r="D59" s="105"/>
      <c r="E59" s="896">
        <v>741151</v>
      </c>
      <c r="F59" s="106"/>
      <c r="G59" s="1389" t="s">
        <v>1506</v>
      </c>
      <c r="H59" s="1390"/>
      <c r="I59" s="1390"/>
      <c r="J59" s="1391"/>
      <c r="K59" s="395">
        <v>5806751</v>
      </c>
      <c r="L59" s="132">
        <v>5806751</v>
      </c>
      <c r="M59" s="928">
        <v>3300000</v>
      </c>
      <c r="N59" s="928">
        <v>3300000</v>
      </c>
      <c r="O59" s="928">
        <v>3300000</v>
      </c>
    </row>
    <row r="60" spans="1:15" ht="12.75" hidden="1">
      <c r="A60" s="35"/>
      <c r="B60" s="105"/>
      <c r="C60" s="105"/>
      <c r="D60" s="135">
        <v>7414</v>
      </c>
      <c r="E60" s="896"/>
      <c r="F60" s="106"/>
      <c r="G60" s="387" t="s">
        <v>1182</v>
      </c>
      <c r="H60" s="270"/>
      <c r="I60" s="270"/>
      <c r="J60" s="389"/>
      <c r="K60" s="401">
        <f>K61</f>
        <v>0</v>
      </c>
      <c r="L60" s="401">
        <f>L61</f>
        <v>0</v>
      </c>
      <c r="M60" s="929">
        <f>M61</f>
        <v>0</v>
      </c>
      <c r="N60" s="929">
        <f>N61</f>
        <v>0</v>
      </c>
      <c r="O60" s="929">
        <f>O61</f>
        <v>0</v>
      </c>
    </row>
    <row r="61" spans="1:15" ht="12.75" hidden="1">
      <c r="A61" s="35"/>
      <c r="B61" s="105"/>
      <c r="C61" s="105"/>
      <c r="D61" s="105"/>
      <c r="E61" s="896">
        <v>74141</v>
      </c>
      <c r="F61" s="106"/>
      <c r="G61" s="388" t="s">
        <v>1182</v>
      </c>
      <c r="H61" s="270"/>
      <c r="I61" s="270"/>
      <c r="J61" s="389"/>
      <c r="K61" s="132">
        <v>0</v>
      </c>
      <c r="L61" s="132">
        <v>0</v>
      </c>
      <c r="M61" s="928">
        <v>0</v>
      </c>
      <c r="N61" s="928">
        <v>0</v>
      </c>
      <c r="O61" s="928">
        <v>0</v>
      </c>
    </row>
    <row r="62" spans="1:15" ht="12.75" hidden="1">
      <c r="A62" s="35"/>
      <c r="B62" s="105"/>
      <c r="C62" s="105"/>
      <c r="D62" s="105"/>
      <c r="E62" s="896"/>
      <c r="F62" s="106">
        <v>741414</v>
      </c>
      <c r="G62" s="388" t="s">
        <v>1181</v>
      </c>
      <c r="H62" s="270"/>
      <c r="I62" s="270"/>
      <c r="J62" s="389"/>
      <c r="K62" s="404">
        <v>0</v>
      </c>
      <c r="L62" s="405">
        <v>0</v>
      </c>
      <c r="M62" s="930">
        <v>0</v>
      </c>
      <c r="N62" s="930">
        <v>0</v>
      </c>
      <c r="O62" s="930">
        <v>0</v>
      </c>
    </row>
    <row r="63" spans="1:19" s="734" customFormat="1" ht="12.75">
      <c r="A63" s="34"/>
      <c r="B63" s="98"/>
      <c r="C63" s="98"/>
      <c r="D63" s="99">
        <v>7414</v>
      </c>
      <c r="E63" s="900"/>
      <c r="F63" s="100"/>
      <c r="G63" s="387" t="s">
        <v>1375</v>
      </c>
      <c r="H63" s="751"/>
      <c r="I63" s="751"/>
      <c r="J63" s="849"/>
      <c r="K63" s="784">
        <f>K64</f>
        <v>1100000</v>
      </c>
      <c r="L63" s="853">
        <f>L64</f>
        <v>1100000</v>
      </c>
      <c r="M63" s="931">
        <f>M64</f>
        <v>100000</v>
      </c>
      <c r="N63" s="931">
        <f>N64</f>
        <v>100000</v>
      </c>
      <c r="O63" s="931">
        <f>O64</f>
        <v>100000</v>
      </c>
      <c r="S63" s="788"/>
    </row>
    <row r="64" spans="1:15" ht="12.75">
      <c r="A64" s="35"/>
      <c r="B64" s="105"/>
      <c r="C64" s="105"/>
      <c r="D64" s="105"/>
      <c r="E64" s="896">
        <v>741414</v>
      </c>
      <c r="F64" s="106"/>
      <c r="G64" s="388" t="s">
        <v>1374</v>
      </c>
      <c r="H64" s="270"/>
      <c r="I64" s="270"/>
      <c r="J64" s="389"/>
      <c r="K64" s="404">
        <v>1100000</v>
      </c>
      <c r="L64" s="405">
        <v>1100000</v>
      </c>
      <c r="M64" s="930">
        <v>100000</v>
      </c>
      <c r="N64" s="930">
        <v>100000</v>
      </c>
      <c r="O64" s="930">
        <v>100000</v>
      </c>
    </row>
    <row r="65" spans="1:15" ht="12.75">
      <c r="A65" s="34"/>
      <c r="B65" s="98"/>
      <c r="C65" s="98"/>
      <c r="D65" s="99">
        <v>7415</v>
      </c>
      <c r="E65" s="895"/>
      <c r="F65" s="100"/>
      <c r="G65" s="1413" t="s">
        <v>179</v>
      </c>
      <c r="H65" s="1414"/>
      <c r="I65" s="1414"/>
      <c r="J65" s="116"/>
      <c r="K65" s="121">
        <f>SUM(K66:K72)</f>
        <v>42919055</v>
      </c>
      <c r="L65" s="121">
        <f>SUM(L66:L72)</f>
        <v>42919055</v>
      </c>
      <c r="M65" s="917">
        <f>SUM(M66:M73)</f>
        <v>33500000</v>
      </c>
      <c r="N65" s="917">
        <f>SUM(N66:N73)</f>
        <v>33500000</v>
      </c>
      <c r="O65" s="917">
        <f>SUM(O66:O73)</f>
        <v>33500000</v>
      </c>
    </row>
    <row r="66" spans="1:17" ht="12.75">
      <c r="A66" s="35"/>
      <c r="B66" s="105"/>
      <c r="C66" s="105"/>
      <c r="D66" s="133"/>
      <c r="E66" s="901">
        <v>741516</v>
      </c>
      <c r="F66" s="106"/>
      <c r="G66" s="1386" t="s">
        <v>180</v>
      </c>
      <c r="H66" s="1387"/>
      <c r="I66" s="1387"/>
      <c r="J66" s="1388"/>
      <c r="K66" s="395">
        <v>300000</v>
      </c>
      <c r="L66" s="128">
        <v>300000</v>
      </c>
      <c r="M66" s="918">
        <v>1000000</v>
      </c>
      <c r="N66" s="918">
        <v>1000000</v>
      </c>
      <c r="O66" s="918">
        <v>1000000</v>
      </c>
      <c r="Q66" s="271"/>
    </row>
    <row r="67" spans="1:17" ht="12.75">
      <c r="A67" s="35"/>
      <c r="B67" s="105"/>
      <c r="C67" s="105"/>
      <c r="D67" s="133"/>
      <c r="E67" s="901">
        <v>741522</v>
      </c>
      <c r="F67" s="106"/>
      <c r="G67" s="1386" t="s">
        <v>1507</v>
      </c>
      <c r="H67" s="1387"/>
      <c r="I67" s="1387"/>
      <c r="J67" s="1388"/>
      <c r="K67" s="395">
        <v>32000000</v>
      </c>
      <c r="L67" s="122">
        <v>32000000</v>
      </c>
      <c r="M67" s="918">
        <v>28000000</v>
      </c>
      <c r="N67" s="918">
        <v>28000000</v>
      </c>
      <c r="O67" s="918">
        <v>28000000</v>
      </c>
      <c r="Q67" s="271"/>
    </row>
    <row r="68" spans="1:17" ht="12.75">
      <c r="A68" s="35"/>
      <c r="B68" s="105"/>
      <c r="C68" s="105"/>
      <c r="D68" s="133"/>
      <c r="E68" s="170">
        <v>741526</v>
      </c>
      <c r="F68" s="106"/>
      <c r="G68" s="107" t="s">
        <v>1508</v>
      </c>
      <c r="H68" s="108"/>
      <c r="I68" s="108"/>
      <c r="J68" s="111"/>
      <c r="K68" s="395">
        <v>5619055</v>
      </c>
      <c r="L68" s="122">
        <v>5619055</v>
      </c>
      <c r="M68" s="918">
        <v>1000000</v>
      </c>
      <c r="N68" s="918">
        <v>1000000</v>
      </c>
      <c r="O68" s="918">
        <v>1000000</v>
      </c>
      <c r="Q68" s="271"/>
    </row>
    <row r="69" spans="1:15" ht="12.75">
      <c r="A69" s="35"/>
      <c r="B69" s="105"/>
      <c r="C69" s="105"/>
      <c r="D69" s="105"/>
      <c r="E69" s="896">
        <v>741531</v>
      </c>
      <c r="F69" s="106"/>
      <c r="G69" s="1386" t="s">
        <v>181</v>
      </c>
      <c r="H69" s="1387"/>
      <c r="I69" s="1387"/>
      <c r="J69" s="1388"/>
      <c r="K69" s="395">
        <v>2000000</v>
      </c>
      <c r="L69" s="122">
        <v>2000000</v>
      </c>
      <c r="M69" s="918">
        <v>1000000</v>
      </c>
      <c r="N69" s="918">
        <v>1000000</v>
      </c>
      <c r="O69" s="918">
        <v>1000000</v>
      </c>
    </row>
    <row r="70" spans="1:15" ht="12.75" hidden="1">
      <c r="A70" s="35"/>
      <c r="B70" s="105"/>
      <c r="C70" s="105"/>
      <c r="D70" s="105"/>
      <c r="E70" s="896">
        <v>74155</v>
      </c>
      <c r="F70" s="106"/>
      <c r="G70" s="1386" t="s">
        <v>162</v>
      </c>
      <c r="H70" s="1387"/>
      <c r="I70" s="1387"/>
      <c r="J70" s="1388"/>
      <c r="K70" s="395">
        <v>0</v>
      </c>
      <c r="L70" s="128">
        <v>0</v>
      </c>
      <c r="M70" s="925">
        <v>0</v>
      </c>
      <c r="N70" s="925">
        <v>0</v>
      </c>
      <c r="O70" s="925">
        <v>0</v>
      </c>
    </row>
    <row r="71" spans="1:15" ht="12.75">
      <c r="A71" s="35"/>
      <c r="B71" s="105"/>
      <c r="C71" s="105"/>
      <c r="D71" s="105"/>
      <c r="E71" s="897">
        <v>741534</v>
      </c>
      <c r="F71" s="106"/>
      <c r="G71" s="107" t="s">
        <v>1509</v>
      </c>
      <c r="H71" s="108"/>
      <c r="I71" s="108"/>
      <c r="J71" s="111"/>
      <c r="K71" s="395">
        <v>1500000</v>
      </c>
      <c r="L71" s="128">
        <v>1500000</v>
      </c>
      <c r="M71" s="925">
        <v>1000000</v>
      </c>
      <c r="N71" s="925">
        <v>1000000</v>
      </c>
      <c r="O71" s="925">
        <v>1000000</v>
      </c>
    </row>
    <row r="72" spans="1:15" ht="12.75">
      <c r="A72" s="35"/>
      <c r="B72" s="105"/>
      <c r="C72" s="105"/>
      <c r="D72" s="105"/>
      <c r="E72" s="897">
        <v>741538</v>
      </c>
      <c r="F72" s="106"/>
      <c r="G72" s="107" t="s">
        <v>1510</v>
      </c>
      <c r="H72" s="108"/>
      <c r="I72" s="108"/>
      <c r="J72" s="111"/>
      <c r="K72" s="395">
        <v>1500000</v>
      </c>
      <c r="L72" s="128">
        <v>1500000</v>
      </c>
      <c r="M72" s="925">
        <v>1000000</v>
      </c>
      <c r="N72" s="925">
        <v>1000000</v>
      </c>
      <c r="O72" s="925">
        <v>1000000</v>
      </c>
    </row>
    <row r="73" spans="1:15" ht="12.75">
      <c r="A73" s="35"/>
      <c r="B73" s="105"/>
      <c r="C73" s="105"/>
      <c r="D73" s="105"/>
      <c r="E73" s="897">
        <v>741596</v>
      </c>
      <c r="F73" s="106"/>
      <c r="G73" s="107" t="s">
        <v>1531</v>
      </c>
      <c r="H73" s="108"/>
      <c r="I73" s="108"/>
      <c r="J73" s="111"/>
      <c r="K73" s="395"/>
      <c r="L73" s="128"/>
      <c r="M73" s="925">
        <v>500000</v>
      </c>
      <c r="N73" s="925">
        <v>500000</v>
      </c>
      <c r="O73" s="925">
        <v>500000</v>
      </c>
    </row>
    <row r="74" spans="1:15" ht="12.75">
      <c r="A74" s="33"/>
      <c r="B74" s="93"/>
      <c r="C74" s="94">
        <v>742</v>
      </c>
      <c r="D74" s="93"/>
      <c r="E74" s="894"/>
      <c r="F74" s="95"/>
      <c r="G74" s="1410" t="s">
        <v>182</v>
      </c>
      <c r="H74" s="1411"/>
      <c r="I74" s="1411"/>
      <c r="J74" s="1412"/>
      <c r="K74" s="114">
        <f>K75+K82</f>
        <v>13910000</v>
      </c>
      <c r="L74" s="114">
        <f>L75+L82</f>
        <v>13910000</v>
      </c>
      <c r="M74" s="913">
        <f>M75+M82</f>
        <v>21092370</v>
      </c>
      <c r="N74" s="913">
        <f>N75+N82</f>
        <v>21092370</v>
      </c>
      <c r="O74" s="913">
        <f>O75+O82</f>
        <v>21092370</v>
      </c>
    </row>
    <row r="75" spans="1:19" s="734" customFormat="1" ht="12.75">
      <c r="A75" s="34"/>
      <c r="B75" s="98"/>
      <c r="C75" s="98"/>
      <c r="D75" s="99">
        <v>7421</v>
      </c>
      <c r="E75" s="895"/>
      <c r="F75" s="100"/>
      <c r="G75" s="101" t="s">
        <v>1333</v>
      </c>
      <c r="H75" s="102"/>
      <c r="I75" s="102"/>
      <c r="J75" s="103"/>
      <c r="K75" s="732">
        <f>SUM(K76:K81)</f>
        <v>10360000</v>
      </c>
      <c r="L75" s="733">
        <f>SUM(L76:L81)</f>
        <v>10360000</v>
      </c>
      <c r="M75" s="932">
        <f>SUM(M76:M81)</f>
        <v>14233055</v>
      </c>
      <c r="N75" s="932">
        <f>SUM(N76:N81)</f>
        <v>14233055</v>
      </c>
      <c r="O75" s="932">
        <f>SUM(O76:O81)</f>
        <v>14233055</v>
      </c>
      <c r="S75" s="788"/>
    </row>
    <row r="76" spans="1:15" ht="12.75">
      <c r="A76" s="35"/>
      <c r="B76" s="105"/>
      <c r="C76" s="105"/>
      <c r="D76" s="99"/>
      <c r="E76" s="902">
        <v>742126</v>
      </c>
      <c r="F76" s="106"/>
      <c r="G76" s="1389" t="s">
        <v>1376</v>
      </c>
      <c r="H76" s="1390"/>
      <c r="I76" s="1390"/>
      <c r="J76" s="1391"/>
      <c r="K76" s="395">
        <v>960000</v>
      </c>
      <c r="L76" s="124">
        <v>960000</v>
      </c>
      <c r="M76" s="933">
        <v>500000</v>
      </c>
      <c r="N76" s="933">
        <v>500000</v>
      </c>
      <c r="O76" s="933">
        <v>500000</v>
      </c>
    </row>
    <row r="77" spans="1:15" ht="12.75">
      <c r="A77" s="35"/>
      <c r="B77" s="105"/>
      <c r="C77" s="105"/>
      <c r="D77" s="105"/>
      <c r="E77" s="896">
        <v>742151</v>
      </c>
      <c r="F77" s="106"/>
      <c r="G77" s="1389" t="s">
        <v>1522</v>
      </c>
      <c r="H77" s="1390"/>
      <c r="I77" s="1390"/>
      <c r="J77" s="1391"/>
      <c r="K77" s="395">
        <v>2000000</v>
      </c>
      <c r="L77" s="124">
        <v>2000000</v>
      </c>
      <c r="M77" s="933">
        <v>1000000</v>
      </c>
      <c r="N77" s="933">
        <v>1000000</v>
      </c>
      <c r="O77" s="933">
        <v>1000000</v>
      </c>
    </row>
    <row r="78" spans="1:15" ht="12.75">
      <c r="A78" s="35"/>
      <c r="B78" s="105"/>
      <c r="C78" s="105"/>
      <c r="D78" s="105"/>
      <c r="E78" s="897">
        <v>742152</v>
      </c>
      <c r="F78" s="106"/>
      <c r="G78" s="388" t="s">
        <v>1511</v>
      </c>
      <c r="H78" s="270"/>
      <c r="I78" s="270"/>
      <c r="J78" s="389"/>
      <c r="K78" s="395">
        <v>1000000</v>
      </c>
      <c r="L78" s="124">
        <v>1000000</v>
      </c>
      <c r="M78" s="933">
        <v>1000000</v>
      </c>
      <c r="N78" s="933">
        <v>1000000</v>
      </c>
      <c r="O78" s="933">
        <v>1000000</v>
      </c>
    </row>
    <row r="79" spans="1:15" ht="12.75">
      <c r="A79" s="35"/>
      <c r="B79" s="105"/>
      <c r="C79" s="105"/>
      <c r="D79" s="105"/>
      <c r="E79" s="897">
        <v>742154</v>
      </c>
      <c r="F79" s="106"/>
      <c r="G79" s="388" t="s">
        <v>1512</v>
      </c>
      <c r="H79" s="270"/>
      <c r="I79" s="270"/>
      <c r="J79" s="389"/>
      <c r="K79" s="395">
        <v>1400000</v>
      </c>
      <c r="L79" s="124">
        <v>1400000</v>
      </c>
      <c r="M79" s="933">
        <v>233055</v>
      </c>
      <c r="N79" s="933">
        <v>233055</v>
      </c>
      <c r="O79" s="933">
        <v>233055</v>
      </c>
    </row>
    <row r="80" spans="1:15" ht="12.75">
      <c r="A80" s="35"/>
      <c r="B80" s="105"/>
      <c r="C80" s="105"/>
      <c r="D80" s="105"/>
      <c r="E80" s="897">
        <v>742155</v>
      </c>
      <c r="F80" s="106"/>
      <c r="G80" s="388" t="s">
        <v>1530</v>
      </c>
      <c r="H80" s="270"/>
      <c r="I80" s="270"/>
      <c r="J80" s="389"/>
      <c r="K80" s="395"/>
      <c r="L80" s="124"/>
      <c r="M80" s="933">
        <v>3500000</v>
      </c>
      <c r="N80" s="933">
        <v>3500000</v>
      </c>
      <c r="O80" s="933">
        <v>3500000</v>
      </c>
    </row>
    <row r="81" spans="1:15" ht="12.75">
      <c r="A81" s="35"/>
      <c r="B81" s="105"/>
      <c r="C81" s="105"/>
      <c r="D81" s="105"/>
      <c r="E81" s="897">
        <v>742156</v>
      </c>
      <c r="F81" s="106"/>
      <c r="G81" s="388" t="s">
        <v>1513</v>
      </c>
      <c r="H81" s="270"/>
      <c r="I81" s="270"/>
      <c r="J81" s="389"/>
      <c r="K81" s="395">
        <v>5000000</v>
      </c>
      <c r="L81" s="124">
        <v>5000000</v>
      </c>
      <c r="M81" s="933">
        <v>8000000</v>
      </c>
      <c r="N81" s="933">
        <v>8000000</v>
      </c>
      <c r="O81" s="933">
        <v>8000000</v>
      </c>
    </row>
    <row r="82" spans="1:15" ht="12.75">
      <c r="A82" s="34"/>
      <c r="B82" s="98"/>
      <c r="C82" s="98"/>
      <c r="D82" s="99">
        <v>7422</v>
      </c>
      <c r="E82" s="895"/>
      <c r="F82" s="100"/>
      <c r="G82" s="101" t="s">
        <v>183</v>
      </c>
      <c r="H82" s="102"/>
      <c r="I82" s="115"/>
      <c r="J82" s="116"/>
      <c r="K82" s="118">
        <f>SUM(K83:K86)</f>
        <v>3550000</v>
      </c>
      <c r="L82" s="118">
        <f>SUM(L83:L86)</f>
        <v>3550000</v>
      </c>
      <c r="M82" s="914">
        <f>SUM(M83:M86)</f>
        <v>6859315</v>
      </c>
      <c r="N82" s="914">
        <f>SUM(N83:N86)</f>
        <v>6859315</v>
      </c>
      <c r="O82" s="914">
        <f>SUM(O83:O86)</f>
        <v>6859315</v>
      </c>
    </row>
    <row r="83" spans="1:15" ht="12.75">
      <c r="A83" s="35"/>
      <c r="B83" s="105"/>
      <c r="C83" s="105"/>
      <c r="D83" s="105"/>
      <c r="E83" s="896">
        <v>742251</v>
      </c>
      <c r="F83" s="106"/>
      <c r="G83" s="1386" t="s">
        <v>1514</v>
      </c>
      <c r="H83" s="1387"/>
      <c r="I83" s="1387"/>
      <c r="J83" s="109"/>
      <c r="K83" s="394">
        <v>550000</v>
      </c>
      <c r="L83" s="119">
        <v>550000</v>
      </c>
      <c r="M83" s="934">
        <v>3000000</v>
      </c>
      <c r="N83" s="934">
        <v>3000000</v>
      </c>
      <c r="O83" s="934">
        <v>3000000</v>
      </c>
    </row>
    <row r="84" spans="1:15" ht="12.75" hidden="1">
      <c r="A84" s="34"/>
      <c r="B84" s="98"/>
      <c r="C84" s="98"/>
      <c r="D84" s="99">
        <v>7423</v>
      </c>
      <c r="E84" s="895"/>
      <c r="F84" s="100"/>
      <c r="G84" s="1392" t="s">
        <v>210</v>
      </c>
      <c r="H84" s="1393"/>
      <c r="I84" s="1393"/>
      <c r="J84" s="1394"/>
      <c r="K84" s="118">
        <f>SUM(K85)</f>
        <v>0</v>
      </c>
      <c r="L84" s="118">
        <f>SUM(L85)</f>
        <v>0</v>
      </c>
      <c r="M84" s="914">
        <f>SUM(M85)</f>
        <v>0</v>
      </c>
      <c r="N84" s="914">
        <f>SUM(N85)</f>
        <v>0</v>
      </c>
      <c r="O84" s="914">
        <f>SUM(O85)</f>
        <v>0</v>
      </c>
    </row>
    <row r="85" spans="1:15" ht="12.75" hidden="1">
      <c r="A85" s="35"/>
      <c r="B85" s="105"/>
      <c r="C85" s="105"/>
      <c r="D85" s="133"/>
      <c r="E85" s="901">
        <v>74235</v>
      </c>
      <c r="F85" s="106"/>
      <c r="G85" s="1389" t="s">
        <v>209</v>
      </c>
      <c r="H85" s="1390"/>
      <c r="I85" s="1390"/>
      <c r="J85" s="1391"/>
      <c r="K85" s="394">
        <v>0</v>
      </c>
      <c r="L85" s="134">
        <v>0</v>
      </c>
      <c r="M85" s="935">
        <v>0</v>
      </c>
      <c r="N85" s="935">
        <v>0</v>
      </c>
      <c r="O85" s="935">
        <v>0</v>
      </c>
    </row>
    <row r="86" spans="1:15" ht="12.75">
      <c r="A86" s="35"/>
      <c r="B86" s="105"/>
      <c r="C86" s="105"/>
      <c r="D86" s="133"/>
      <c r="E86" s="170">
        <v>742255</v>
      </c>
      <c r="F86" s="106"/>
      <c r="G86" s="388" t="s">
        <v>1515</v>
      </c>
      <c r="H86" s="270"/>
      <c r="I86" s="270"/>
      <c r="J86" s="389"/>
      <c r="K86" s="394">
        <v>3000000</v>
      </c>
      <c r="L86" s="134">
        <v>3000000</v>
      </c>
      <c r="M86" s="935">
        <v>3859315</v>
      </c>
      <c r="N86" s="935">
        <v>3859315</v>
      </c>
      <c r="O86" s="935">
        <v>3859315</v>
      </c>
    </row>
    <row r="87" spans="1:15" ht="12.75">
      <c r="A87" s="35"/>
      <c r="B87" s="93"/>
      <c r="C87" s="94">
        <v>743</v>
      </c>
      <c r="D87" s="93"/>
      <c r="E87" s="894"/>
      <c r="F87" s="95"/>
      <c r="G87" s="96" t="s">
        <v>184</v>
      </c>
      <c r="H87" s="78"/>
      <c r="I87" s="78"/>
      <c r="J87" s="79"/>
      <c r="K87" s="114">
        <f>K88</f>
        <v>3500000</v>
      </c>
      <c r="L87" s="114">
        <f>L88</f>
        <v>3500000</v>
      </c>
      <c r="M87" s="913">
        <f>M88</f>
        <v>8586911</v>
      </c>
      <c r="N87" s="913">
        <f>N88</f>
        <v>8586911</v>
      </c>
      <c r="O87" s="913">
        <f>O88</f>
        <v>8586911</v>
      </c>
    </row>
    <row r="88" spans="1:15" ht="12.75">
      <c r="A88" s="35"/>
      <c r="B88" s="105"/>
      <c r="C88" s="105"/>
      <c r="D88" s="99">
        <v>7433</v>
      </c>
      <c r="E88" s="896"/>
      <c r="F88" s="106"/>
      <c r="G88" s="1413" t="s">
        <v>185</v>
      </c>
      <c r="H88" s="1414"/>
      <c r="I88" s="1414"/>
      <c r="J88" s="1415"/>
      <c r="K88" s="118">
        <f>SUM(K89:K90)</f>
        <v>3500000</v>
      </c>
      <c r="L88" s="118">
        <f>SUM(L89:L90)</f>
        <v>3500000</v>
      </c>
      <c r="M88" s="914">
        <f>SUM(M89:M90)</f>
        <v>8586911</v>
      </c>
      <c r="N88" s="914">
        <f>SUM(N89:N90)</f>
        <v>8586911</v>
      </c>
      <c r="O88" s="914">
        <f>SUM(O89:O90)</f>
        <v>8586911</v>
      </c>
    </row>
    <row r="89" spans="1:15" ht="12.75">
      <c r="A89" s="35"/>
      <c r="B89" s="105"/>
      <c r="C89" s="105"/>
      <c r="D89" s="99"/>
      <c r="E89" s="896">
        <v>743324</v>
      </c>
      <c r="F89" s="106"/>
      <c r="G89" s="107" t="s">
        <v>211</v>
      </c>
      <c r="H89" s="108"/>
      <c r="I89" s="108"/>
      <c r="J89" s="111"/>
      <c r="K89" s="395">
        <v>3500000</v>
      </c>
      <c r="L89" s="117">
        <v>3500000</v>
      </c>
      <c r="M89" s="936">
        <v>8586911</v>
      </c>
      <c r="N89" s="936">
        <v>8586911</v>
      </c>
      <c r="O89" s="936">
        <v>8586911</v>
      </c>
    </row>
    <row r="90" spans="1:15" ht="12.75" hidden="1">
      <c r="A90" s="35"/>
      <c r="B90" s="105"/>
      <c r="C90" s="105"/>
      <c r="D90" s="105"/>
      <c r="E90" s="896">
        <v>74335</v>
      </c>
      <c r="F90" s="106"/>
      <c r="G90" s="1386" t="s">
        <v>186</v>
      </c>
      <c r="H90" s="1387"/>
      <c r="I90" s="1387"/>
      <c r="J90" s="1388"/>
      <c r="K90" s="395">
        <v>0</v>
      </c>
      <c r="L90" s="132">
        <v>0</v>
      </c>
      <c r="M90" s="934">
        <v>0</v>
      </c>
      <c r="N90" s="934">
        <v>0</v>
      </c>
      <c r="O90" s="934">
        <v>0</v>
      </c>
    </row>
    <row r="91" spans="1:15" ht="12.75" hidden="1">
      <c r="A91" s="33"/>
      <c r="B91" s="93"/>
      <c r="C91" s="94">
        <v>744</v>
      </c>
      <c r="D91" s="93"/>
      <c r="E91" s="894"/>
      <c r="F91" s="95"/>
      <c r="G91" s="1410" t="s">
        <v>187</v>
      </c>
      <c r="H91" s="1411"/>
      <c r="I91" s="1411"/>
      <c r="J91" s="1412"/>
      <c r="K91" s="114">
        <f>K92+K94</f>
        <v>0</v>
      </c>
      <c r="L91" s="114">
        <f>L92+L94</f>
        <v>0</v>
      </c>
      <c r="M91" s="913">
        <f>M92+M94</f>
        <v>0</v>
      </c>
      <c r="N91" s="913">
        <f>N92+N94</f>
        <v>0</v>
      </c>
      <c r="O91" s="913">
        <f>O92+O94</f>
        <v>0</v>
      </c>
    </row>
    <row r="92" spans="1:15" ht="12.75" hidden="1">
      <c r="A92" s="34"/>
      <c r="B92" s="98"/>
      <c r="C92" s="98"/>
      <c r="D92" s="99">
        <v>7441</v>
      </c>
      <c r="E92" s="895"/>
      <c r="F92" s="100"/>
      <c r="G92" s="101" t="s">
        <v>188</v>
      </c>
      <c r="H92" s="102"/>
      <c r="I92" s="115"/>
      <c r="J92" s="116"/>
      <c r="K92" s="118">
        <f>K93</f>
        <v>0</v>
      </c>
      <c r="L92" s="118">
        <f>L93</f>
        <v>0</v>
      </c>
      <c r="M92" s="914">
        <f>M93</f>
        <v>0</v>
      </c>
      <c r="N92" s="914">
        <f>N93</f>
        <v>0</v>
      </c>
      <c r="O92" s="914">
        <f>O93</f>
        <v>0</v>
      </c>
    </row>
    <row r="93" spans="1:15" ht="12.75" hidden="1">
      <c r="A93" s="35"/>
      <c r="B93" s="105"/>
      <c r="C93" s="105"/>
      <c r="D93" s="105"/>
      <c r="E93" s="896">
        <v>74415</v>
      </c>
      <c r="F93" s="106"/>
      <c r="G93" s="1386" t="s">
        <v>189</v>
      </c>
      <c r="H93" s="1387"/>
      <c r="I93" s="1387"/>
      <c r="J93" s="1388"/>
      <c r="K93" s="395">
        <v>0</v>
      </c>
      <c r="L93" s="119">
        <v>0</v>
      </c>
      <c r="M93" s="937">
        <v>0</v>
      </c>
      <c r="N93" s="937">
        <v>0</v>
      </c>
      <c r="O93" s="937">
        <v>0</v>
      </c>
    </row>
    <row r="94" spans="1:15" ht="12.75" hidden="1">
      <c r="A94" s="35"/>
      <c r="B94" s="105"/>
      <c r="C94" s="105"/>
      <c r="D94" s="135">
        <v>7442</v>
      </c>
      <c r="E94" s="896"/>
      <c r="F94" s="106"/>
      <c r="G94" s="1386" t="s">
        <v>219</v>
      </c>
      <c r="H94" s="1387"/>
      <c r="I94" s="1387"/>
      <c r="J94" s="1388"/>
      <c r="K94" s="118">
        <f>K95</f>
        <v>0</v>
      </c>
      <c r="L94" s="118">
        <f>L95</f>
        <v>0</v>
      </c>
      <c r="M94" s="914">
        <f>M95</f>
        <v>0</v>
      </c>
      <c r="N94" s="914">
        <f>N95</f>
        <v>0</v>
      </c>
      <c r="O94" s="914">
        <f>O95</f>
        <v>0</v>
      </c>
    </row>
    <row r="95" spans="1:15" ht="12.75" hidden="1">
      <c r="A95" s="35"/>
      <c r="B95" s="105"/>
      <c r="C95" s="105"/>
      <c r="D95" s="105"/>
      <c r="E95" s="896">
        <v>74425</v>
      </c>
      <c r="F95" s="106"/>
      <c r="G95" s="1386" t="s">
        <v>190</v>
      </c>
      <c r="H95" s="1387"/>
      <c r="I95" s="1387"/>
      <c r="J95" s="1388"/>
      <c r="K95" s="395">
        <v>0</v>
      </c>
      <c r="L95" s="132">
        <v>0</v>
      </c>
      <c r="M95" s="934">
        <v>0</v>
      </c>
      <c r="N95" s="934">
        <v>0</v>
      </c>
      <c r="O95" s="934">
        <v>0</v>
      </c>
    </row>
    <row r="96" spans="1:15" ht="12.75">
      <c r="A96" s="33"/>
      <c r="B96" s="93"/>
      <c r="C96" s="94">
        <v>745</v>
      </c>
      <c r="D96" s="93"/>
      <c r="E96" s="894"/>
      <c r="F96" s="95"/>
      <c r="G96" s="1410" t="s">
        <v>191</v>
      </c>
      <c r="H96" s="1411"/>
      <c r="I96" s="1411"/>
      <c r="J96" s="1412"/>
      <c r="K96" s="125">
        <f>K97</f>
        <v>24881500</v>
      </c>
      <c r="L96" s="125">
        <f>L97</f>
        <v>24881500</v>
      </c>
      <c r="M96" s="922">
        <f>M97</f>
        <v>15967500</v>
      </c>
      <c r="N96" s="922">
        <f>N97</f>
        <v>15967500</v>
      </c>
      <c r="O96" s="922">
        <f>O97</f>
        <v>15967500</v>
      </c>
    </row>
    <row r="97" spans="1:15" ht="12.75">
      <c r="A97" s="34"/>
      <c r="B97" s="98"/>
      <c r="C97" s="98"/>
      <c r="D97" s="99">
        <v>7451</v>
      </c>
      <c r="E97" s="895"/>
      <c r="F97" s="100"/>
      <c r="G97" s="1413" t="s">
        <v>192</v>
      </c>
      <c r="H97" s="1414"/>
      <c r="I97" s="1414"/>
      <c r="J97" s="116"/>
      <c r="K97" s="121">
        <f>SUM(K98:K100)</f>
        <v>24881500</v>
      </c>
      <c r="L97" s="121">
        <f>SUM(L98:L100)</f>
        <v>24881500</v>
      </c>
      <c r="M97" s="917">
        <f>SUM(M98:M100)</f>
        <v>15967500</v>
      </c>
      <c r="N97" s="917">
        <f>SUM(N98:N100)</f>
        <v>15967500</v>
      </c>
      <c r="O97" s="917">
        <f>SUM(O98:O100)</f>
        <v>15967500</v>
      </c>
    </row>
    <row r="98" spans="1:15" ht="12.75">
      <c r="A98" s="35"/>
      <c r="B98" s="105"/>
      <c r="C98" s="105"/>
      <c r="D98" s="105"/>
      <c r="E98" s="896">
        <v>745151</v>
      </c>
      <c r="F98" s="106"/>
      <c r="G98" s="107" t="s">
        <v>1517</v>
      </c>
      <c r="H98" s="108"/>
      <c r="I98" s="65"/>
      <c r="J98" s="109"/>
      <c r="K98" s="394">
        <v>21000000</v>
      </c>
      <c r="L98" s="128">
        <v>21000000</v>
      </c>
      <c r="M98" s="938">
        <v>12087000</v>
      </c>
      <c r="N98" s="938">
        <v>12087000</v>
      </c>
      <c r="O98" s="938">
        <v>12087000</v>
      </c>
    </row>
    <row r="99" spans="1:15" ht="12.75">
      <c r="A99" s="35"/>
      <c r="B99" s="105"/>
      <c r="C99" s="105"/>
      <c r="D99" s="105"/>
      <c r="E99" s="897">
        <v>745153</v>
      </c>
      <c r="F99" s="106"/>
      <c r="G99" s="107" t="s">
        <v>1518</v>
      </c>
      <c r="H99" s="108"/>
      <c r="I99" s="65"/>
      <c r="J99" s="109"/>
      <c r="K99" s="394">
        <v>2500000</v>
      </c>
      <c r="L99" s="128">
        <v>2500000</v>
      </c>
      <c r="M99" s="938">
        <v>2500000</v>
      </c>
      <c r="N99" s="938">
        <v>2500000</v>
      </c>
      <c r="O99" s="938">
        <v>2500000</v>
      </c>
    </row>
    <row r="100" spans="1:15" ht="12.75">
      <c r="A100" s="35"/>
      <c r="B100" s="105"/>
      <c r="C100" s="105"/>
      <c r="D100" s="105"/>
      <c r="E100" s="897">
        <v>745154</v>
      </c>
      <c r="F100" s="106"/>
      <c r="G100" s="107" t="s">
        <v>1519</v>
      </c>
      <c r="H100" s="108"/>
      <c r="I100" s="65"/>
      <c r="J100" s="109"/>
      <c r="K100" s="394">
        <v>1381500</v>
      </c>
      <c r="L100" s="128">
        <v>1381500</v>
      </c>
      <c r="M100" s="938">
        <v>1380500</v>
      </c>
      <c r="N100" s="938">
        <v>1380500</v>
      </c>
      <c r="O100" s="938">
        <v>1380500</v>
      </c>
    </row>
    <row r="101" spans="1:19" s="32" customFormat="1" ht="11.25" customHeight="1">
      <c r="A101" s="31"/>
      <c r="B101" s="88">
        <v>8</v>
      </c>
      <c r="C101" s="89"/>
      <c r="D101" s="89"/>
      <c r="E101" s="142"/>
      <c r="F101" s="90"/>
      <c r="G101" s="1374" t="s">
        <v>1334</v>
      </c>
      <c r="H101" s="1375"/>
      <c r="I101" s="1375"/>
      <c r="J101" s="1419"/>
      <c r="K101" s="136">
        <f>K102+K107</f>
        <v>57000</v>
      </c>
      <c r="L101" s="136">
        <f>L102+L107</f>
        <v>57000</v>
      </c>
      <c r="M101" s="939">
        <f>M102+M107</f>
        <v>68000</v>
      </c>
      <c r="N101" s="939">
        <f>N102+N107</f>
        <v>68000</v>
      </c>
      <c r="O101" s="939">
        <f>O102+O107</f>
        <v>68000</v>
      </c>
      <c r="S101" s="158"/>
    </row>
    <row r="102" spans="1:15" ht="12.75">
      <c r="A102" s="33"/>
      <c r="B102" s="93"/>
      <c r="C102" s="94">
        <v>811</v>
      </c>
      <c r="D102" s="93"/>
      <c r="E102" s="894"/>
      <c r="F102" s="95"/>
      <c r="G102" s="1410" t="s">
        <v>1334</v>
      </c>
      <c r="H102" s="1411"/>
      <c r="I102" s="1411"/>
      <c r="J102" s="1412"/>
      <c r="K102" s="114">
        <f>K103+K105</f>
        <v>39000</v>
      </c>
      <c r="L102" s="114">
        <f>L103+L105</f>
        <v>39000</v>
      </c>
      <c r="M102" s="913">
        <f>M103+M105</f>
        <v>50000</v>
      </c>
      <c r="N102" s="913">
        <f>N103+N105</f>
        <v>50000</v>
      </c>
      <c r="O102" s="913">
        <f>O103+O105</f>
        <v>50000</v>
      </c>
    </row>
    <row r="103" spans="1:15" ht="12.75">
      <c r="A103" s="34"/>
      <c r="B103" s="98"/>
      <c r="C103" s="98"/>
      <c r="D103" s="99">
        <v>8111</v>
      </c>
      <c r="E103" s="895"/>
      <c r="F103" s="100"/>
      <c r="G103" s="1413" t="s">
        <v>1335</v>
      </c>
      <c r="H103" s="1414"/>
      <c r="I103" s="1414"/>
      <c r="J103" s="1415"/>
      <c r="K103" s="126">
        <f>K104</f>
        <v>39000</v>
      </c>
      <c r="L103" s="126">
        <f>L104</f>
        <v>39000</v>
      </c>
      <c r="M103" s="923">
        <f>M104</f>
        <v>50000</v>
      </c>
      <c r="N103" s="923">
        <f>N104</f>
        <v>50000</v>
      </c>
      <c r="O103" s="923">
        <f>O104</f>
        <v>50000</v>
      </c>
    </row>
    <row r="104" spans="1:15" ht="12.75">
      <c r="A104" s="35"/>
      <c r="B104" s="105"/>
      <c r="C104" s="105"/>
      <c r="D104" s="105"/>
      <c r="E104" s="896">
        <v>811153</v>
      </c>
      <c r="F104" s="106"/>
      <c r="G104" s="1386" t="s">
        <v>1520</v>
      </c>
      <c r="H104" s="1387"/>
      <c r="I104" s="1387"/>
      <c r="J104" s="1388"/>
      <c r="K104" s="394">
        <v>39000</v>
      </c>
      <c r="L104" s="127">
        <v>39000</v>
      </c>
      <c r="M104" s="924">
        <v>50000</v>
      </c>
      <c r="N104" s="924">
        <v>50000</v>
      </c>
      <c r="O104" s="924">
        <v>50000</v>
      </c>
    </row>
    <row r="105" spans="1:15" ht="12.75" hidden="1">
      <c r="A105" s="34"/>
      <c r="B105" s="98"/>
      <c r="C105" s="98"/>
      <c r="D105" s="99">
        <v>9219</v>
      </c>
      <c r="E105" s="895"/>
      <c r="F105" s="100"/>
      <c r="G105" s="1413" t="s">
        <v>193</v>
      </c>
      <c r="H105" s="1414"/>
      <c r="I105" s="1414"/>
      <c r="J105" s="1415"/>
      <c r="K105" s="118">
        <f>K106</f>
        <v>0</v>
      </c>
      <c r="L105" s="118">
        <f>L106</f>
        <v>0</v>
      </c>
      <c r="M105" s="914">
        <f>M106</f>
        <v>0</v>
      </c>
      <c r="N105" s="914">
        <f>N106</f>
        <v>0</v>
      </c>
      <c r="O105" s="914">
        <f>O106</f>
        <v>0</v>
      </c>
    </row>
    <row r="106" spans="1:15" ht="12.75" hidden="1">
      <c r="A106" s="35"/>
      <c r="B106" s="105"/>
      <c r="C106" s="105"/>
      <c r="D106" s="105"/>
      <c r="E106" s="896">
        <v>92195</v>
      </c>
      <c r="F106" s="106"/>
      <c r="G106" s="107" t="s">
        <v>194</v>
      </c>
      <c r="H106" s="108"/>
      <c r="I106" s="65"/>
      <c r="J106" s="109"/>
      <c r="K106" s="394">
        <v>0</v>
      </c>
      <c r="L106" s="119">
        <v>0</v>
      </c>
      <c r="M106" s="940">
        <v>0</v>
      </c>
      <c r="N106" s="940">
        <v>0</v>
      </c>
      <c r="O106" s="940">
        <v>0</v>
      </c>
    </row>
    <row r="107" spans="1:15" ht="12.75">
      <c r="A107" s="33"/>
      <c r="B107" s="93"/>
      <c r="C107" s="94">
        <v>841</v>
      </c>
      <c r="D107" s="93"/>
      <c r="E107" s="894"/>
      <c r="F107" s="95"/>
      <c r="G107" s="1410" t="s">
        <v>1388</v>
      </c>
      <c r="H107" s="1411"/>
      <c r="I107" s="1411"/>
      <c r="J107" s="1412"/>
      <c r="K107" s="114">
        <f>K108+K110</f>
        <v>18000</v>
      </c>
      <c r="L107" s="114">
        <f>L108+L110</f>
        <v>18000</v>
      </c>
      <c r="M107" s="913">
        <f>M108+M110</f>
        <v>18000</v>
      </c>
      <c r="N107" s="913">
        <f>N108+N110</f>
        <v>18000</v>
      </c>
      <c r="O107" s="913">
        <f>O108+O110</f>
        <v>18000</v>
      </c>
    </row>
    <row r="108" spans="1:15" ht="12.75">
      <c r="A108" s="34"/>
      <c r="B108" s="98"/>
      <c r="C108" s="98"/>
      <c r="D108" s="99">
        <v>8411</v>
      </c>
      <c r="E108" s="895"/>
      <c r="F108" s="100"/>
      <c r="G108" s="1413" t="s">
        <v>1389</v>
      </c>
      <c r="H108" s="1414"/>
      <c r="I108" s="1414"/>
      <c r="J108" s="1415"/>
      <c r="K108" s="126">
        <f>K109</f>
        <v>18000</v>
      </c>
      <c r="L108" s="126">
        <f>L109</f>
        <v>18000</v>
      </c>
      <c r="M108" s="923">
        <f>M109</f>
        <v>18000</v>
      </c>
      <c r="N108" s="923">
        <f>N109</f>
        <v>18000</v>
      </c>
      <c r="O108" s="923">
        <f>O109</f>
        <v>18000</v>
      </c>
    </row>
    <row r="109" spans="1:15" ht="12.75">
      <c r="A109" s="35"/>
      <c r="B109" s="105"/>
      <c r="C109" s="105"/>
      <c r="D109" s="105"/>
      <c r="E109" s="896">
        <v>841151</v>
      </c>
      <c r="F109" s="106"/>
      <c r="G109" s="1386" t="s">
        <v>1390</v>
      </c>
      <c r="H109" s="1387"/>
      <c r="I109" s="1387"/>
      <c r="J109" s="1388"/>
      <c r="K109" s="394">
        <v>18000</v>
      </c>
      <c r="L109" s="127">
        <v>18000</v>
      </c>
      <c r="M109" s="924">
        <v>18000</v>
      </c>
      <c r="N109" s="924">
        <v>18000</v>
      </c>
      <c r="O109" s="924">
        <v>18000</v>
      </c>
    </row>
    <row r="110" spans="1:15" ht="12.75">
      <c r="A110" s="35"/>
      <c r="B110" s="105"/>
      <c r="C110" s="105"/>
      <c r="D110" s="105"/>
      <c r="E110" s="896"/>
      <c r="F110" s="106"/>
      <c r="G110" s="107"/>
      <c r="H110" s="108"/>
      <c r="I110" s="65"/>
      <c r="J110" s="109"/>
      <c r="K110" s="394"/>
      <c r="L110" s="119"/>
      <c r="M110" s="940"/>
      <c r="N110" s="940"/>
      <c r="O110" s="940"/>
    </row>
    <row r="111" spans="1:15" ht="12.75">
      <c r="A111" s="87" t="s">
        <v>18</v>
      </c>
      <c r="B111" s="137"/>
      <c r="C111" s="138"/>
      <c r="D111" s="138"/>
      <c r="E111" s="138"/>
      <c r="F111" s="139"/>
      <c r="G111" s="1380" t="s">
        <v>195</v>
      </c>
      <c r="H111" s="1381"/>
      <c r="I111" s="1381"/>
      <c r="J111" s="1382"/>
      <c r="K111" s="37">
        <f>K112</f>
        <v>288241030.79</v>
      </c>
      <c r="L111" s="37">
        <f>L112</f>
        <v>444656763</v>
      </c>
      <c r="M111" s="941">
        <f>M112</f>
        <v>205000</v>
      </c>
      <c r="N111" s="941">
        <f>N112</f>
        <v>205000</v>
      </c>
      <c r="O111" s="941">
        <f>O112</f>
        <v>205000</v>
      </c>
    </row>
    <row r="112" spans="1:19" s="32" customFormat="1" ht="12.75">
      <c r="A112" s="141"/>
      <c r="B112" s="88">
        <v>7</v>
      </c>
      <c r="C112" s="142"/>
      <c r="D112" s="142"/>
      <c r="E112" s="143"/>
      <c r="F112" s="144"/>
      <c r="G112" s="131" t="s">
        <v>145</v>
      </c>
      <c r="H112" s="91"/>
      <c r="I112" s="91"/>
      <c r="J112" s="80"/>
      <c r="K112" s="145">
        <f>K116</f>
        <v>288241030.79</v>
      </c>
      <c r="L112" s="145">
        <f>L116</f>
        <v>444656763</v>
      </c>
      <c r="M112" s="942">
        <f>M116</f>
        <v>205000</v>
      </c>
      <c r="N112" s="942">
        <f>N116</f>
        <v>205000</v>
      </c>
      <c r="O112" s="942">
        <f>O116</f>
        <v>205000</v>
      </c>
      <c r="S112" s="158"/>
    </row>
    <row r="113" spans="1:15" s="26" customFormat="1" ht="12.75" hidden="1">
      <c r="A113" s="169"/>
      <c r="B113" s="161"/>
      <c r="C113" s="175">
        <v>711</v>
      </c>
      <c r="D113" s="170"/>
      <c r="E113" s="171"/>
      <c r="F113" s="172"/>
      <c r="G113" s="1398" t="s">
        <v>146</v>
      </c>
      <c r="H113" s="1399"/>
      <c r="I113" s="1399"/>
      <c r="J113" s="1400"/>
      <c r="K113" s="398">
        <v>0</v>
      </c>
      <c r="L113" s="160">
        <v>0</v>
      </c>
      <c r="M113" s="943">
        <v>0</v>
      </c>
      <c r="N113" s="943">
        <v>0</v>
      </c>
      <c r="O113" s="943">
        <v>0</v>
      </c>
    </row>
    <row r="114" spans="1:15" s="42" customFormat="1" ht="12.75" hidden="1">
      <c r="A114" s="163"/>
      <c r="B114" s="161"/>
      <c r="C114" s="175">
        <v>733</v>
      </c>
      <c r="D114" s="159"/>
      <c r="E114" s="164"/>
      <c r="F114" s="162"/>
      <c r="G114" s="1404" t="s">
        <v>165</v>
      </c>
      <c r="H114" s="1405"/>
      <c r="I114" s="1405"/>
      <c r="J114" s="1406"/>
      <c r="K114" s="391">
        <v>0</v>
      </c>
      <c r="L114" s="160">
        <v>0</v>
      </c>
      <c r="M114" s="943">
        <v>0</v>
      </c>
      <c r="N114" s="943">
        <v>0</v>
      </c>
      <c r="O114" s="943">
        <v>0</v>
      </c>
    </row>
    <row r="115" spans="1:16" s="158" customFormat="1" ht="12.75" hidden="1">
      <c r="A115" s="153"/>
      <c r="B115" s="154"/>
      <c r="C115" s="94">
        <v>741</v>
      </c>
      <c r="D115" s="155"/>
      <c r="E115" s="156"/>
      <c r="F115" s="157"/>
      <c r="G115" s="1395" t="s">
        <v>177</v>
      </c>
      <c r="H115" s="1396"/>
      <c r="I115" s="1396"/>
      <c r="J115" s="1397"/>
      <c r="K115" s="399">
        <v>0</v>
      </c>
      <c r="L115" s="160">
        <v>0</v>
      </c>
      <c r="M115" s="943">
        <v>0</v>
      </c>
      <c r="N115" s="943">
        <v>0</v>
      </c>
      <c r="O115" s="943">
        <v>0</v>
      </c>
      <c r="P115" s="26"/>
    </row>
    <row r="116" spans="1:15" ht="12.75">
      <c r="A116" s="146"/>
      <c r="B116" s="94"/>
      <c r="C116" s="94">
        <v>742</v>
      </c>
      <c r="D116" s="94"/>
      <c r="E116" s="903"/>
      <c r="F116" s="94"/>
      <c r="G116" s="94" t="s">
        <v>182</v>
      </c>
      <c r="H116" s="94"/>
      <c r="I116" s="94"/>
      <c r="J116" s="94"/>
      <c r="K116" s="114">
        <f>K119</f>
        <v>288241030.79</v>
      </c>
      <c r="L116" s="114">
        <f>L119</f>
        <v>444656763</v>
      </c>
      <c r="M116" s="913">
        <f>M119</f>
        <v>205000</v>
      </c>
      <c r="N116" s="913">
        <f>N119</f>
        <v>205000</v>
      </c>
      <c r="O116" s="913">
        <f>O119</f>
        <v>205000</v>
      </c>
    </row>
    <row r="117" spans="1:15" ht="12.75" hidden="1">
      <c r="A117" s="146"/>
      <c r="B117" s="137"/>
      <c r="C117" s="94">
        <v>744</v>
      </c>
      <c r="D117" s="138"/>
      <c r="E117" s="147"/>
      <c r="F117" s="148"/>
      <c r="G117" s="1407" t="s">
        <v>220</v>
      </c>
      <c r="H117" s="1408"/>
      <c r="I117" s="1408"/>
      <c r="J117" s="1409"/>
      <c r="K117" s="391">
        <v>0</v>
      </c>
      <c r="L117" s="149">
        <v>0</v>
      </c>
      <c r="M117" s="944">
        <v>0</v>
      </c>
      <c r="N117" s="944">
        <v>0</v>
      </c>
      <c r="O117" s="944">
        <v>0</v>
      </c>
    </row>
    <row r="118" spans="1:15" ht="12.75" hidden="1">
      <c r="A118" s="146"/>
      <c r="B118" s="137"/>
      <c r="C118" s="94">
        <v>745</v>
      </c>
      <c r="D118" s="138"/>
      <c r="E118" s="147"/>
      <c r="F118" s="148"/>
      <c r="G118" s="1404" t="s">
        <v>191</v>
      </c>
      <c r="H118" s="1405"/>
      <c r="I118" s="1405"/>
      <c r="J118" s="1406"/>
      <c r="K118" s="391">
        <v>0</v>
      </c>
      <c r="L118" s="149">
        <v>0</v>
      </c>
      <c r="M118" s="944">
        <v>0</v>
      </c>
      <c r="N118" s="944">
        <v>0</v>
      </c>
      <c r="O118" s="944">
        <v>0</v>
      </c>
    </row>
    <row r="119" spans="1:15" ht="12.75">
      <c r="A119" s="146"/>
      <c r="B119" s="137"/>
      <c r="C119" s="201"/>
      <c r="D119" s="147">
        <v>7421</v>
      </c>
      <c r="E119" s="147"/>
      <c r="F119" s="148"/>
      <c r="G119" s="1389" t="s">
        <v>1305</v>
      </c>
      <c r="H119" s="1390"/>
      <c r="I119" s="1390"/>
      <c r="J119" s="593"/>
      <c r="K119" s="391">
        <f>K120</f>
        <v>288241030.79</v>
      </c>
      <c r="L119" s="149">
        <f>L120</f>
        <v>444656763</v>
      </c>
      <c r="M119" s="945">
        <f>M120</f>
        <v>205000</v>
      </c>
      <c r="N119" s="945">
        <v>205000</v>
      </c>
      <c r="O119" s="945">
        <v>205000</v>
      </c>
    </row>
    <row r="120" spans="1:15" ht="12.75">
      <c r="A120" s="146"/>
      <c r="B120" s="137"/>
      <c r="C120" s="201"/>
      <c r="D120" s="138"/>
      <c r="E120" s="147">
        <v>742151</v>
      </c>
      <c r="F120" s="148"/>
      <c r="G120" s="1389" t="s">
        <v>1306</v>
      </c>
      <c r="H120" s="1390"/>
      <c r="I120" s="1390"/>
      <c r="J120" s="1391"/>
      <c r="K120" s="391">
        <f>'Rashodi-2020'!L516</f>
        <v>288241030.79</v>
      </c>
      <c r="L120" s="149">
        <f>'Rashodi-2020'!M516</f>
        <v>444656763</v>
      </c>
      <c r="M120" s="945">
        <f>'Rashodi-2020'!N516</f>
        <v>205000</v>
      </c>
      <c r="N120" s="945">
        <v>205000</v>
      </c>
      <c r="O120" s="945">
        <v>205000</v>
      </c>
    </row>
    <row r="121" spans="1:15" ht="12.75">
      <c r="A121" s="146"/>
      <c r="B121" s="137"/>
      <c r="C121" s="201"/>
      <c r="D121" s="138"/>
      <c r="E121" s="147"/>
      <c r="F121" s="148"/>
      <c r="G121" s="591"/>
      <c r="H121" s="592"/>
      <c r="I121" s="592"/>
      <c r="J121" s="593"/>
      <c r="K121" s="391"/>
      <c r="L121" s="149"/>
      <c r="M121" s="944"/>
      <c r="N121" s="944"/>
      <c r="O121" s="944"/>
    </row>
    <row r="122" spans="1:15" ht="12.75">
      <c r="A122" s="87" t="s">
        <v>20</v>
      </c>
      <c r="B122" s="137"/>
      <c r="C122" s="138"/>
      <c r="D122" s="138"/>
      <c r="E122" s="138"/>
      <c r="F122" s="139"/>
      <c r="G122" s="1380" t="s">
        <v>196</v>
      </c>
      <c r="H122" s="1381"/>
      <c r="I122" s="1381"/>
      <c r="J122" s="1382"/>
      <c r="K122" s="37">
        <f aca="true" t="shared" si="1" ref="K122:O125">K123</f>
        <v>2980000</v>
      </c>
      <c r="L122" s="37">
        <f t="shared" si="1"/>
        <v>2980000</v>
      </c>
      <c r="M122" s="941">
        <f t="shared" si="1"/>
        <v>12551595</v>
      </c>
      <c r="N122" s="941">
        <f t="shared" si="1"/>
        <v>12551595</v>
      </c>
      <c r="O122" s="941">
        <f t="shared" si="1"/>
        <v>12551595</v>
      </c>
    </row>
    <row r="123" spans="1:19" s="32" customFormat="1" ht="12.75">
      <c r="A123" s="141"/>
      <c r="B123" s="88">
        <v>7</v>
      </c>
      <c r="C123" s="142"/>
      <c r="D123" s="142"/>
      <c r="E123" s="143"/>
      <c r="F123" s="144"/>
      <c r="G123" s="1374" t="s">
        <v>145</v>
      </c>
      <c r="H123" s="1375"/>
      <c r="I123" s="91"/>
      <c r="J123" s="80"/>
      <c r="K123" s="145">
        <f t="shared" si="1"/>
        <v>2980000</v>
      </c>
      <c r="L123" s="145">
        <f t="shared" si="1"/>
        <v>2980000</v>
      </c>
      <c r="M123" s="942">
        <f t="shared" si="1"/>
        <v>12551595</v>
      </c>
      <c r="N123" s="942">
        <f t="shared" si="1"/>
        <v>12551595</v>
      </c>
      <c r="O123" s="942">
        <f t="shared" si="1"/>
        <v>12551595</v>
      </c>
      <c r="S123" s="158"/>
    </row>
    <row r="124" spans="1:15" ht="12.75">
      <c r="A124" s="146"/>
      <c r="B124" s="94"/>
      <c r="C124" s="94">
        <v>732</v>
      </c>
      <c r="D124" s="94"/>
      <c r="E124" s="903"/>
      <c r="F124" s="94"/>
      <c r="G124" s="94" t="s">
        <v>197</v>
      </c>
      <c r="H124" s="94"/>
      <c r="I124" s="94"/>
      <c r="J124" s="94"/>
      <c r="K124" s="114">
        <f t="shared" si="1"/>
        <v>2980000</v>
      </c>
      <c r="L124" s="114">
        <f t="shared" si="1"/>
        <v>2980000</v>
      </c>
      <c r="M124" s="913">
        <f t="shared" si="1"/>
        <v>12551595</v>
      </c>
      <c r="N124" s="913">
        <f t="shared" si="1"/>
        <v>12551595</v>
      </c>
      <c r="O124" s="913">
        <f t="shared" si="1"/>
        <v>12551595</v>
      </c>
    </row>
    <row r="125" spans="1:15" ht="12.75">
      <c r="A125" s="146"/>
      <c r="B125" s="137"/>
      <c r="C125" s="201"/>
      <c r="D125" s="147">
        <v>7321</v>
      </c>
      <c r="E125" s="147"/>
      <c r="F125" s="139"/>
      <c r="G125" s="1389" t="s">
        <v>1344</v>
      </c>
      <c r="H125" s="1390"/>
      <c r="I125" s="1390"/>
      <c r="J125" s="1391"/>
      <c r="K125" s="391">
        <f t="shared" si="1"/>
        <v>2980000</v>
      </c>
      <c r="L125" s="692">
        <f t="shared" si="1"/>
        <v>2980000</v>
      </c>
      <c r="M125" s="945">
        <f>M126</f>
        <v>12551595</v>
      </c>
      <c r="N125" s="945">
        <f>N126</f>
        <v>12551595</v>
      </c>
      <c r="O125" s="945">
        <f>O126</f>
        <v>12551595</v>
      </c>
    </row>
    <row r="126" spans="1:15" ht="12.75">
      <c r="A126" s="146"/>
      <c r="B126" s="137"/>
      <c r="C126" s="201"/>
      <c r="D126" s="138"/>
      <c r="E126" s="147">
        <v>732151</v>
      </c>
      <c r="F126" s="139"/>
      <c r="G126" s="1389" t="s">
        <v>1345</v>
      </c>
      <c r="H126" s="1390"/>
      <c r="I126" s="1390"/>
      <c r="J126" s="1391"/>
      <c r="K126" s="391">
        <v>2980000</v>
      </c>
      <c r="L126" s="149">
        <v>2980000</v>
      </c>
      <c r="M126" s="946">
        <v>12551595</v>
      </c>
      <c r="N126" s="946">
        <v>12551595</v>
      </c>
      <c r="O126" s="946">
        <v>12551595</v>
      </c>
    </row>
    <row r="127" spans="1:15" ht="12.75" hidden="1">
      <c r="A127" s="146"/>
      <c r="B127" s="137"/>
      <c r="C127" s="201"/>
      <c r="D127" s="138"/>
      <c r="E127" s="147"/>
      <c r="F127" s="139"/>
      <c r="G127" s="591"/>
      <c r="H127" s="592"/>
      <c r="I127" s="592"/>
      <c r="J127" s="593"/>
      <c r="K127" s="391"/>
      <c r="L127" s="149"/>
      <c r="M127" s="944"/>
      <c r="N127" s="944"/>
      <c r="O127" s="944"/>
    </row>
    <row r="128" spans="1:15" ht="12.75">
      <c r="A128" s="87" t="s">
        <v>19</v>
      </c>
      <c r="B128" s="137"/>
      <c r="C128" s="138"/>
      <c r="D128" s="138"/>
      <c r="E128" s="138"/>
      <c r="F128" s="139"/>
      <c r="G128" s="1380" t="s">
        <v>198</v>
      </c>
      <c r="H128" s="1381"/>
      <c r="I128" s="1381"/>
      <c r="J128" s="1382"/>
      <c r="K128" s="37">
        <f aca="true" t="shared" si="2" ref="K128:O129">K129</f>
        <v>40915100.88</v>
      </c>
      <c r="L128" s="37">
        <f t="shared" si="2"/>
        <v>40915100.88</v>
      </c>
      <c r="M128" s="941">
        <f t="shared" si="2"/>
        <v>60684696.879999995</v>
      </c>
      <c r="N128" s="941">
        <f t="shared" si="2"/>
        <v>60684696.879999995</v>
      </c>
      <c r="O128" s="941">
        <f t="shared" si="2"/>
        <v>60684696.879999995</v>
      </c>
    </row>
    <row r="129" spans="1:19" s="32" customFormat="1" ht="12.75">
      <c r="A129" s="141"/>
      <c r="B129" s="88">
        <v>7</v>
      </c>
      <c r="C129" s="142"/>
      <c r="D129" s="142"/>
      <c r="E129" s="143"/>
      <c r="F129" s="144"/>
      <c r="G129" s="1374" t="s">
        <v>145</v>
      </c>
      <c r="H129" s="1375"/>
      <c r="I129" s="91"/>
      <c r="J129" s="80"/>
      <c r="K129" s="145">
        <f t="shared" si="2"/>
        <v>40915100.88</v>
      </c>
      <c r="L129" s="145">
        <f t="shared" si="2"/>
        <v>40915100.88</v>
      </c>
      <c r="M129" s="942">
        <f t="shared" si="2"/>
        <v>60684696.879999995</v>
      </c>
      <c r="N129" s="942">
        <f t="shared" si="2"/>
        <v>60684696.879999995</v>
      </c>
      <c r="O129" s="942">
        <f t="shared" si="2"/>
        <v>60684696.879999995</v>
      </c>
      <c r="S129" s="158"/>
    </row>
    <row r="130" spans="1:15" ht="12.75">
      <c r="A130" s="146"/>
      <c r="B130" s="94"/>
      <c r="C130" s="94">
        <v>733</v>
      </c>
      <c r="D130" s="94"/>
      <c r="E130" s="903"/>
      <c r="F130" s="94"/>
      <c r="G130" s="94" t="s">
        <v>165</v>
      </c>
      <c r="H130" s="94"/>
      <c r="I130" s="94"/>
      <c r="J130" s="94"/>
      <c r="K130" s="114">
        <f>K134+K131+K137</f>
        <v>40915100.88</v>
      </c>
      <c r="L130" s="114">
        <f>L134+L131+L137</f>
        <v>40915100.88</v>
      </c>
      <c r="M130" s="913">
        <f>M134+M131+M137</f>
        <v>60684696.879999995</v>
      </c>
      <c r="N130" s="913">
        <f>N134+N131+N137</f>
        <v>60684696.879999995</v>
      </c>
      <c r="O130" s="913">
        <f>O134+O131+O137</f>
        <v>60684696.879999995</v>
      </c>
    </row>
    <row r="131" spans="1:19" s="734" customFormat="1" ht="12.75">
      <c r="A131" s="146"/>
      <c r="B131" s="98"/>
      <c r="C131" s="693"/>
      <c r="D131" s="147">
        <v>7331</v>
      </c>
      <c r="E131" s="147"/>
      <c r="F131" s="694"/>
      <c r="G131" s="1429" t="s">
        <v>1391</v>
      </c>
      <c r="H131" s="1430"/>
      <c r="I131" s="1430"/>
      <c r="J131" s="1431"/>
      <c r="K131" s="697">
        <f>SUM(K132:K133)</f>
        <v>5000000</v>
      </c>
      <c r="L131" s="691">
        <f>SUM(L132:L133)</f>
        <v>5000000</v>
      </c>
      <c r="M131" s="947">
        <f>SUM(M132:M133)</f>
        <v>18167500</v>
      </c>
      <c r="N131" s="947">
        <f>SUM(N132:N133)</f>
        <v>18167500</v>
      </c>
      <c r="O131" s="947">
        <f>SUM(O132:O133)</f>
        <v>18167500</v>
      </c>
      <c r="S131" s="788"/>
    </row>
    <row r="132" spans="1:15" ht="12.75">
      <c r="A132" s="146"/>
      <c r="B132" s="137"/>
      <c r="C132" s="201"/>
      <c r="D132" s="138"/>
      <c r="E132" s="147">
        <v>733154</v>
      </c>
      <c r="F132" s="139"/>
      <c r="G132" s="1371" t="s">
        <v>1502</v>
      </c>
      <c r="H132" s="1372"/>
      <c r="I132" s="1372"/>
      <c r="J132" s="1373"/>
      <c r="K132" s="697">
        <v>4000000</v>
      </c>
      <c r="L132" s="691">
        <v>4000000</v>
      </c>
      <c r="M132" s="946">
        <v>13167500</v>
      </c>
      <c r="N132" s="946">
        <v>13167500</v>
      </c>
      <c r="O132" s="946">
        <v>13167500</v>
      </c>
    </row>
    <row r="133" spans="1:15" ht="12.75">
      <c r="A133" s="146"/>
      <c r="B133" s="137"/>
      <c r="C133" s="201"/>
      <c r="D133" s="138"/>
      <c r="E133" s="855">
        <v>733156</v>
      </c>
      <c r="F133" s="139"/>
      <c r="G133" s="698" t="s">
        <v>1503</v>
      </c>
      <c r="H133" s="852"/>
      <c r="I133" s="177"/>
      <c r="J133" s="178"/>
      <c r="K133" s="398">
        <v>1000000</v>
      </c>
      <c r="L133" s="149">
        <v>1000000</v>
      </c>
      <c r="M133" s="945">
        <v>5000000</v>
      </c>
      <c r="N133" s="945">
        <v>5000000</v>
      </c>
      <c r="O133" s="945">
        <v>5000000</v>
      </c>
    </row>
    <row r="134" spans="1:19" s="734" customFormat="1" ht="12.75">
      <c r="A134" s="146"/>
      <c r="B134" s="98"/>
      <c r="C134" s="693"/>
      <c r="D134" s="147">
        <v>7332</v>
      </c>
      <c r="E134" s="147"/>
      <c r="F134" s="694"/>
      <c r="G134" s="854" t="s">
        <v>1307</v>
      </c>
      <c r="H134" s="695"/>
      <c r="I134" s="695"/>
      <c r="J134" s="696"/>
      <c r="K134" s="697">
        <f>K135+K136</f>
        <v>35721600.88</v>
      </c>
      <c r="L134" s="691">
        <f>L135+L136</f>
        <v>35721600.88</v>
      </c>
      <c r="M134" s="947">
        <f>M135+M136</f>
        <v>42507196.879999995</v>
      </c>
      <c r="N134" s="947">
        <f>N135+N136</f>
        <v>42507196.879999995</v>
      </c>
      <c r="O134" s="947">
        <f>O135+O136</f>
        <v>42507196.879999995</v>
      </c>
      <c r="S134" s="788"/>
    </row>
    <row r="135" spans="1:15" ht="12.75">
      <c r="A135" s="146"/>
      <c r="B135" s="137"/>
      <c r="C135" s="201"/>
      <c r="D135" s="138"/>
      <c r="E135" s="147">
        <v>733251</v>
      </c>
      <c r="F135" s="139"/>
      <c r="G135" s="698" t="s">
        <v>1504</v>
      </c>
      <c r="H135" s="177"/>
      <c r="I135" s="177"/>
      <c r="J135" s="178"/>
      <c r="K135" s="785">
        <v>1261758</v>
      </c>
      <c r="L135" s="692">
        <v>1261758</v>
      </c>
      <c r="M135" s="945">
        <v>13092874</v>
      </c>
      <c r="N135" s="945">
        <v>13092874</v>
      </c>
      <c r="O135" s="945">
        <v>13092874</v>
      </c>
    </row>
    <row r="136" spans="1:15" ht="12.75">
      <c r="A136" s="146"/>
      <c r="B136" s="137"/>
      <c r="C136" s="201"/>
      <c r="D136" s="138"/>
      <c r="E136" s="855">
        <v>733252</v>
      </c>
      <c r="F136" s="139"/>
      <c r="G136" s="698" t="s">
        <v>1505</v>
      </c>
      <c r="H136" s="177"/>
      <c r="I136" s="177"/>
      <c r="J136" s="178"/>
      <c r="K136" s="785">
        <v>34459842.88</v>
      </c>
      <c r="L136" s="692">
        <v>34459842.88</v>
      </c>
      <c r="M136" s="945">
        <v>29414322.88</v>
      </c>
      <c r="N136" s="945">
        <v>29414322.88</v>
      </c>
      <c r="O136" s="945">
        <v>29414322.88</v>
      </c>
    </row>
    <row r="137" spans="1:19" s="734" customFormat="1" ht="12.75">
      <c r="A137" s="146"/>
      <c r="B137" s="98"/>
      <c r="C137" s="693"/>
      <c r="D137" s="147">
        <v>7721</v>
      </c>
      <c r="E137" s="147"/>
      <c r="F137" s="694"/>
      <c r="G137" s="1429" t="s">
        <v>1392</v>
      </c>
      <c r="H137" s="1430"/>
      <c r="I137" s="1430"/>
      <c r="J137" s="1431"/>
      <c r="K137" s="697">
        <f>K138</f>
        <v>193500</v>
      </c>
      <c r="L137" s="691">
        <f>L138</f>
        <v>193500</v>
      </c>
      <c r="M137" s="947">
        <f>M138</f>
        <v>10000</v>
      </c>
      <c r="N137" s="947">
        <f>N138</f>
        <v>10000</v>
      </c>
      <c r="O137" s="947">
        <f>O138</f>
        <v>10000</v>
      </c>
      <c r="S137" s="788"/>
    </row>
    <row r="138" spans="1:15" ht="12.75">
      <c r="A138" s="146"/>
      <c r="B138" s="137"/>
      <c r="C138" s="201"/>
      <c r="D138" s="138"/>
      <c r="E138" s="147">
        <v>772114</v>
      </c>
      <c r="F138" s="139"/>
      <c r="G138" s="1371" t="s">
        <v>1392</v>
      </c>
      <c r="H138" s="1372"/>
      <c r="I138" s="1372"/>
      <c r="J138" s="1373"/>
      <c r="K138" s="785">
        <v>193500</v>
      </c>
      <c r="L138" s="692">
        <v>193500</v>
      </c>
      <c r="M138" s="945">
        <v>10000</v>
      </c>
      <c r="N138" s="945">
        <v>10000</v>
      </c>
      <c r="O138" s="945">
        <v>10000</v>
      </c>
    </row>
    <row r="139" spans="1:15" ht="12.75">
      <c r="A139" s="146"/>
      <c r="B139" s="137"/>
      <c r="C139" s="201"/>
      <c r="D139" s="138"/>
      <c r="E139" s="147"/>
      <c r="F139" s="139"/>
      <c r="G139" s="176"/>
      <c r="H139" s="177"/>
      <c r="I139" s="177"/>
      <c r="J139" s="178"/>
      <c r="K139" s="398"/>
      <c r="L139" s="149"/>
      <c r="M139" s="944"/>
      <c r="N139" s="944"/>
      <c r="O139" s="944"/>
    </row>
    <row r="140" spans="1:15" ht="12.75">
      <c r="A140" s="87" t="s">
        <v>1190</v>
      </c>
      <c r="B140" s="137"/>
      <c r="C140" s="138"/>
      <c r="D140" s="138"/>
      <c r="E140" s="138"/>
      <c r="F140" s="139"/>
      <c r="G140" s="1380" t="s">
        <v>1204</v>
      </c>
      <c r="H140" s="1381"/>
      <c r="I140" s="1381"/>
      <c r="J140" s="1382"/>
      <c r="K140" s="37">
        <f>K142</f>
        <v>218195981.22</v>
      </c>
      <c r="L140" s="37">
        <f>L142</f>
        <v>90000</v>
      </c>
      <c r="M140" s="941">
        <f>M142</f>
        <v>505000</v>
      </c>
      <c r="N140" s="941">
        <f>N142</f>
        <v>505000</v>
      </c>
      <c r="O140" s="941">
        <f>O142</f>
        <v>505000</v>
      </c>
    </row>
    <row r="141" spans="1:19" s="32" customFormat="1" ht="12.75">
      <c r="A141" s="141"/>
      <c r="B141" s="88">
        <v>7</v>
      </c>
      <c r="C141" s="142"/>
      <c r="D141" s="142"/>
      <c r="E141" s="143"/>
      <c r="F141" s="144"/>
      <c r="G141" s="1374" t="s">
        <v>145</v>
      </c>
      <c r="H141" s="1375"/>
      <c r="I141" s="91"/>
      <c r="J141" s="80"/>
      <c r="K141" s="145">
        <f aca="true" t="shared" si="3" ref="K141:L143">K142</f>
        <v>218195981.22</v>
      </c>
      <c r="L141" s="145">
        <f t="shared" si="3"/>
        <v>90000</v>
      </c>
      <c r="M141" s="942">
        <f aca="true" t="shared" si="4" ref="M141:O142">M142</f>
        <v>505000</v>
      </c>
      <c r="N141" s="942">
        <f t="shared" si="4"/>
        <v>505000</v>
      </c>
      <c r="O141" s="942">
        <f t="shared" si="4"/>
        <v>505000</v>
      </c>
      <c r="S141" s="158"/>
    </row>
    <row r="142" spans="1:15" ht="12.75">
      <c r="A142" s="146"/>
      <c r="B142" s="94"/>
      <c r="C142" s="94">
        <v>742</v>
      </c>
      <c r="D142" s="94"/>
      <c r="E142" s="903"/>
      <c r="F142" s="94"/>
      <c r="G142" s="94" t="s">
        <v>182</v>
      </c>
      <c r="H142" s="94"/>
      <c r="I142" s="94"/>
      <c r="J142" s="94"/>
      <c r="K142" s="114">
        <f t="shared" si="3"/>
        <v>218195981.22</v>
      </c>
      <c r="L142" s="114">
        <f t="shared" si="3"/>
        <v>90000</v>
      </c>
      <c r="M142" s="913">
        <f t="shared" si="4"/>
        <v>505000</v>
      </c>
      <c r="N142" s="913">
        <f t="shared" si="4"/>
        <v>505000</v>
      </c>
      <c r="O142" s="913">
        <f t="shared" si="4"/>
        <v>505000</v>
      </c>
    </row>
    <row r="143" spans="1:19" s="734" customFormat="1" ht="12.75">
      <c r="A143" s="146"/>
      <c r="B143" s="856"/>
      <c r="C143" s="201"/>
      <c r="D143" s="147">
        <v>7423</v>
      </c>
      <c r="E143" s="147"/>
      <c r="F143" s="139"/>
      <c r="G143" s="1392" t="s">
        <v>1516</v>
      </c>
      <c r="H143" s="1393"/>
      <c r="I143" s="1393"/>
      <c r="J143" s="1394"/>
      <c r="K143" s="391">
        <f t="shared" si="3"/>
        <v>218195981.22</v>
      </c>
      <c r="L143" s="149">
        <f t="shared" si="3"/>
        <v>90000</v>
      </c>
      <c r="M143" s="947">
        <f>M144</f>
        <v>505000</v>
      </c>
      <c r="N143" s="947">
        <v>505000</v>
      </c>
      <c r="O143" s="947">
        <v>505000</v>
      </c>
      <c r="S143" s="788"/>
    </row>
    <row r="144" spans="1:15" ht="12.75">
      <c r="A144" s="146"/>
      <c r="B144" s="137"/>
      <c r="C144" s="201"/>
      <c r="D144" s="138"/>
      <c r="E144" s="147">
        <v>742378</v>
      </c>
      <c r="F144" s="139"/>
      <c r="G144" s="1389" t="s">
        <v>1204</v>
      </c>
      <c r="H144" s="1390"/>
      <c r="I144" s="1390"/>
      <c r="J144" s="1391"/>
      <c r="K144" s="391">
        <f>'Rashodi-2020'!Q516</f>
        <v>218195981.22</v>
      </c>
      <c r="L144" s="149">
        <f>'Rashodi-2020'!R516</f>
        <v>90000</v>
      </c>
      <c r="M144" s="945">
        <f>'Rashodi-2020'!S516</f>
        <v>505000</v>
      </c>
      <c r="N144" s="945">
        <v>505000</v>
      </c>
      <c r="O144" s="945">
        <v>505000</v>
      </c>
    </row>
    <row r="145" spans="1:15" ht="12.75">
      <c r="A145" s="146"/>
      <c r="B145" s="137"/>
      <c r="C145" s="201"/>
      <c r="D145" s="138"/>
      <c r="E145" s="147"/>
      <c r="F145" s="139"/>
      <c r="G145" s="176"/>
      <c r="H145" s="177"/>
      <c r="I145" s="177"/>
      <c r="J145" s="178"/>
      <c r="K145" s="398"/>
      <c r="L145" s="149"/>
      <c r="M145" s="944"/>
      <c r="N145" s="944"/>
      <c r="O145" s="944"/>
    </row>
    <row r="146" spans="1:15" ht="12.75">
      <c r="A146" s="87" t="s">
        <v>226</v>
      </c>
      <c r="B146" s="137"/>
      <c r="C146" s="179">
        <v>321</v>
      </c>
      <c r="D146" s="138"/>
      <c r="E146" s="138"/>
      <c r="F146" s="139"/>
      <c r="G146" s="1380" t="s">
        <v>233</v>
      </c>
      <c r="H146" s="1381"/>
      <c r="I146" s="1381"/>
      <c r="J146" s="1382"/>
      <c r="K146" s="397">
        <f>'Rashodi-2020'!O516</f>
        <v>12551595</v>
      </c>
      <c r="L146" s="140">
        <f>'Rashodi-2020'!P516</f>
        <v>60684696.879999995</v>
      </c>
      <c r="M146" s="941">
        <f>'Rashodi-2020'!Q516</f>
        <v>218195981.22</v>
      </c>
      <c r="N146" s="941">
        <f>M146</f>
        <v>218195981.22</v>
      </c>
      <c r="O146" s="941">
        <f>N146</f>
        <v>218195981.22</v>
      </c>
    </row>
    <row r="147" spans="1:15" ht="12.75">
      <c r="A147" s="192"/>
      <c r="B147" s="137"/>
      <c r="C147" s="201"/>
      <c r="D147" s="138"/>
      <c r="E147" s="138"/>
      <c r="F147" s="139"/>
      <c r="G147" s="185"/>
      <c r="H147" s="186"/>
      <c r="I147" s="186"/>
      <c r="J147" s="187"/>
      <c r="K147" s="397"/>
      <c r="L147" s="140"/>
      <c r="M147" s="948"/>
      <c r="N147" s="948"/>
      <c r="O147" s="948"/>
    </row>
    <row r="148" spans="1:16" ht="12.75">
      <c r="A148" s="87" t="s">
        <v>227</v>
      </c>
      <c r="B148" s="137"/>
      <c r="C148" s="179">
        <v>311</v>
      </c>
      <c r="D148" s="138"/>
      <c r="E148" s="138"/>
      <c r="F148" s="139"/>
      <c r="G148" s="1380" t="s">
        <v>230</v>
      </c>
      <c r="H148" s="1381"/>
      <c r="I148" s="1381"/>
      <c r="J148" s="1382"/>
      <c r="K148" s="397">
        <f>'Rashodi-2020'!P516</f>
        <v>60684696.879999995</v>
      </c>
      <c r="L148" s="140">
        <f>'Rashodi-2020'!Q516</f>
        <v>218195981.22</v>
      </c>
      <c r="M148" s="949">
        <f>'Rashodi-2020'!R516</f>
        <v>90000</v>
      </c>
      <c r="N148" s="949">
        <v>90000</v>
      </c>
      <c r="O148" s="949">
        <v>90000</v>
      </c>
      <c r="P148" s="271"/>
    </row>
    <row r="149" spans="1:15" ht="12.75">
      <c r="A149" s="192"/>
      <c r="B149" s="137"/>
      <c r="C149" s="201"/>
      <c r="D149" s="138"/>
      <c r="E149" s="138"/>
      <c r="F149" s="139"/>
      <c r="G149" s="185"/>
      <c r="H149" s="186"/>
      <c r="I149" s="186"/>
      <c r="J149" s="187"/>
      <c r="K149" s="397"/>
      <c r="L149" s="140"/>
      <c r="M149" s="941"/>
      <c r="N149" s="941"/>
      <c r="O149" s="941"/>
    </row>
    <row r="150" spans="1:15" ht="12.75">
      <c r="A150" s="192"/>
      <c r="B150" s="137"/>
      <c r="C150" s="201"/>
      <c r="D150" s="138"/>
      <c r="E150" s="138"/>
      <c r="F150" s="139"/>
      <c r="G150" s="185"/>
      <c r="H150" s="186"/>
      <c r="I150" s="186"/>
      <c r="J150" s="187"/>
      <c r="K150" s="397"/>
      <c r="L150" s="140"/>
      <c r="M150" s="941"/>
      <c r="N150" s="941"/>
      <c r="O150" s="941"/>
    </row>
    <row r="151" spans="1:15" ht="12.75">
      <c r="A151" s="33"/>
      <c r="B151" s="137"/>
      <c r="C151" s="137"/>
      <c r="D151" s="137"/>
      <c r="E151" s="904"/>
      <c r="F151" s="150"/>
      <c r="G151" s="1401" t="s">
        <v>199</v>
      </c>
      <c r="H151" s="1402"/>
      <c r="I151" s="1402"/>
      <c r="J151" s="1403"/>
      <c r="K151" s="173">
        <f>K8+K101</f>
        <v>452948288</v>
      </c>
      <c r="L151" s="173">
        <f>L8+L101</f>
        <v>452948288</v>
      </c>
      <c r="M151" s="950">
        <f>M8+M101</f>
        <v>444656763</v>
      </c>
      <c r="N151" s="950">
        <f>M151</f>
        <v>444656763</v>
      </c>
      <c r="O151" s="950">
        <f>N151</f>
        <v>444656763</v>
      </c>
    </row>
    <row r="152" spans="1:15" ht="15" customHeight="1">
      <c r="A152" s="35"/>
      <c r="B152" s="105"/>
      <c r="C152" s="105"/>
      <c r="D152" s="105"/>
      <c r="E152" s="901"/>
      <c r="F152" s="106"/>
      <c r="G152" s="1383" t="s">
        <v>200</v>
      </c>
      <c r="H152" s="1384"/>
      <c r="I152" s="1384"/>
      <c r="J152" s="1385"/>
      <c r="K152" s="400">
        <v>245000</v>
      </c>
      <c r="L152" s="38">
        <v>245000</v>
      </c>
      <c r="M152" s="946">
        <f>M111</f>
        <v>205000</v>
      </c>
      <c r="N152" s="946">
        <f>N111</f>
        <v>205000</v>
      </c>
      <c r="O152" s="946">
        <f>O111</f>
        <v>205000</v>
      </c>
    </row>
    <row r="153" spans="1:15" ht="12.75">
      <c r="A153" s="35"/>
      <c r="B153" s="105"/>
      <c r="C153" s="105"/>
      <c r="D153" s="105"/>
      <c r="E153" s="901"/>
      <c r="F153" s="106"/>
      <c r="G153" s="1383" t="s">
        <v>201</v>
      </c>
      <c r="H153" s="1384"/>
      <c r="I153" s="1384"/>
      <c r="J153" s="1385"/>
      <c r="K153" s="400">
        <f>K122</f>
        <v>2980000</v>
      </c>
      <c r="L153" s="38">
        <f>L122</f>
        <v>2980000</v>
      </c>
      <c r="M153" s="946">
        <f>M122</f>
        <v>12551595</v>
      </c>
      <c r="N153" s="946">
        <f>N122</f>
        <v>12551595</v>
      </c>
      <c r="O153" s="946">
        <f>O122</f>
        <v>12551595</v>
      </c>
    </row>
    <row r="154" spans="1:16" ht="12.75">
      <c r="A154" s="35"/>
      <c r="B154" s="105"/>
      <c r="C154" s="105"/>
      <c r="D154" s="105"/>
      <c r="E154" s="901"/>
      <c r="F154" s="106"/>
      <c r="G154" s="1383" t="s">
        <v>202</v>
      </c>
      <c r="H154" s="1384"/>
      <c r="I154" s="1384"/>
      <c r="J154" s="1385"/>
      <c r="K154" s="400">
        <f>K128</f>
        <v>40915100.88</v>
      </c>
      <c r="L154" s="38">
        <f>L128</f>
        <v>40915100.88</v>
      </c>
      <c r="M154" s="1004">
        <f>M128</f>
        <v>60684696.879999995</v>
      </c>
      <c r="N154" s="1004">
        <f>N128</f>
        <v>60684696.879999995</v>
      </c>
      <c r="O154" s="1004">
        <f>O128</f>
        <v>60684696.879999995</v>
      </c>
      <c r="P154" s="502"/>
    </row>
    <row r="155" spans="1:15" ht="12.75">
      <c r="A155" s="35"/>
      <c r="B155" s="105"/>
      <c r="C155" s="105"/>
      <c r="D155" s="105"/>
      <c r="E155" s="901"/>
      <c r="F155" s="106"/>
      <c r="G155" s="1383" t="s">
        <v>228</v>
      </c>
      <c r="H155" s="1384"/>
      <c r="I155" s="1384"/>
      <c r="J155" s="1385"/>
      <c r="K155" s="38">
        <f>'Rashodi-2020'!O516</f>
        <v>12551595</v>
      </c>
      <c r="L155" s="38">
        <f>'Rashodi-2020'!P516</f>
        <v>60684696.879999995</v>
      </c>
      <c r="M155" s="1005">
        <f>M146</f>
        <v>218195981.22</v>
      </c>
      <c r="N155" s="1005">
        <f>N146</f>
        <v>218195981.22</v>
      </c>
      <c r="O155" s="1005">
        <f>O146</f>
        <v>218195981.22</v>
      </c>
    </row>
    <row r="156" spans="1:15" ht="12.75">
      <c r="A156" s="188"/>
      <c r="B156" s="189"/>
      <c r="C156" s="189"/>
      <c r="D156" s="189"/>
      <c r="E156" s="905"/>
      <c r="F156" s="190"/>
      <c r="G156" s="1383" t="s">
        <v>229</v>
      </c>
      <c r="H156" s="1384"/>
      <c r="I156" s="1384"/>
      <c r="J156" s="1384"/>
      <c r="K156" s="38">
        <f>K148</f>
        <v>60684696.879999995</v>
      </c>
      <c r="L156" s="38">
        <f>L148</f>
        <v>218195981.22</v>
      </c>
      <c r="M156" s="951">
        <f>M148</f>
        <v>90000</v>
      </c>
      <c r="N156" s="951">
        <f>N148</f>
        <v>90000</v>
      </c>
      <c r="O156" s="951">
        <f>O148</f>
        <v>90000</v>
      </c>
    </row>
    <row r="157" spans="1:15" ht="12.75">
      <c r="A157" s="188"/>
      <c r="B157" s="189"/>
      <c r="C157" s="189"/>
      <c r="D157" s="189"/>
      <c r="E157" s="905"/>
      <c r="F157" s="190"/>
      <c r="G157" s="1433" t="s">
        <v>1191</v>
      </c>
      <c r="H157" s="1434"/>
      <c r="I157" s="1434"/>
      <c r="J157" s="1434"/>
      <c r="K157" s="532">
        <f>K140</f>
        <v>218195981.22</v>
      </c>
      <c r="L157" s="191">
        <f>L140</f>
        <v>90000</v>
      </c>
      <c r="M157" s="951">
        <f>M140</f>
        <v>505000</v>
      </c>
      <c r="N157" s="951">
        <f>N140</f>
        <v>505000</v>
      </c>
      <c r="O157" s="951">
        <f>O140</f>
        <v>505000</v>
      </c>
    </row>
    <row r="158" spans="1:15" ht="13.5" thickBot="1">
      <c r="A158" s="39"/>
      <c r="B158" s="151"/>
      <c r="C158" s="151"/>
      <c r="D158" s="151"/>
      <c r="E158" s="906"/>
      <c r="F158" s="152"/>
      <c r="G158" s="1377" t="s">
        <v>130</v>
      </c>
      <c r="H158" s="1378"/>
      <c r="I158" s="1378"/>
      <c r="J158" s="1379"/>
      <c r="K158" s="40">
        <f>SUM(K151:K157)</f>
        <v>788520661.98</v>
      </c>
      <c r="L158" s="40">
        <f>SUM(L151:L157)</f>
        <v>776059066.98</v>
      </c>
      <c r="M158" s="952">
        <f>SUM(M151:M157)</f>
        <v>736889036.1</v>
      </c>
      <c r="N158" s="952">
        <f>SUM(N151:N157)</f>
        <v>736889036.1</v>
      </c>
      <c r="O158" s="952">
        <f>SUM(O151:O157)</f>
        <v>736889036.1</v>
      </c>
    </row>
    <row r="159" spans="1:11" ht="12.75" customHeight="1" hidden="1">
      <c r="A159" s="29"/>
      <c r="B159" s="29"/>
      <c r="C159" s="29"/>
      <c r="D159" s="29"/>
      <c r="E159" s="892"/>
      <c r="F159" s="29"/>
      <c r="G159" s="29"/>
      <c r="H159" s="29"/>
      <c r="I159" s="29"/>
      <c r="J159" s="29"/>
      <c r="K159" s="393"/>
    </row>
    <row r="160" spans="1:6" ht="12.75" customHeight="1" hidden="1">
      <c r="A160" s="1376"/>
      <c r="B160" s="1376"/>
      <c r="C160" s="1376"/>
      <c r="D160" s="1376"/>
      <c r="E160" s="1376"/>
      <c r="F160" s="1376"/>
    </row>
    <row r="161" ht="12.75" customHeight="1" hidden="1">
      <c r="H161" s="502"/>
    </row>
    <row r="162" spans="1:11" ht="12.75" customHeight="1" hidden="1">
      <c r="A162" s="1376"/>
      <c r="B162" s="1376"/>
      <c r="C162" s="1376"/>
      <c r="D162" s="1376"/>
      <c r="E162" s="1376"/>
      <c r="F162" s="1376"/>
      <c r="K162" s="406"/>
    </row>
    <row r="163" spans="12:15" ht="12.75" customHeight="1" hidden="1">
      <c r="L163" s="41"/>
      <c r="M163" s="41"/>
      <c r="N163" s="41"/>
      <c r="O163" s="41"/>
    </row>
    <row r="164" spans="8:16" ht="12.75" customHeight="1" hidden="1">
      <c r="H164" s="581" t="s">
        <v>1192</v>
      </c>
      <c r="I164" s="1435">
        <f>M151+M152+M153+M154+M157</f>
        <v>518603054.88</v>
      </c>
      <c r="J164" s="1436"/>
      <c r="K164" s="181">
        <v>0.1</v>
      </c>
      <c r="L164" s="26">
        <v>0.1</v>
      </c>
      <c r="M164" s="567">
        <v>0.1</v>
      </c>
      <c r="N164" s="567"/>
      <c r="O164" s="567"/>
      <c r="P164" s="43"/>
    </row>
    <row r="165" spans="13:16" ht="12.75" customHeight="1" hidden="1">
      <c r="M165" s="77"/>
      <c r="N165" s="77"/>
      <c r="O165" s="77"/>
      <c r="P165" s="570"/>
    </row>
    <row r="166" spans="13:15" ht="12.75" customHeight="1" hidden="1">
      <c r="M166" s="77"/>
      <c r="N166" s="77"/>
      <c r="O166" s="77"/>
    </row>
    <row r="167" spans="9:10" ht="12.75" customHeight="1" hidden="1">
      <c r="I167" s="1427">
        <f>I164*M164</f>
        <v>51860305.488000005</v>
      </c>
      <c r="J167" s="1427"/>
    </row>
    <row r="168" spans="9:10" ht="12.75" customHeight="1" hidden="1">
      <c r="I168" s="1428" t="s">
        <v>1203</v>
      </c>
      <c r="J168" s="1428"/>
    </row>
    <row r="169" spans="9:10" ht="12.75" customHeight="1" hidden="1">
      <c r="I169" s="568"/>
      <c r="J169" s="568"/>
    </row>
    <row r="170" ht="12.75" customHeight="1" hidden="1"/>
    <row r="171" ht="12.75" customHeight="1" hidden="1"/>
    <row r="172" spans="8:15" ht="12.75" customHeight="1" hidden="1">
      <c r="H172" s="1">
        <f>'Rashodi-2020'!M516-'Prihodi-2020.'!M151</f>
        <v>0</v>
      </c>
      <c r="K172" s="181">
        <f>K151+K152+K153+K154+K157</f>
        <v>715284370.1</v>
      </c>
      <c r="L172" s="26">
        <f>L151+L152+L153+L154+L157</f>
        <v>497178388.88</v>
      </c>
      <c r="M172" s="43">
        <f>M151+M152+M153+M154+M157</f>
        <v>518603054.88</v>
      </c>
      <c r="N172" s="43"/>
      <c r="O172" s="43"/>
    </row>
    <row r="173" ht="12.75" customHeight="1" hidden="1"/>
    <row r="174" ht="12.75" customHeight="1" hidden="1"/>
    <row r="175" ht="12.75" customHeight="1" hidden="1"/>
    <row r="176" ht="12.75" customHeight="1" hidden="1"/>
    <row r="177" spans="11:13" ht="12.75" customHeight="1" hidden="1">
      <c r="K177" s="181">
        <f>K151+K152+K153+K154+K157</f>
        <v>715284370.1</v>
      </c>
      <c r="L177" s="26">
        <f>L151+L152+L153+L154+L157</f>
        <v>497178388.88</v>
      </c>
      <c r="M177" s="43">
        <f>M151+M152+M153+M154+M157</f>
        <v>518603054.88</v>
      </c>
    </row>
    <row r="178" spans="11:13" ht="12.75" customHeight="1" hidden="1">
      <c r="K178" s="181">
        <f>K177+K146+K148</f>
        <v>788520661.98</v>
      </c>
      <c r="L178" s="26">
        <f>L177+L146+L148</f>
        <v>776059066.98</v>
      </c>
      <c r="M178" s="43">
        <f>M177+M146+M148</f>
        <v>736889036.1</v>
      </c>
    </row>
    <row r="179" spans="11:13" ht="12.75" customHeight="1" hidden="1">
      <c r="K179" s="181">
        <f>K178-K177</f>
        <v>73236291.88</v>
      </c>
      <c r="L179" s="26">
        <f>L178-L177</f>
        <v>278880678.1</v>
      </c>
      <c r="M179" s="43">
        <f>M178-M177</f>
        <v>218285981.22000003</v>
      </c>
    </row>
    <row r="180" ht="12.75" customHeight="1" hidden="1"/>
    <row r="181" ht="12.75" customHeight="1" hidden="1"/>
    <row r="182" ht="12.75" customHeight="1" hidden="1">
      <c r="M182" s="77">
        <f>M151+M152+M153+M154+M157</f>
        <v>518603054.88</v>
      </c>
    </row>
    <row r="183" ht="12.75" customHeight="1" hidden="1"/>
    <row r="184" ht="12.75" customHeight="1" hidden="1"/>
    <row r="185" ht="12.75" customHeight="1" hidden="1">
      <c r="M185" s="41">
        <f>M156+M155</f>
        <v>218285981.22</v>
      </c>
    </row>
    <row r="186" ht="12.75" customHeight="1" hidden="1">
      <c r="H186" s="271"/>
    </row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>
      <c r="M191" s="77"/>
    </row>
  </sheetData>
  <sheetProtection/>
  <mergeCells count="99">
    <mergeCell ref="P39:Q39"/>
    <mergeCell ref="G157:J157"/>
    <mergeCell ref="I164:J164"/>
    <mergeCell ref="G156:J156"/>
    <mergeCell ref="G132:J132"/>
    <mergeCell ref="G152:J152"/>
    <mergeCell ref="G126:J126"/>
    <mergeCell ref="G103:J103"/>
    <mergeCell ref="G140:J140"/>
    <mergeCell ref="G144:J144"/>
    <mergeCell ref="I167:J167"/>
    <mergeCell ref="I168:J168"/>
    <mergeCell ref="G26:H26"/>
    <mergeCell ref="G105:J105"/>
    <mergeCell ref="G123:H123"/>
    <mergeCell ref="G118:J118"/>
    <mergeCell ref="G137:J137"/>
    <mergeCell ref="G119:I119"/>
    <mergeCell ref="G70:J70"/>
    <mergeCell ref="G131:J131"/>
    <mergeCell ref="B4:M4"/>
    <mergeCell ref="G111:J111"/>
    <mergeCell ref="G6:J6"/>
    <mergeCell ref="G7:J7"/>
    <mergeCell ref="G8:J8"/>
    <mergeCell ref="G48:J48"/>
    <mergeCell ref="G10:J10"/>
    <mergeCell ref="G22:I22"/>
    <mergeCell ref="G96:J96"/>
    <mergeCell ref="G11:H11"/>
    <mergeCell ref="G18:H18"/>
    <mergeCell ref="G50:H50"/>
    <mergeCell ref="G109:J109"/>
    <mergeCell ref="G97:I97"/>
    <mergeCell ref="G12:J12"/>
    <mergeCell ref="G24:H24"/>
    <mergeCell ref="G21:J21"/>
    <mergeCell ref="G27:I27"/>
    <mergeCell ref="G30:I30"/>
    <mergeCell ref="G66:J66"/>
    <mergeCell ref="G15:I15"/>
    <mergeCell ref="G38:I38"/>
    <mergeCell ref="G57:H57"/>
    <mergeCell ref="G34:J34"/>
    <mergeCell ref="G59:J59"/>
    <mergeCell ref="G52:J52"/>
    <mergeCell ref="G39:I39"/>
    <mergeCell ref="G40:J40"/>
    <mergeCell ref="G44:J44"/>
    <mergeCell ref="G47:J47"/>
    <mergeCell ref="G41:J41"/>
    <mergeCell ref="G85:J85"/>
    <mergeCell ref="G84:J84"/>
    <mergeCell ref="G55:J55"/>
    <mergeCell ref="G65:I65"/>
    <mergeCell ref="G32:J32"/>
    <mergeCell ref="G77:J77"/>
    <mergeCell ref="G74:J74"/>
    <mergeCell ref="G83:I83"/>
    <mergeCell ref="G108:J108"/>
    <mergeCell ref="G42:J42"/>
    <mergeCell ref="G43:J43"/>
    <mergeCell ref="G53:J53"/>
    <mergeCell ref="G93:J93"/>
    <mergeCell ref="G69:J69"/>
    <mergeCell ref="G95:J95"/>
    <mergeCell ref="G88:J88"/>
    <mergeCell ref="G101:J101"/>
    <mergeCell ref="G94:J94"/>
    <mergeCell ref="G151:J151"/>
    <mergeCell ref="G56:J56"/>
    <mergeCell ref="G51:J51"/>
    <mergeCell ref="G114:J114"/>
    <mergeCell ref="G117:J117"/>
    <mergeCell ref="G67:J67"/>
    <mergeCell ref="G91:J91"/>
    <mergeCell ref="G102:J102"/>
    <mergeCell ref="G76:J76"/>
    <mergeCell ref="G107:J107"/>
    <mergeCell ref="G155:J155"/>
    <mergeCell ref="G104:J104"/>
    <mergeCell ref="G153:J153"/>
    <mergeCell ref="G90:J90"/>
    <mergeCell ref="G125:J125"/>
    <mergeCell ref="G143:J143"/>
    <mergeCell ref="G146:J146"/>
    <mergeCell ref="G115:J115"/>
    <mergeCell ref="G113:J113"/>
    <mergeCell ref="G120:J120"/>
    <mergeCell ref="G138:J138"/>
    <mergeCell ref="G141:H141"/>
    <mergeCell ref="A162:F162"/>
    <mergeCell ref="A160:F160"/>
    <mergeCell ref="G158:J158"/>
    <mergeCell ref="G122:J122"/>
    <mergeCell ref="G128:J128"/>
    <mergeCell ref="G129:H129"/>
    <mergeCell ref="G154:J154"/>
    <mergeCell ref="G148:J148"/>
  </mergeCells>
  <printOptions horizontalCentered="1" verticalCentered="1"/>
  <pageMargins left="0.5118110236220472" right="0.15748031496062992" top="0.2362204724409449" bottom="0.1968503937007874" header="0.2755905511811024" footer="0.15748031496062992"/>
  <pageSetup horizontalDpi="600" verticalDpi="600" orientation="landscape" scale="65" r:id="rId2"/>
  <headerFooter alignWithMargins="0">
    <oddFooter>&amp;CPage &amp;P of &amp;N</oddFooter>
  </headerFooter>
  <rowBreaks count="3" manualBreakCount="3">
    <brk id="74" max="18" man="1"/>
    <brk id="158" max="13" man="1"/>
    <brk id="159" max="255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G31"/>
  <sheetViews>
    <sheetView zoomScalePageLayoutView="0" workbookViewId="0" topLeftCell="A8">
      <selection activeCell="D16" sqref="D16"/>
    </sheetView>
  </sheetViews>
  <sheetFormatPr defaultColWidth="9.140625" defaultRowHeight="12.75"/>
  <cols>
    <col min="1" max="2" width="9.140625" style="1" customWidth="1"/>
    <col min="3" max="3" width="40.57421875" style="1" customWidth="1"/>
    <col min="4" max="4" width="22.140625" style="1" customWidth="1"/>
    <col min="5" max="6" width="9.140625" style="1" customWidth="1"/>
    <col min="7" max="7" width="13.8515625" style="1" bestFit="1" customWidth="1"/>
    <col min="8" max="16384" width="9.140625" style="1" customWidth="1"/>
  </cols>
  <sheetData>
    <row r="5" ht="13.5" thickBot="1"/>
    <row r="6" spans="2:4" ht="26.25" thickBot="1">
      <c r="B6" s="2" t="s">
        <v>54</v>
      </c>
      <c r="C6" s="3" t="s">
        <v>55</v>
      </c>
      <c r="D6" s="4" t="s">
        <v>1550</v>
      </c>
    </row>
    <row r="7" spans="2:6" ht="30.75" customHeight="1" thickBot="1">
      <c r="B7" s="202">
        <v>32</v>
      </c>
      <c r="C7" s="203" t="s">
        <v>231</v>
      </c>
      <c r="D7" s="204">
        <f>'Prihodi-2020.'!M146</f>
        <v>218195981.22</v>
      </c>
      <c r="E7" s="194"/>
      <c r="F7" s="195"/>
    </row>
    <row r="8" spans="2:6" ht="32.25" customHeight="1" thickBot="1">
      <c r="B8" s="202">
        <v>31</v>
      </c>
      <c r="C8" s="203" t="s">
        <v>232</v>
      </c>
      <c r="D8" s="204">
        <f>'Prihodi-2020.'!M148</f>
        <v>90000</v>
      </c>
      <c r="E8" s="194"/>
      <c r="F8" s="195"/>
    </row>
    <row r="9" spans="2:4" ht="33" customHeight="1" thickBot="1">
      <c r="B9" s="5"/>
      <c r="C9" s="6" t="s">
        <v>56</v>
      </c>
      <c r="D9" s="7">
        <f>SUM(D10:D13)</f>
        <v>444656763</v>
      </c>
    </row>
    <row r="10" spans="2:4" ht="13.5" thickBot="1">
      <c r="B10" s="8">
        <v>71</v>
      </c>
      <c r="C10" s="9" t="s">
        <v>57</v>
      </c>
      <c r="D10" s="10">
        <f>SUM('Prihodi-2020.'!M9,'Prihodi-2020.'!M22,'Prihodi-2020.'!M26,'Prihodi-2020.'!M38,'Prihodi-2020.'!M50)</f>
        <v>201270472</v>
      </c>
    </row>
    <row r="11" spans="2:4" ht="13.5" thickBot="1">
      <c r="B11" s="8">
        <v>73</v>
      </c>
      <c r="C11" s="9" t="s">
        <v>58</v>
      </c>
      <c r="D11" s="10">
        <f>SUM('Prihodi-2020.'!M54)</f>
        <v>160771510</v>
      </c>
    </row>
    <row r="12" spans="2:4" ht="13.5" thickBot="1">
      <c r="B12" s="8">
        <v>74</v>
      </c>
      <c r="C12" s="9" t="s">
        <v>59</v>
      </c>
      <c r="D12" s="10">
        <f>SUM('Prihodi-2020.'!M57,'Prihodi-2020.'!M74,'Prihodi-2020.'!M87,'Prihodi-2020.'!M91,'Prihodi-2020.'!M96)</f>
        <v>82546781</v>
      </c>
    </row>
    <row r="13" spans="2:4" ht="13.5" customHeight="1" thickBot="1">
      <c r="B13" s="735" t="s">
        <v>1336</v>
      </c>
      <c r="C13" s="736" t="s">
        <v>1337</v>
      </c>
      <c r="D13" s="11">
        <f>'Prihodi-2020.'!M101</f>
        <v>68000</v>
      </c>
    </row>
    <row r="14" spans="2:4" ht="33" customHeight="1" thickBot="1">
      <c r="B14" s="12"/>
      <c r="C14" s="2" t="s">
        <v>60</v>
      </c>
      <c r="D14" s="13">
        <f>SUM(D15:D15)</f>
        <v>205000</v>
      </c>
    </row>
    <row r="15" spans="2:4" ht="13.5" thickBot="1">
      <c r="B15" s="8">
        <v>74</v>
      </c>
      <c r="C15" s="9" t="s">
        <v>59</v>
      </c>
      <c r="D15" s="10">
        <f>SUM('Prihodi-2020.'!M115:M118)</f>
        <v>205000</v>
      </c>
    </row>
    <row r="16" spans="2:4" ht="38.25" customHeight="1" thickBot="1">
      <c r="B16" s="14"/>
      <c r="C16" s="6" t="s">
        <v>61</v>
      </c>
      <c r="D16" s="7">
        <f>D17</f>
        <v>12551595</v>
      </c>
    </row>
    <row r="17" spans="2:4" ht="12.75">
      <c r="B17" s="15">
        <v>73</v>
      </c>
      <c r="C17" s="16" t="s">
        <v>58</v>
      </c>
      <c r="D17" s="17">
        <f>SUM('Prihodi-2020.'!M124)</f>
        <v>12551595</v>
      </c>
    </row>
    <row r="18" spans="2:4" ht="33" customHeight="1" thickBot="1">
      <c r="B18" s="166"/>
      <c r="C18" s="167" t="s">
        <v>62</v>
      </c>
      <c r="D18" s="168">
        <f>SUM(D19:D19)</f>
        <v>60684696.879999995</v>
      </c>
    </row>
    <row r="19" spans="2:4" ht="13.5" thickBot="1">
      <c r="B19" s="8">
        <v>73</v>
      </c>
      <c r="C19" s="9" t="s">
        <v>63</v>
      </c>
      <c r="D19" s="10">
        <f>SUM('Prihodi-2020.'!M130)</f>
        <v>60684696.879999995</v>
      </c>
    </row>
    <row r="20" spans="2:6" ht="33" customHeight="1" thickBot="1">
      <c r="B20" s="5"/>
      <c r="C20" s="582" t="s">
        <v>1205</v>
      </c>
      <c r="D20" s="585">
        <f>D21</f>
        <v>505000</v>
      </c>
      <c r="E20" s="583"/>
      <c r="F20" s="584"/>
    </row>
    <row r="21" spans="2:4" ht="13.5" thickBot="1">
      <c r="B21" s="402" t="s">
        <v>1206</v>
      </c>
      <c r="C21" s="9" t="s">
        <v>59</v>
      </c>
      <c r="D21" s="10">
        <f>'Prihodi-2020.'!M140</f>
        <v>505000</v>
      </c>
    </row>
    <row r="22" spans="2:4" ht="13.5" thickBot="1">
      <c r="B22" s="18"/>
      <c r="C22" s="19"/>
      <c r="D22" s="13"/>
    </row>
    <row r="23" spans="2:4" ht="13.5" thickBot="1">
      <c r="B23" s="20"/>
      <c r="C23" s="21" t="s">
        <v>64</v>
      </c>
      <c r="D23" s="7">
        <f>D9</f>
        <v>444656763</v>
      </c>
    </row>
    <row r="24" spans="2:4" ht="13.5" thickBot="1">
      <c r="B24" s="20"/>
      <c r="C24" s="21" t="s">
        <v>65</v>
      </c>
      <c r="D24" s="7">
        <f>D14</f>
        <v>205000</v>
      </c>
    </row>
    <row r="25" spans="2:4" ht="13.5" thickBot="1">
      <c r="B25" s="20"/>
      <c r="C25" s="21" t="s">
        <v>66</v>
      </c>
      <c r="D25" s="7">
        <f>'Prihodi-2020.'!M153</f>
        <v>12551595</v>
      </c>
    </row>
    <row r="26" spans="2:4" ht="13.5" thickBot="1">
      <c r="B26" s="20"/>
      <c r="C26" s="21" t="s">
        <v>67</v>
      </c>
      <c r="D26" s="7">
        <f>'Prihodi-2020.'!M154</f>
        <v>60684696.879999995</v>
      </c>
    </row>
    <row r="27" spans="2:7" ht="13.5" thickBot="1">
      <c r="B27" s="18"/>
      <c r="C27" s="198" t="s">
        <v>1338</v>
      </c>
      <c r="D27" s="199">
        <f>'Prihodi-2020.'!M155</f>
        <v>218195981.22</v>
      </c>
      <c r="E27" s="196"/>
      <c r="F27" s="196"/>
      <c r="G27" s="197"/>
    </row>
    <row r="28" spans="2:7" ht="13.5" thickBot="1">
      <c r="B28" s="18"/>
      <c r="C28" s="198" t="s">
        <v>229</v>
      </c>
      <c r="D28" s="199">
        <f>'Prihodi-2020.'!M156</f>
        <v>90000</v>
      </c>
      <c r="E28" s="196"/>
      <c r="F28" s="196"/>
      <c r="G28" s="196"/>
    </row>
    <row r="29" spans="2:7" ht="13.5" thickBot="1">
      <c r="B29" s="20"/>
      <c r="C29" s="198" t="s">
        <v>1339</v>
      </c>
      <c r="D29" s="193">
        <f>'Prihodi-2020.'!M157</f>
        <v>505000</v>
      </c>
      <c r="E29" s="196"/>
      <c r="F29" s="196"/>
      <c r="G29" s="196"/>
    </row>
    <row r="30" spans="2:7" ht="13.5" thickBot="1">
      <c r="B30" s="20"/>
      <c r="C30" s="200"/>
      <c r="D30" s="193"/>
      <c r="E30" s="196"/>
      <c r="F30" s="196"/>
      <c r="G30" s="196"/>
    </row>
    <row r="31" spans="2:4" ht="13.5" thickBot="1">
      <c r="B31" s="20"/>
      <c r="C31" s="21" t="s">
        <v>1549</v>
      </c>
      <c r="D31" s="7">
        <f>SUM(D23:D30)</f>
        <v>736889036.1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0"/>
  <sheetViews>
    <sheetView zoomScalePageLayoutView="0" workbookViewId="0" topLeftCell="A10">
      <selection activeCell="E37" sqref="E37"/>
    </sheetView>
  </sheetViews>
  <sheetFormatPr defaultColWidth="7.7109375" defaultRowHeight="12.75"/>
  <cols>
    <col min="1" max="1" width="7.140625" style="205" customWidth="1"/>
    <col min="2" max="2" width="7.140625" style="241" customWidth="1"/>
    <col min="3" max="3" width="54.28125" style="205" customWidth="1"/>
    <col min="4" max="4" width="20.421875" style="250" customWidth="1"/>
    <col min="5" max="5" width="22.28125" style="205" customWidth="1"/>
    <col min="6" max="6" width="18.7109375" style="205" customWidth="1"/>
    <col min="7" max="27" width="7.7109375" style="208" customWidth="1"/>
    <col min="28" max="16384" width="7.7109375" style="205" customWidth="1"/>
  </cols>
  <sheetData>
    <row r="1" spans="2:6" ht="16.5">
      <c r="B1" s="237" t="s">
        <v>234</v>
      </c>
      <c r="C1" s="206"/>
      <c r="E1" s="206"/>
      <c r="F1" s="207"/>
    </row>
    <row r="2" spans="2:6" ht="15">
      <c r="B2" s="238"/>
      <c r="C2" s="206"/>
      <c r="E2" s="207" t="s">
        <v>235</v>
      </c>
      <c r="F2" s="209"/>
    </row>
    <row r="3" spans="1:5" ht="36" customHeight="1" thickBot="1">
      <c r="A3" s="210"/>
      <c r="B3" s="239"/>
      <c r="C3" s="213" t="s">
        <v>236</v>
      </c>
      <c r="D3" s="251" t="s">
        <v>252</v>
      </c>
      <c r="E3" s="214" t="s">
        <v>237</v>
      </c>
    </row>
    <row r="4" spans="1:5" ht="33">
      <c r="A4" s="211"/>
      <c r="B4" s="242"/>
      <c r="C4" s="226" t="s">
        <v>238</v>
      </c>
      <c r="D4" s="252"/>
      <c r="E4" s="227"/>
    </row>
    <row r="5" spans="1:27" s="206" customFormat="1" ht="30">
      <c r="A5" s="212"/>
      <c r="B5" s="245"/>
      <c r="C5" s="215" t="s">
        <v>239</v>
      </c>
      <c r="D5" s="253" t="s">
        <v>279</v>
      </c>
      <c r="E5" s="228">
        <f>E6+E16</f>
        <v>518603054.88</v>
      </c>
      <c r="F5" s="264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1:27" s="206" customFormat="1" ht="15">
      <c r="A6" s="212"/>
      <c r="B6" s="246"/>
      <c r="C6" s="216" t="s">
        <v>240</v>
      </c>
      <c r="D6" s="254">
        <v>7</v>
      </c>
      <c r="E6" s="229">
        <f>E7+E12+E14+E15</f>
        <v>518535054.88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</row>
    <row r="7" spans="1:27" s="206" customFormat="1" ht="15">
      <c r="A7" s="212"/>
      <c r="B7" s="247" t="s">
        <v>254</v>
      </c>
      <c r="C7" s="217" t="s">
        <v>253</v>
      </c>
      <c r="D7" s="255">
        <v>71</v>
      </c>
      <c r="E7" s="230">
        <f>'Prihodi-2020.'!M10+'Prihodi-2020.'!M26+'Prihodi-2020.'!M38+'Prihodi-2020.'!M50</f>
        <v>201270472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7" s="206" customFormat="1" ht="15">
      <c r="A8" s="212"/>
      <c r="B8" s="248" t="s">
        <v>73</v>
      </c>
      <c r="C8" s="218" t="s">
        <v>255</v>
      </c>
      <c r="D8" s="256">
        <v>711</v>
      </c>
      <c r="E8" s="231">
        <f>'Prihodi-2020.'!M9</f>
        <v>136943000</v>
      </c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</row>
    <row r="9" spans="1:27" s="206" customFormat="1" ht="15.75">
      <c r="A9" s="212"/>
      <c r="B9" s="248" t="s">
        <v>257</v>
      </c>
      <c r="C9" s="219" t="s">
        <v>256</v>
      </c>
      <c r="D9" s="257">
        <v>713</v>
      </c>
      <c r="E9" s="231">
        <f>'Prihodi-2020.'!M26</f>
        <v>49242472</v>
      </c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</row>
    <row r="10" spans="1:27" s="206" customFormat="1" ht="15.75">
      <c r="A10" s="212"/>
      <c r="B10" s="248" t="s">
        <v>259</v>
      </c>
      <c r="C10" s="219" t="s">
        <v>258</v>
      </c>
      <c r="D10" s="257">
        <v>714</v>
      </c>
      <c r="E10" s="231">
        <f>'Prihodi-2020.'!M38</f>
        <v>7160000</v>
      </c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</row>
    <row r="11" spans="1:27" s="206" customFormat="1" ht="15.75">
      <c r="A11" s="212"/>
      <c r="B11" s="248" t="s">
        <v>1178</v>
      </c>
      <c r="C11" s="219" t="s">
        <v>260</v>
      </c>
      <c r="D11" s="257">
        <v>716</v>
      </c>
      <c r="E11" s="231">
        <f>'Prihodi-2020.'!M50</f>
        <v>7925000</v>
      </c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</row>
    <row r="12" spans="1:27" s="206" customFormat="1" ht="15.75">
      <c r="A12" s="212"/>
      <c r="B12" s="248" t="s">
        <v>261</v>
      </c>
      <c r="C12" s="219" t="s">
        <v>262</v>
      </c>
      <c r="D12" s="257">
        <v>74</v>
      </c>
      <c r="E12" s="231">
        <f>'Prihodi-2020.'!M57+'Prihodi-2020.'!M74+'Prihodi-2020.'!M87+'Prihodi-2020.'!M96+'Prihodi-2020.'!M116+'Prihodi-2020.'!M142</f>
        <v>83256781</v>
      </c>
      <c r="F12" s="26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</row>
    <row r="13" spans="1:27" s="206" customFormat="1" ht="15.75">
      <c r="A13" s="212"/>
      <c r="B13" s="248"/>
      <c r="C13" s="219" t="s">
        <v>263</v>
      </c>
      <c r="D13" s="257">
        <v>7411</v>
      </c>
      <c r="E13" s="231">
        <f>'Prihodi-2020.'!M92+'Prihodi-2020.'!M58</f>
        <v>3300000</v>
      </c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</row>
    <row r="14" spans="1:27" s="206" customFormat="1" ht="15.75">
      <c r="A14" s="212"/>
      <c r="B14" s="248" t="s">
        <v>264</v>
      </c>
      <c r="C14" s="219" t="s">
        <v>265</v>
      </c>
      <c r="D14" s="257" t="s">
        <v>52</v>
      </c>
      <c r="E14" s="231">
        <f>'Prihodi-2020.'!M124</f>
        <v>12551595</v>
      </c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</row>
    <row r="15" spans="1:27" s="206" customFormat="1" ht="15.75">
      <c r="A15" s="212"/>
      <c r="B15" s="248" t="s">
        <v>266</v>
      </c>
      <c r="C15" s="219" t="s">
        <v>267</v>
      </c>
      <c r="D15" s="257">
        <v>733</v>
      </c>
      <c r="E15" s="231">
        <f>'Prihodi-2020.'!M54+'Prihodi-2020.'!M130</f>
        <v>221456206.88</v>
      </c>
      <c r="F15" s="264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</row>
    <row r="16" spans="1:27" s="206" customFormat="1" ht="30">
      <c r="A16" s="212"/>
      <c r="B16" s="246"/>
      <c r="C16" s="220" t="s">
        <v>241</v>
      </c>
      <c r="D16" s="265">
        <v>8</v>
      </c>
      <c r="E16" s="266">
        <f>'Prihodi-2020.'!M101</f>
        <v>68000</v>
      </c>
      <c r="F16" s="264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</row>
    <row r="17" spans="1:27" s="206" customFormat="1" ht="30">
      <c r="A17" s="212"/>
      <c r="B17" s="243"/>
      <c r="C17" s="215" t="s">
        <v>242</v>
      </c>
      <c r="D17" s="253" t="s">
        <v>280</v>
      </c>
      <c r="E17" s="232">
        <f>E18+E30</f>
        <v>736889036.1</v>
      </c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</row>
    <row r="18" spans="1:27" s="206" customFormat="1" ht="15">
      <c r="A18" s="212"/>
      <c r="B18" s="246"/>
      <c r="C18" s="220" t="s">
        <v>243</v>
      </c>
      <c r="D18" s="258">
        <v>4</v>
      </c>
      <c r="E18" s="233">
        <f>SUM(E19:E29)</f>
        <v>543961661</v>
      </c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</row>
    <row r="19" spans="1:27" s="206" customFormat="1" ht="15.75">
      <c r="A19" s="212"/>
      <c r="B19" s="248" t="s">
        <v>254</v>
      </c>
      <c r="C19" s="219" t="s">
        <v>268</v>
      </c>
      <c r="D19" s="257">
        <v>41</v>
      </c>
      <c r="E19" s="231">
        <f>'rash.po nam.'!J5</f>
        <v>112181878</v>
      </c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</row>
    <row r="20" spans="1:27" s="206" customFormat="1" ht="15.75">
      <c r="A20" s="212"/>
      <c r="B20" s="248" t="s">
        <v>261</v>
      </c>
      <c r="C20" s="219" t="s">
        <v>269</v>
      </c>
      <c r="D20" s="257">
        <v>42</v>
      </c>
      <c r="E20" s="231">
        <f>'rash.po nam.'!J12</f>
        <v>249957799</v>
      </c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</row>
    <row r="21" spans="1:27" s="206" customFormat="1" ht="15.75">
      <c r="A21" s="212"/>
      <c r="B21" s="248" t="s">
        <v>264</v>
      </c>
      <c r="C21" s="219" t="s">
        <v>39</v>
      </c>
      <c r="D21" s="257">
        <v>43</v>
      </c>
      <c r="E21" s="231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</row>
    <row r="22" spans="1:27" s="206" customFormat="1" ht="15.75">
      <c r="A22" s="212"/>
      <c r="B22" s="248" t="s">
        <v>271</v>
      </c>
      <c r="C22" s="219" t="s">
        <v>270</v>
      </c>
      <c r="D22" s="257">
        <v>44</v>
      </c>
      <c r="E22" s="231">
        <f>'rash.po nam.'!J19</f>
        <v>71000</v>
      </c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</row>
    <row r="23" spans="1:27" s="206" customFormat="1" ht="15.75">
      <c r="A23" s="212"/>
      <c r="B23" s="248" t="s">
        <v>273</v>
      </c>
      <c r="C23" s="219" t="s">
        <v>272</v>
      </c>
      <c r="D23" s="257">
        <v>45</v>
      </c>
      <c r="E23" s="231">
        <f>'rash.po nam.'!J22</f>
        <v>23500000</v>
      </c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</row>
    <row r="24" spans="1:27" s="206" customFormat="1" ht="15.75">
      <c r="A24" s="212"/>
      <c r="B24" s="248" t="s">
        <v>273</v>
      </c>
      <c r="C24" s="219" t="s">
        <v>274</v>
      </c>
      <c r="D24" s="257">
        <v>47</v>
      </c>
      <c r="E24" s="231">
        <f>'rash.po nam.'!J28</f>
        <v>27129372</v>
      </c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</row>
    <row r="25" spans="1:27" s="206" customFormat="1" ht="15.75">
      <c r="A25" s="212"/>
      <c r="B25" s="248" t="s">
        <v>275</v>
      </c>
      <c r="C25" s="219" t="s">
        <v>276</v>
      </c>
      <c r="D25" s="257" t="s">
        <v>53</v>
      </c>
      <c r="E25" s="231">
        <f>'rash.po nam.'!J30+'rash.po nam.'!J35</f>
        <v>34683439</v>
      </c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</row>
    <row r="26" spans="1:27" s="206" customFormat="1" ht="15.75">
      <c r="A26" s="212"/>
      <c r="B26" s="248" t="s">
        <v>277</v>
      </c>
      <c r="C26" s="276" t="s">
        <v>43</v>
      </c>
      <c r="D26" s="257">
        <v>463</v>
      </c>
      <c r="E26" s="231">
        <f>'rash.po nam.'!J25</f>
        <v>72778822</v>
      </c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</row>
    <row r="27" spans="1:27" s="206" customFormat="1" ht="15.75">
      <c r="A27" s="212"/>
      <c r="B27" s="248" t="s">
        <v>278</v>
      </c>
      <c r="C27" s="710" t="s">
        <v>1304</v>
      </c>
      <c r="D27" s="257">
        <v>464</v>
      </c>
      <c r="E27" s="231">
        <f>'rash.po nam.'!J26</f>
        <v>21860897</v>
      </c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</row>
    <row r="28" spans="1:27" s="206" customFormat="1" ht="15.75">
      <c r="A28" s="212"/>
      <c r="B28" s="248" t="s">
        <v>1179</v>
      </c>
      <c r="C28" s="277" t="s">
        <v>216</v>
      </c>
      <c r="D28" s="257">
        <v>465</v>
      </c>
      <c r="E28" s="231">
        <f>'rash.po nam.'!J27</f>
        <v>1798454</v>
      </c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</row>
    <row r="29" spans="1:27" s="206" customFormat="1" ht="15.75">
      <c r="A29" s="212"/>
      <c r="B29" s="248"/>
      <c r="C29" s="219"/>
      <c r="D29" s="257"/>
      <c r="E29" s="231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</row>
    <row r="30" spans="1:27" s="206" customFormat="1" ht="30">
      <c r="A30" s="212"/>
      <c r="B30" s="246"/>
      <c r="C30" s="221" t="s">
        <v>244</v>
      </c>
      <c r="D30" s="259">
        <v>5</v>
      </c>
      <c r="E30" s="233">
        <f>'rash.po nam.'!J37</f>
        <v>192927375.1</v>
      </c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</row>
    <row r="31" spans="1:27" s="206" customFormat="1" ht="15">
      <c r="A31" s="212"/>
      <c r="B31" s="243"/>
      <c r="C31" s="222" t="s">
        <v>245</v>
      </c>
      <c r="D31" s="260"/>
      <c r="E31" s="234">
        <f>E5-E17</f>
        <v>-218285981.22000003</v>
      </c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</row>
    <row r="32" spans="1:27" s="206" customFormat="1" ht="30">
      <c r="A32" s="212"/>
      <c r="B32" s="248"/>
      <c r="C32" s="219" t="s">
        <v>246</v>
      </c>
      <c r="D32" s="257">
        <v>62</v>
      </c>
      <c r="E32" s="231">
        <f>'rash.po nam.'!J44</f>
        <v>0</v>
      </c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</row>
    <row r="33" spans="1:27" s="206" customFormat="1" ht="30">
      <c r="A33" s="212"/>
      <c r="B33" s="247"/>
      <c r="C33" s="223" t="s">
        <v>247</v>
      </c>
      <c r="D33" s="261">
        <v>92</v>
      </c>
      <c r="E33" s="231">
        <v>0</v>
      </c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</row>
    <row r="34" spans="1:27" s="206" customFormat="1" ht="30">
      <c r="A34" s="212"/>
      <c r="B34" s="243"/>
      <c r="C34" s="222" t="s">
        <v>248</v>
      </c>
      <c r="D34" s="260"/>
      <c r="E34" s="234">
        <f>E31+E33-E32</f>
        <v>-218285981.22000003</v>
      </c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</row>
    <row r="35" spans="1:27" s="206" customFormat="1" ht="16.5">
      <c r="A35" s="212"/>
      <c r="B35" s="249"/>
      <c r="C35" s="224" t="s">
        <v>249</v>
      </c>
      <c r="D35" s="262"/>
      <c r="E35" s="235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</row>
    <row r="36" spans="1:27" s="206" customFormat="1" ht="15.75">
      <c r="A36" s="212"/>
      <c r="B36" s="248"/>
      <c r="C36" s="219" t="s">
        <v>281</v>
      </c>
      <c r="D36" s="257">
        <v>91</v>
      </c>
      <c r="E36" s="231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</row>
    <row r="37" spans="1:27" s="206" customFormat="1" ht="15.75">
      <c r="A37" s="212"/>
      <c r="B37" s="248"/>
      <c r="C37" s="219" t="s">
        <v>250</v>
      </c>
      <c r="D37" s="257">
        <v>3</v>
      </c>
      <c r="E37" s="231">
        <f>'Prihodi-2020.'!M146+'Prihodi-2020.'!M148</f>
        <v>218285981.22</v>
      </c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</row>
    <row r="38" spans="1:27" s="206" customFormat="1" ht="15.75">
      <c r="A38" s="212"/>
      <c r="B38" s="248"/>
      <c r="C38" s="219" t="s">
        <v>282</v>
      </c>
      <c r="D38" s="257">
        <v>61</v>
      </c>
      <c r="E38" s="231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</row>
    <row r="39" spans="1:27" s="206" customFormat="1" ht="16.5">
      <c r="A39" s="212"/>
      <c r="B39" s="244"/>
      <c r="C39" s="225" t="s">
        <v>251</v>
      </c>
      <c r="D39" s="263"/>
      <c r="E39" s="236">
        <f>E36+E37-E38</f>
        <v>218285981.22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</row>
    <row r="40" spans="2:27" s="206" customFormat="1" ht="15">
      <c r="B40" s="240"/>
      <c r="D40" s="250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</row>
    <row r="41" spans="2:27" s="206" customFormat="1" ht="15" hidden="1">
      <c r="B41" s="240"/>
      <c r="D41" s="250"/>
      <c r="E41" s="264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</row>
    <row r="42" spans="2:27" s="206" customFormat="1" ht="15" hidden="1">
      <c r="B42" s="240"/>
      <c r="D42" s="250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</row>
    <row r="43" spans="2:27" s="206" customFormat="1" ht="15" hidden="1">
      <c r="B43" s="240"/>
      <c r="C43" s="535" t="s">
        <v>1188</v>
      </c>
      <c r="D43" s="536">
        <f>E17+E32</f>
        <v>736889036.1</v>
      </c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</row>
    <row r="44" spans="2:27" s="206" customFormat="1" ht="15" hidden="1">
      <c r="B44" s="240"/>
      <c r="C44" s="535" t="s">
        <v>1189</v>
      </c>
      <c r="D44" s="536">
        <f>E5+E37</f>
        <v>736889036.1</v>
      </c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</row>
    <row r="45" spans="2:27" s="206" customFormat="1" ht="15" hidden="1">
      <c r="B45" s="240"/>
      <c r="D45" s="566">
        <f>D43-D44</f>
        <v>0</v>
      </c>
      <c r="E45" s="264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</row>
    <row r="46" spans="2:27" s="206" customFormat="1" ht="15" hidden="1">
      <c r="B46" s="240"/>
      <c r="D46" s="250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</row>
    <row r="47" spans="2:27" s="206" customFormat="1" ht="15" hidden="1">
      <c r="B47" s="240"/>
      <c r="D47" s="250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</row>
    <row r="48" spans="2:27" s="206" customFormat="1" ht="15">
      <c r="B48" s="240"/>
      <c r="D48" s="250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</row>
    <row r="49" spans="2:27" s="206" customFormat="1" ht="15">
      <c r="B49" s="240"/>
      <c r="D49" s="250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</row>
    <row r="50" spans="2:27" s="206" customFormat="1" ht="15">
      <c r="B50" s="240"/>
      <c r="D50" s="250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</row>
    <row r="51" spans="2:27" s="206" customFormat="1" ht="15">
      <c r="B51" s="240"/>
      <c r="D51" s="250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</row>
    <row r="52" spans="2:27" s="206" customFormat="1" ht="15">
      <c r="B52" s="240"/>
      <c r="D52" s="250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</row>
    <row r="53" spans="2:27" s="206" customFormat="1" ht="15">
      <c r="B53" s="240"/>
      <c r="D53" s="250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</row>
    <row r="54" spans="2:27" s="206" customFormat="1" ht="15">
      <c r="B54" s="240"/>
      <c r="D54" s="250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</row>
    <row r="55" spans="2:27" s="206" customFormat="1" ht="15">
      <c r="B55" s="240"/>
      <c r="D55" s="250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</row>
    <row r="56" spans="2:27" s="206" customFormat="1" ht="15">
      <c r="B56" s="240"/>
      <c r="D56" s="250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</row>
    <row r="57" spans="2:27" s="206" customFormat="1" ht="15">
      <c r="B57" s="240"/>
      <c r="D57" s="250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</row>
    <row r="58" spans="2:27" s="206" customFormat="1" ht="15">
      <c r="B58" s="240"/>
      <c r="D58" s="250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</row>
    <row r="59" spans="2:27" s="206" customFormat="1" ht="15">
      <c r="B59" s="240"/>
      <c r="D59" s="250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</row>
    <row r="60" spans="2:27" s="206" customFormat="1" ht="15">
      <c r="B60" s="240"/>
      <c r="D60" s="250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</row>
    <row r="61" spans="2:27" s="206" customFormat="1" ht="15">
      <c r="B61" s="240"/>
      <c r="D61" s="250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</row>
    <row r="62" spans="2:27" s="206" customFormat="1" ht="15">
      <c r="B62" s="240"/>
      <c r="D62" s="250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</row>
    <row r="63" spans="2:27" s="206" customFormat="1" ht="15">
      <c r="B63" s="240"/>
      <c r="D63" s="250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</row>
    <row r="64" spans="2:27" s="206" customFormat="1" ht="15">
      <c r="B64" s="240"/>
      <c r="D64" s="250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</row>
    <row r="65" spans="2:27" s="206" customFormat="1" ht="15">
      <c r="B65" s="240"/>
      <c r="D65" s="250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</row>
    <row r="66" spans="2:27" s="206" customFormat="1" ht="15">
      <c r="B66" s="240"/>
      <c r="D66" s="250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</row>
    <row r="67" spans="2:27" s="206" customFormat="1" ht="15">
      <c r="B67" s="240"/>
      <c r="D67" s="250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</row>
    <row r="68" spans="2:27" s="206" customFormat="1" ht="15">
      <c r="B68" s="240"/>
      <c r="D68" s="250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</row>
    <row r="69" spans="2:27" s="206" customFormat="1" ht="15">
      <c r="B69" s="240"/>
      <c r="D69" s="250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</row>
    <row r="70" spans="2:27" s="206" customFormat="1" ht="15">
      <c r="B70" s="240"/>
      <c r="D70" s="250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</row>
    <row r="71" spans="2:27" s="206" customFormat="1" ht="15">
      <c r="B71" s="240"/>
      <c r="D71" s="250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</row>
    <row r="72" spans="2:27" s="206" customFormat="1" ht="15">
      <c r="B72" s="240"/>
      <c r="D72" s="250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</row>
    <row r="73" spans="2:27" s="206" customFormat="1" ht="15">
      <c r="B73" s="240"/>
      <c r="D73" s="250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</row>
    <row r="74" spans="2:27" s="206" customFormat="1" ht="15">
      <c r="B74" s="240"/>
      <c r="D74" s="250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</row>
    <row r="75" spans="2:27" s="206" customFormat="1" ht="15">
      <c r="B75" s="240"/>
      <c r="D75" s="250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</row>
    <row r="76" spans="2:27" s="206" customFormat="1" ht="15">
      <c r="B76" s="240"/>
      <c r="D76" s="250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</row>
    <row r="77" spans="2:27" s="206" customFormat="1" ht="15">
      <c r="B77" s="240"/>
      <c r="D77" s="250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</row>
    <row r="78" spans="2:27" s="206" customFormat="1" ht="15">
      <c r="B78" s="240"/>
      <c r="D78" s="250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</row>
    <row r="79" spans="2:27" s="206" customFormat="1" ht="15">
      <c r="B79" s="240"/>
      <c r="D79" s="250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</row>
    <row r="80" spans="2:27" s="206" customFormat="1" ht="15">
      <c r="B80" s="240"/>
      <c r="D80" s="250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</row>
    <row r="81" spans="2:27" s="206" customFormat="1" ht="15">
      <c r="B81" s="240"/>
      <c r="D81" s="250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</row>
    <row r="82" spans="2:27" s="206" customFormat="1" ht="15">
      <c r="B82" s="240"/>
      <c r="D82" s="250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</row>
    <row r="83" spans="2:27" s="206" customFormat="1" ht="15">
      <c r="B83" s="240"/>
      <c r="D83" s="250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</row>
    <row r="84" spans="2:27" s="206" customFormat="1" ht="15">
      <c r="B84" s="240"/>
      <c r="D84" s="250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</row>
    <row r="85" spans="2:27" s="206" customFormat="1" ht="15">
      <c r="B85" s="240"/>
      <c r="D85" s="250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</row>
    <row r="86" spans="2:27" s="206" customFormat="1" ht="15">
      <c r="B86" s="240"/>
      <c r="D86" s="250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</row>
    <row r="87" spans="2:27" s="206" customFormat="1" ht="15">
      <c r="B87" s="240"/>
      <c r="D87" s="250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</row>
    <row r="88" spans="2:27" s="206" customFormat="1" ht="15">
      <c r="B88" s="240"/>
      <c r="D88" s="250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</row>
    <row r="89" spans="2:27" s="206" customFormat="1" ht="15">
      <c r="B89" s="240"/>
      <c r="D89" s="250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</row>
    <row r="90" spans="2:27" s="206" customFormat="1" ht="15">
      <c r="B90" s="240"/>
      <c r="D90" s="250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</row>
    <row r="91" spans="2:27" s="206" customFormat="1" ht="15">
      <c r="B91" s="240"/>
      <c r="D91" s="250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</row>
    <row r="92" spans="2:27" s="206" customFormat="1" ht="15">
      <c r="B92" s="240"/>
      <c r="D92" s="250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</row>
    <row r="93" spans="2:27" s="206" customFormat="1" ht="15">
      <c r="B93" s="240"/>
      <c r="D93" s="250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</row>
    <row r="94" spans="2:27" s="206" customFormat="1" ht="15">
      <c r="B94" s="240"/>
      <c r="D94" s="250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</row>
    <row r="95" spans="2:27" s="206" customFormat="1" ht="15">
      <c r="B95" s="240"/>
      <c r="D95" s="250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</row>
    <row r="96" spans="2:27" s="206" customFormat="1" ht="15">
      <c r="B96" s="240"/>
      <c r="D96" s="250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</row>
    <row r="97" spans="2:27" s="206" customFormat="1" ht="15">
      <c r="B97" s="240"/>
      <c r="D97" s="250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</row>
    <row r="98" spans="2:27" s="206" customFormat="1" ht="15">
      <c r="B98" s="240"/>
      <c r="D98" s="250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</row>
    <row r="99" spans="2:27" s="206" customFormat="1" ht="15">
      <c r="B99" s="240"/>
      <c r="D99" s="250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</row>
    <row r="100" spans="2:27" s="206" customFormat="1" ht="15">
      <c r="B100" s="240"/>
      <c r="D100" s="250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</row>
    <row r="101" spans="2:27" s="206" customFormat="1" ht="15">
      <c r="B101" s="240"/>
      <c r="D101" s="250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</row>
    <row r="102" spans="2:27" s="206" customFormat="1" ht="15">
      <c r="B102" s="240"/>
      <c r="D102" s="250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</row>
    <row r="103" spans="2:27" s="206" customFormat="1" ht="15">
      <c r="B103" s="240"/>
      <c r="D103" s="250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</row>
    <row r="104" spans="2:27" s="206" customFormat="1" ht="15">
      <c r="B104" s="240"/>
      <c r="D104" s="250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</row>
    <row r="105" spans="2:27" s="206" customFormat="1" ht="15">
      <c r="B105" s="240"/>
      <c r="D105" s="250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</row>
    <row r="106" spans="2:27" s="206" customFormat="1" ht="15">
      <c r="B106" s="240"/>
      <c r="D106" s="250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</row>
    <row r="107" spans="2:27" s="206" customFormat="1" ht="15">
      <c r="B107" s="240"/>
      <c r="D107" s="250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</row>
    <row r="108" spans="2:27" s="206" customFormat="1" ht="15">
      <c r="B108" s="240"/>
      <c r="D108" s="250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</row>
    <row r="109" spans="2:27" s="206" customFormat="1" ht="15">
      <c r="B109" s="240"/>
      <c r="D109" s="250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</row>
    <row r="110" spans="2:27" s="206" customFormat="1" ht="15">
      <c r="B110" s="240"/>
      <c r="D110" s="250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</row>
    <row r="111" spans="2:27" s="206" customFormat="1" ht="15">
      <c r="B111" s="240"/>
      <c r="D111" s="250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</row>
    <row r="112" spans="2:27" s="206" customFormat="1" ht="15">
      <c r="B112" s="240"/>
      <c r="D112" s="250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</row>
    <row r="113" spans="2:27" s="206" customFormat="1" ht="15">
      <c r="B113" s="240"/>
      <c r="D113" s="250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</row>
    <row r="114" spans="2:27" s="206" customFormat="1" ht="15">
      <c r="B114" s="240"/>
      <c r="D114" s="250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</row>
    <row r="115" spans="2:27" s="206" customFormat="1" ht="15">
      <c r="B115" s="240"/>
      <c r="D115" s="250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</row>
    <row r="116" spans="2:27" s="206" customFormat="1" ht="15">
      <c r="B116" s="240"/>
      <c r="D116" s="250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</row>
    <row r="117" spans="2:27" s="206" customFormat="1" ht="15">
      <c r="B117" s="240"/>
      <c r="D117" s="250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</row>
    <row r="118" spans="2:27" s="206" customFormat="1" ht="15">
      <c r="B118" s="240"/>
      <c r="D118" s="250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</row>
    <row r="119" spans="2:27" s="206" customFormat="1" ht="15">
      <c r="B119" s="240"/>
      <c r="D119" s="250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</row>
    <row r="120" spans="2:27" s="206" customFormat="1" ht="15">
      <c r="B120" s="240"/>
      <c r="D120" s="250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</row>
    <row r="121" spans="2:27" s="206" customFormat="1" ht="15">
      <c r="B121" s="240"/>
      <c r="D121" s="250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</row>
    <row r="122" spans="2:27" s="206" customFormat="1" ht="15">
      <c r="B122" s="240"/>
      <c r="D122" s="250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</row>
    <row r="123" spans="2:27" s="206" customFormat="1" ht="15">
      <c r="B123" s="240"/>
      <c r="D123" s="250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</row>
    <row r="124" spans="2:27" s="206" customFormat="1" ht="15">
      <c r="B124" s="240"/>
      <c r="D124" s="250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</row>
    <row r="125" spans="2:27" s="206" customFormat="1" ht="15">
      <c r="B125" s="240"/>
      <c r="D125" s="250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</row>
    <row r="126" spans="2:27" s="206" customFormat="1" ht="15">
      <c r="B126" s="240"/>
      <c r="D126" s="250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</row>
    <row r="127" spans="2:27" s="206" customFormat="1" ht="15">
      <c r="B127" s="240"/>
      <c r="D127" s="250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</row>
    <row r="128" spans="2:27" s="206" customFormat="1" ht="15">
      <c r="B128" s="240"/>
      <c r="D128" s="250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</row>
    <row r="129" spans="2:27" s="206" customFormat="1" ht="15">
      <c r="B129" s="240"/>
      <c r="D129" s="250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</row>
    <row r="130" spans="2:5" ht="15">
      <c r="B130" s="240"/>
      <c r="C130" s="206"/>
      <c r="E130" s="206"/>
    </row>
  </sheetData>
  <sheetProtection/>
  <printOptions/>
  <pageMargins left="0.17" right="0.75" top="0.54" bottom="0.18" header="0.22" footer="0.17"/>
  <pageSetup horizontalDpi="600" verticalDpi="600" orientation="portrait" paperSize="9" scale="8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2"/>
  <sheetViews>
    <sheetView zoomScale="96" zoomScaleNormal="96" zoomScalePageLayoutView="0" workbookViewId="0" topLeftCell="A1">
      <selection activeCell="F534" sqref="F534"/>
    </sheetView>
  </sheetViews>
  <sheetFormatPr defaultColWidth="9.140625" defaultRowHeight="12.75"/>
  <cols>
    <col min="1" max="1" width="8.7109375" style="295" customWidth="1"/>
    <col min="2" max="2" width="11.7109375" style="295" customWidth="1"/>
    <col min="3" max="3" width="48.140625" style="326" customWidth="1"/>
    <col min="4" max="4" width="13.8515625" style="330" customWidth="1"/>
    <col min="5" max="5" width="10.28125" style="687" customWidth="1"/>
    <col min="6" max="6" width="12.7109375" style="295" customWidth="1"/>
    <col min="7" max="7" width="13.57421875" style="330" customWidth="1"/>
    <col min="8" max="8" width="20.140625" style="295" customWidth="1"/>
    <col min="9" max="16384" width="9.140625" style="295" customWidth="1"/>
  </cols>
  <sheetData>
    <row r="1" spans="1:8" ht="15" customHeight="1">
      <c r="A1" s="1438" t="s">
        <v>829</v>
      </c>
      <c r="B1" s="1438"/>
      <c r="C1" s="1438"/>
      <c r="D1" s="1438"/>
      <c r="E1" s="1438"/>
      <c r="F1" s="1438"/>
      <c r="G1" s="1438"/>
      <c r="H1" s="1438"/>
    </row>
    <row r="2" spans="1:8" ht="15" customHeight="1">
      <c r="A2" s="1439" t="s">
        <v>828</v>
      </c>
      <c r="B2" s="1440"/>
      <c r="C2" s="1437" t="s">
        <v>875</v>
      </c>
      <c r="D2" s="1441" t="s">
        <v>15</v>
      </c>
      <c r="E2" s="1442" t="s">
        <v>11</v>
      </c>
      <c r="F2" s="1437" t="s">
        <v>12</v>
      </c>
      <c r="G2" s="1441" t="s">
        <v>13</v>
      </c>
      <c r="H2" s="1437" t="s">
        <v>877</v>
      </c>
    </row>
    <row r="3" spans="1:8" ht="42" customHeight="1">
      <c r="A3" s="1048" t="s">
        <v>830</v>
      </c>
      <c r="B3" s="1048" t="s">
        <v>874</v>
      </c>
      <c r="C3" s="1437"/>
      <c r="D3" s="1441"/>
      <c r="E3" s="1442"/>
      <c r="F3" s="1437"/>
      <c r="G3" s="1441"/>
      <c r="H3" s="1437"/>
    </row>
    <row r="4" spans="1:8" ht="12.75">
      <c r="A4" s="1049" t="s">
        <v>14</v>
      </c>
      <c r="B4" s="1049" t="s">
        <v>831</v>
      </c>
      <c r="C4" s="1049" t="s">
        <v>336</v>
      </c>
      <c r="D4" s="1050">
        <v>4</v>
      </c>
      <c r="E4" s="1051"/>
      <c r="F4" s="1052">
        <v>6</v>
      </c>
      <c r="G4" s="1050">
        <v>7</v>
      </c>
      <c r="H4" s="1053">
        <v>8</v>
      </c>
    </row>
    <row r="5" spans="1:8" ht="12.75">
      <c r="A5" s="1054" t="s">
        <v>307</v>
      </c>
      <c r="B5" s="1055"/>
      <c r="C5" s="1056" t="s">
        <v>1260</v>
      </c>
      <c r="D5" s="1057">
        <f>SUM(D6:D16)</f>
        <v>10503000</v>
      </c>
      <c r="E5" s="1058">
        <f>D5/444656763</f>
        <v>0.023620466107697545</v>
      </c>
      <c r="F5" s="1057">
        <f>SUM(F6:F16)</f>
        <v>11700000</v>
      </c>
      <c r="G5" s="1057">
        <f>D5+F5</f>
        <v>22203000</v>
      </c>
      <c r="H5" s="1059"/>
    </row>
    <row r="6" spans="1:8" ht="12.75">
      <c r="A6" s="1053"/>
      <c r="B6" s="1053" t="s">
        <v>323</v>
      </c>
      <c r="C6" s="1060" t="s">
        <v>1261</v>
      </c>
      <c r="D6" s="1061">
        <f>'Rashodi-2020'!M331</f>
        <v>10000000</v>
      </c>
      <c r="E6" s="1058">
        <f aca="true" t="shared" si="0" ref="E6:E69">D6/444656763</f>
        <v>0.022489256505472288</v>
      </c>
      <c r="F6" s="1061">
        <f>'Rashodi-2020'!T331</f>
        <v>3000000</v>
      </c>
      <c r="G6" s="1061">
        <f aca="true" t="shared" si="1" ref="G6:G68">D6+F6</f>
        <v>13000000</v>
      </c>
      <c r="H6" s="1062" t="s">
        <v>1173</v>
      </c>
    </row>
    <row r="7" spans="1:8" ht="12.75">
      <c r="A7" s="1053"/>
      <c r="B7" s="1053" t="s">
        <v>879</v>
      </c>
      <c r="C7" s="1060" t="s">
        <v>1297</v>
      </c>
      <c r="D7" s="1061">
        <f>'Rashodi-2020'!M334</f>
        <v>503000</v>
      </c>
      <c r="E7" s="1058">
        <f t="shared" si="0"/>
        <v>0.0011312096022252562</v>
      </c>
      <c r="F7" s="1063">
        <f>'Rashodi-2020'!T334</f>
        <v>8700000</v>
      </c>
      <c r="G7" s="1061">
        <f t="shared" si="1"/>
        <v>9203000</v>
      </c>
      <c r="H7" s="1062" t="s">
        <v>1173</v>
      </c>
    </row>
    <row r="8" spans="1:8" ht="12.75" hidden="1">
      <c r="A8" s="1053"/>
      <c r="B8" s="1053" t="s">
        <v>880</v>
      </c>
      <c r="C8" s="1060">
        <f>_xlfn.IFERROR(VLOOKUP(B8,'[1]ПО КОРИСНИЦИМА'!$C$3:$J$11609,5,FALSE),"")</f>
      </c>
      <c r="D8" s="1064"/>
      <c r="E8" s="1058">
        <f t="shared" si="0"/>
        <v>0</v>
      </c>
      <c r="F8" s="1065"/>
      <c r="G8" s="1061">
        <f t="shared" si="1"/>
        <v>0</v>
      </c>
      <c r="H8" s="1062"/>
    </row>
    <row r="9" spans="1:8" ht="12.75" hidden="1">
      <c r="A9" s="1053"/>
      <c r="B9" s="1053" t="s">
        <v>881</v>
      </c>
      <c r="C9" s="1060">
        <f>_xlfn.IFERROR(VLOOKUP(B9,'[1]ПО КОРИСНИЦИМА'!$C$3:$J$11609,5,FALSE),"")</f>
      </c>
      <c r="D9" s="1064"/>
      <c r="E9" s="1058">
        <f t="shared" si="0"/>
        <v>0</v>
      </c>
      <c r="F9" s="1065"/>
      <c r="G9" s="1061">
        <f t="shared" si="1"/>
        <v>0</v>
      </c>
      <c r="H9" s="1062"/>
    </row>
    <row r="10" spans="1:8" ht="12.75" hidden="1">
      <c r="A10" s="1053"/>
      <c r="B10" s="1053" t="s">
        <v>882</v>
      </c>
      <c r="C10" s="1060">
        <f>_xlfn.IFERROR(VLOOKUP(B10,'[1]ПО КОРИСНИЦИМА'!$C$3:$J$11609,5,FALSE),"")</f>
      </c>
      <c r="D10" s="1064"/>
      <c r="E10" s="1058">
        <f t="shared" si="0"/>
        <v>0</v>
      </c>
      <c r="F10" s="1065"/>
      <c r="G10" s="1061">
        <f t="shared" si="1"/>
        <v>0</v>
      </c>
      <c r="H10" s="1062"/>
    </row>
    <row r="11" spans="1:8" ht="12.75" hidden="1">
      <c r="A11" s="1053"/>
      <c r="B11" s="1053" t="s">
        <v>883</v>
      </c>
      <c r="C11" s="1060">
        <f>_xlfn.IFERROR(VLOOKUP(B11,'[1]ПО КОРИСНИЦИМА'!$C$3:$J$11609,5,FALSE),"")</f>
      </c>
      <c r="D11" s="1064"/>
      <c r="E11" s="1058">
        <f t="shared" si="0"/>
        <v>0</v>
      </c>
      <c r="F11" s="1065"/>
      <c r="G11" s="1061">
        <f t="shared" si="1"/>
        <v>0</v>
      </c>
      <c r="H11" s="1062"/>
    </row>
    <row r="12" spans="1:8" ht="12.75" hidden="1">
      <c r="A12" s="1053"/>
      <c r="B12" s="1053" t="s">
        <v>884</v>
      </c>
      <c r="C12" s="1060">
        <f>_xlfn.IFERROR(VLOOKUP(B12,'[1]ПО КОРИСНИЦИМА'!$C$3:$J$11609,5,FALSE),"")</f>
      </c>
      <c r="D12" s="1064"/>
      <c r="E12" s="1058">
        <f t="shared" si="0"/>
        <v>0</v>
      </c>
      <c r="F12" s="1065"/>
      <c r="G12" s="1061">
        <f t="shared" si="1"/>
        <v>0</v>
      </c>
      <c r="H12" s="1062"/>
    </row>
    <row r="13" spans="1:8" ht="12.75" hidden="1">
      <c r="A13" s="1053"/>
      <c r="B13" s="1053" t="s">
        <v>885</v>
      </c>
      <c r="C13" s="1060">
        <f>_xlfn.IFERROR(VLOOKUP(B13,'[1]ПО КОРИСНИЦИМА'!$C$3:$J$11609,5,FALSE),"")</f>
      </c>
      <c r="D13" s="1064"/>
      <c r="E13" s="1058">
        <f t="shared" si="0"/>
        <v>0</v>
      </c>
      <c r="F13" s="1065"/>
      <c r="G13" s="1061">
        <f t="shared" si="1"/>
        <v>0</v>
      </c>
      <c r="H13" s="1062"/>
    </row>
    <row r="14" spans="1:8" ht="12.75" hidden="1">
      <c r="A14" s="1053"/>
      <c r="B14" s="1053" t="s">
        <v>886</v>
      </c>
      <c r="C14" s="1060">
        <f>_xlfn.IFERROR(VLOOKUP(B14,'[1]ПО КОРИСНИЦИМА'!$C$3:$J$11609,5,FALSE),"")</f>
      </c>
      <c r="D14" s="1064"/>
      <c r="E14" s="1058">
        <f t="shared" si="0"/>
        <v>0</v>
      </c>
      <c r="F14" s="1065"/>
      <c r="G14" s="1061">
        <f t="shared" si="1"/>
        <v>0</v>
      </c>
      <c r="H14" s="1062"/>
    </row>
    <row r="15" spans="1:8" ht="12.75" hidden="1">
      <c r="A15" s="1053"/>
      <c r="B15" s="1053" t="s">
        <v>887</v>
      </c>
      <c r="C15" s="1060">
        <f>_xlfn.IFERROR(VLOOKUP(B15,'[1]ПО КОРИСНИЦИМА'!$C$3:$J$11609,5,FALSE),"")</f>
      </c>
      <c r="D15" s="1064"/>
      <c r="E15" s="1058">
        <f t="shared" si="0"/>
        <v>0</v>
      </c>
      <c r="F15" s="1065"/>
      <c r="G15" s="1061">
        <f t="shared" si="1"/>
        <v>0</v>
      </c>
      <c r="H15" s="1062"/>
    </row>
    <row r="16" spans="1:8" ht="12.75" hidden="1">
      <c r="A16" s="1053"/>
      <c r="B16" s="1053" t="s">
        <v>888</v>
      </c>
      <c r="C16" s="1060">
        <f>_xlfn.IFERROR(VLOOKUP(B16,'[1]ПО КОРИСНИЦИМА'!$C$3:$J$11609,5,FALSE),"")</f>
      </c>
      <c r="D16" s="1064"/>
      <c r="E16" s="1058">
        <f t="shared" si="0"/>
        <v>0</v>
      </c>
      <c r="F16" s="1065"/>
      <c r="G16" s="1061">
        <f t="shared" si="1"/>
        <v>0</v>
      </c>
      <c r="H16" s="1062"/>
    </row>
    <row r="17" spans="1:8" ht="12.75" hidden="1">
      <c r="A17" s="1053"/>
      <c r="B17" s="1053" t="s">
        <v>889</v>
      </c>
      <c r="C17" s="1060">
        <f>_xlfn.IFERROR(VLOOKUP(B17,'[1]ПО КОРИСНИЦИМА'!$C$3:$J$11609,5,FALSE),"")</f>
      </c>
      <c r="D17" s="1064" t="e">
        <f>SUMIF('[1]ПО КОРИСНИЦИМА'!$G$3:$G$11609,"Свега за пројекат 1101-П10:",'[1]ПО КОРИСНИЦИМА'!$H$3:$H$11609)</f>
        <v>#VALUE!</v>
      </c>
      <c r="E17" s="1058" t="e">
        <f t="shared" si="0"/>
        <v>#VALUE!</v>
      </c>
      <c r="F17" s="1065" t="e">
        <f>SUMIF('[1]ПО КОРИСНИЦИМА'!$G$3:$G$11609,"Свега за пројекат 1101-П10:",'[1]ПО КОРИСНИЦИМА'!$I$3:$I$11609)</f>
        <v>#VALUE!</v>
      </c>
      <c r="G17" s="1061" t="e">
        <f t="shared" si="1"/>
        <v>#VALUE!</v>
      </c>
      <c r="H17" s="1062"/>
    </row>
    <row r="18" spans="1:8" ht="12.75" hidden="1">
      <c r="A18" s="1053"/>
      <c r="B18" s="1053" t="s">
        <v>890</v>
      </c>
      <c r="C18" s="1060">
        <f>_xlfn.IFERROR(VLOOKUP(B18,'[1]ПО КОРИСНИЦИМА'!$C$3:$J$11609,5,FALSE),"")</f>
      </c>
      <c r="D18" s="1064" t="e">
        <f>SUMIF('[1]ПО КОРИСНИЦИМА'!$G$3:$G$11609,"Свега за пројекат 1101-П11:",'[1]ПО КОРИСНИЦИМА'!$H$3:$H$11609)</f>
        <v>#VALUE!</v>
      </c>
      <c r="E18" s="1058" t="e">
        <f t="shared" si="0"/>
        <v>#VALUE!</v>
      </c>
      <c r="F18" s="1065" t="e">
        <f>SUMIF('[1]ПО КОРИСНИЦИМА'!$G$3:$G$11609,"Свега за пројекат 1101-П11:",'[1]ПО КОРИСНИЦИМА'!$I$3:$I$11609)</f>
        <v>#VALUE!</v>
      </c>
      <c r="G18" s="1061" t="e">
        <f t="shared" si="1"/>
        <v>#VALUE!</v>
      </c>
      <c r="H18" s="1062"/>
    </row>
    <row r="19" spans="1:8" ht="12.75" hidden="1">
      <c r="A19" s="1053"/>
      <c r="B19" s="1053" t="s">
        <v>891</v>
      </c>
      <c r="C19" s="1060">
        <f>_xlfn.IFERROR(VLOOKUP(B19,'[1]ПО КОРИСНИЦИМА'!$C$3:$J$11609,5,FALSE),"")</f>
      </c>
      <c r="D19" s="1064" t="e">
        <f>SUMIF('[1]ПО КОРИСНИЦИМА'!$G$3:$G$11609,"Свега за пројекат 1101-П12:",'[1]ПО КОРИСНИЦИМА'!$H$3:$H$11609)</f>
        <v>#VALUE!</v>
      </c>
      <c r="E19" s="1058" t="e">
        <f t="shared" si="0"/>
        <v>#VALUE!</v>
      </c>
      <c r="F19" s="1065" t="e">
        <f>SUMIF('[1]ПО КОРИСНИЦИМА'!$G$3:$G$11609,"Свега за пројекат 1101-П12:",'[1]ПО КОРИСНИЦИМА'!$I$3:$I$11609)</f>
        <v>#VALUE!</v>
      </c>
      <c r="G19" s="1061" t="e">
        <f t="shared" si="1"/>
        <v>#VALUE!</v>
      </c>
      <c r="H19" s="1062"/>
    </row>
    <row r="20" spans="1:8" ht="12.75" hidden="1">
      <c r="A20" s="1053"/>
      <c r="B20" s="1053" t="s">
        <v>892</v>
      </c>
      <c r="C20" s="1060">
        <f>_xlfn.IFERROR(VLOOKUP(B20,'[1]ПО КОРИСНИЦИМА'!$C$3:$J$11609,5,FALSE),"")</f>
      </c>
      <c r="D20" s="1064" t="e">
        <f>SUMIF('[1]ПО КОРИСНИЦИМА'!$G$3:$G$11609,"Свега за пројекат 1101-П13:",'[1]ПО КОРИСНИЦИМА'!$H$3:$H$11609)</f>
        <v>#VALUE!</v>
      </c>
      <c r="E20" s="1058" t="e">
        <f t="shared" si="0"/>
        <v>#VALUE!</v>
      </c>
      <c r="F20" s="1065" t="e">
        <f>SUMIF('[1]ПО КОРИСНИЦИМА'!$G$3:$G$11609,"Свега за пројекат 1101-П13:",'[1]ПО КОРИСНИЦИМА'!$I$3:$I$11609)</f>
        <v>#VALUE!</v>
      </c>
      <c r="G20" s="1061" t="e">
        <f t="shared" si="1"/>
        <v>#VALUE!</v>
      </c>
      <c r="H20" s="1062"/>
    </row>
    <row r="21" spans="1:8" ht="12.75" hidden="1">
      <c r="A21" s="1053"/>
      <c r="B21" s="1053" t="s">
        <v>893</v>
      </c>
      <c r="C21" s="1060">
        <f>_xlfn.IFERROR(VLOOKUP(B21,'[1]ПО КОРИСНИЦИМА'!$C$3:$J$11609,5,FALSE),"")</f>
      </c>
      <c r="D21" s="1064" t="e">
        <f>SUMIF('[1]ПО КОРИСНИЦИМА'!$G$3:$G$11609,"Свега за пројекат 1101-П14:",'[1]ПО КОРИСНИЦИМА'!$H$3:$H$11609)</f>
        <v>#VALUE!</v>
      </c>
      <c r="E21" s="1058" t="e">
        <f t="shared" si="0"/>
        <v>#VALUE!</v>
      </c>
      <c r="F21" s="1065" t="e">
        <f>SUMIF('[1]ПО КОРИСНИЦИМА'!$G$3:$G$11609,"Свега за пројекат 1101-П14:",'[1]ПО КОРИСНИЦИМА'!$I$3:$I$11609)</f>
        <v>#VALUE!</v>
      </c>
      <c r="G21" s="1061" t="e">
        <f t="shared" si="1"/>
        <v>#VALUE!</v>
      </c>
      <c r="H21" s="1062"/>
    </row>
    <row r="22" spans="1:8" ht="12.75" hidden="1">
      <c r="A22" s="1053"/>
      <c r="B22" s="1053" t="s">
        <v>894</v>
      </c>
      <c r="C22" s="1060">
        <f>_xlfn.IFERROR(VLOOKUP(B22,'[1]ПО КОРИСНИЦИМА'!$C$3:$J$11609,5,FALSE),"")</f>
      </c>
      <c r="D22" s="1064" t="e">
        <f>SUMIF('[1]ПО КОРИСНИЦИМА'!$G$3:$G$11609,"Свега за пројекат 1101-П15:",'[1]ПО КОРИСНИЦИМА'!$H$3:$H$11609)</f>
        <v>#VALUE!</v>
      </c>
      <c r="E22" s="1058" t="e">
        <f t="shared" si="0"/>
        <v>#VALUE!</v>
      </c>
      <c r="F22" s="1065" t="e">
        <f>SUMIF('[1]ПО КОРИСНИЦИМА'!$G$3:$G$11609,"Свега за пројекат 1101-П15:",'[1]ПО КОРИСНИЦИМА'!$I$3:$I$11609)</f>
        <v>#VALUE!</v>
      </c>
      <c r="G22" s="1061" t="e">
        <f t="shared" si="1"/>
        <v>#VALUE!</v>
      </c>
      <c r="H22" s="1062"/>
    </row>
    <row r="23" spans="1:8" ht="12.75" hidden="1">
      <c r="A23" s="1053"/>
      <c r="B23" s="1053" t="s">
        <v>895</v>
      </c>
      <c r="C23" s="1060">
        <f>_xlfn.IFERROR(VLOOKUP(B23,'[1]ПО КОРИСНИЦИМА'!$C$3:$J$11609,5,FALSE),"")</f>
      </c>
      <c r="D23" s="1064" t="e">
        <f>SUMIF('[1]ПО КОРИСНИЦИМА'!$G$3:$G$11609,"Свега за пројекат 1101-П16:",'[1]ПО КОРИСНИЦИМА'!$H$3:$H$11609)</f>
        <v>#VALUE!</v>
      </c>
      <c r="E23" s="1058" t="e">
        <f t="shared" si="0"/>
        <v>#VALUE!</v>
      </c>
      <c r="F23" s="1065" t="e">
        <f>SUMIF('[1]ПО КОРИСНИЦИМА'!$G$3:$G$11609,"Свега за пројекат 1101-П16:",'[1]ПО КОРИСНИЦИМА'!$I$3:$I$11609)</f>
        <v>#VALUE!</v>
      </c>
      <c r="G23" s="1061" t="e">
        <f t="shared" si="1"/>
        <v>#VALUE!</v>
      </c>
      <c r="H23" s="1062"/>
    </row>
    <row r="24" spans="1:8" ht="12.75" hidden="1">
      <c r="A24" s="1053"/>
      <c r="B24" s="1053" t="s">
        <v>896</v>
      </c>
      <c r="C24" s="1060">
        <f>_xlfn.IFERROR(VLOOKUP(B24,'[1]ПО КОРИСНИЦИМА'!$C$3:$J$11609,5,FALSE),"")</f>
      </c>
      <c r="D24" s="1064" t="e">
        <f>SUMIF('[1]ПО КОРИСНИЦИМА'!$G$3:$G$11609,"Свега за пројекат 1101-П17:",'[1]ПО КОРИСНИЦИМА'!$H$3:$H$11609)</f>
        <v>#VALUE!</v>
      </c>
      <c r="E24" s="1058" t="e">
        <f t="shared" si="0"/>
        <v>#VALUE!</v>
      </c>
      <c r="F24" s="1065" t="e">
        <f>SUMIF('[1]ПО КОРИСНИЦИМА'!$G$3:$G$11609,"Свега за пројекат 1101-П17:",'[1]ПО КОРИСНИЦИМА'!$I$3:$I$11609)</f>
        <v>#VALUE!</v>
      </c>
      <c r="G24" s="1061" t="e">
        <f t="shared" si="1"/>
        <v>#VALUE!</v>
      </c>
      <c r="H24" s="1062"/>
    </row>
    <row r="25" spans="1:8" ht="12.75" hidden="1">
      <c r="A25" s="1053"/>
      <c r="B25" s="1053" t="s">
        <v>897</v>
      </c>
      <c r="C25" s="1060">
        <f>_xlfn.IFERROR(VLOOKUP(B25,'[1]ПО КОРИСНИЦИМА'!$C$3:$J$11609,5,FALSE),"")</f>
      </c>
      <c r="D25" s="1064" t="e">
        <f>SUMIF('[1]ПО КОРИСНИЦИМА'!$G$3:$G$11609,"Свега за пројекат 1101-П18:",'[1]ПО КОРИСНИЦИМА'!$H$3:$H$11609)</f>
        <v>#VALUE!</v>
      </c>
      <c r="E25" s="1058" t="e">
        <f t="shared" si="0"/>
        <v>#VALUE!</v>
      </c>
      <c r="F25" s="1065" t="e">
        <f>SUMIF('[1]ПО КОРИСНИЦИМА'!$G$3:$G$11609,"Свега за пројекат 1101-П18:",'[1]ПО КОРИСНИЦИМА'!$I$3:$I$11609)</f>
        <v>#VALUE!</v>
      </c>
      <c r="G25" s="1061" t="e">
        <f t="shared" si="1"/>
        <v>#VALUE!</v>
      </c>
      <c r="H25" s="1062"/>
    </row>
    <row r="26" spans="1:8" ht="12.75" hidden="1">
      <c r="A26" s="1053"/>
      <c r="B26" s="1053" t="s">
        <v>898</v>
      </c>
      <c r="C26" s="1060">
        <f>_xlfn.IFERROR(VLOOKUP(B26,'[1]ПО КОРИСНИЦИМА'!$C$3:$J$11609,5,FALSE),"")</f>
      </c>
      <c r="D26" s="1064" t="e">
        <f>SUMIF('[1]ПО КОРИСНИЦИМА'!$G$3:$G$11609,"Свега за пројекат 1101-П19:",'[1]ПО КОРИСНИЦИМА'!$H$3:$H$11609)</f>
        <v>#VALUE!</v>
      </c>
      <c r="E26" s="1058" t="e">
        <f t="shared" si="0"/>
        <v>#VALUE!</v>
      </c>
      <c r="F26" s="1065" t="e">
        <f>SUMIF('[1]ПО КОРИСНИЦИМА'!$G$3:$G$11609,"Свега за пројекат 1101-П19:",'[1]ПО КОРИСНИЦИМА'!$I$3:$I$11609)</f>
        <v>#VALUE!</v>
      </c>
      <c r="G26" s="1061" t="e">
        <f t="shared" si="1"/>
        <v>#VALUE!</v>
      </c>
      <c r="H26" s="1062"/>
    </row>
    <row r="27" spans="1:8" ht="12.75" hidden="1">
      <c r="A27" s="1053"/>
      <c r="B27" s="1053" t="s">
        <v>899</v>
      </c>
      <c r="C27" s="1060">
        <f>_xlfn.IFERROR(VLOOKUP(B27,'[1]ПО КОРИСНИЦИМА'!$C$3:$J$11609,5,FALSE),"")</f>
      </c>
      <c r="D27" s="1064" t="e">
        <f>SUMIF('[1]ПО КОРИСНИЦИМА'!$G$3:$G$11609,"Свега за пројекат 1101-П20:",'[1]ПО КОРИСНИЦИМА'!$H$3:$H$11609)</f>
        <v>#VALUE!</v>
      </c>
      <c r="E27" s="1058" t="e">
        <f t="shared" si="0"/>
        <v>#VALUE!</v>
      </c>
      <c r="F27" s="1065" t="e">
        <f>SUMIF('[1]ПО КОРИСНИЦИМА'!$G$3:$G$11609,"Свега за пројекат 1101-П20:",'[1]ПО КОРИСНИЦИМА'!$I$3:$I$11609)</f>
        <v>#VALUE!</v>
      </c>
      <c r="G27" s="1061" t="e">
        <f t="shared" si="1"/>
        <v>#VALUE!</v>
      </c>
      <c r="H27" s="1062"/>
    </row>
    <row r="28" spans="1:8" ht="12.75" hidden="1">
      <c r="A28" s="1053"/>
      <c r="B28" s="1053" t="s">
        <v>900</v>
      </c>
      <c r="C28" s="1060">
        <f>_xlfn.IFERROR(VLOOKUP(B28,'[1]ПО КОРИСНИЦИМА'!$C$3:$J$11609,5,FALSE),"")</f>
      </c>
      <c r="D28" s="1064" t="e">
        <f>SUMIF('[1]ПО КОРИСНИЦИМА'!$G$3:$G$11609,"Свега за пројекат 1101-П21:",'[1]ПО КОРИСНИЦИМА'!$H$3:$H$11609)</f>
        <v>#VALUE!</v>
      </c>
      <c r="E28" s="1058" t="e">
        <f t="shared" si="0"/>
        <v>#VALUE!</v>
      </c>
      <c r="F28" s="1065" t="e">
        <f>SUMIF('[1]ПО КОРИСНИЦИМА'!$G$3:$G$11609,"Свега за пројекат 1101-П21:",'[1]ПО КОРИСНИЦИМА'!$I$3:$I$11609)</f>
        <v>#VALUE!</v>
      </c>
      <c r="G28" s="1061" t="e">
        <f t="shared" si="1"/>
        <v>#VALUE!</v>
      </c>
      <c r="H28" s="1062"/>
    </row>
    <row r="29" spans="1:8" ht="12.75" hidden="1">
      <c r="A29" s="1053"/>
      <c r="B29" s="1053" t="s">
        <v>901</v>
      </c>
      <c r="C29" s="1060">
        <f>_xlfn.IFERROR(VLOOKUP(B29,'[1]ПО КОРИСНИЦИМА'!$C$3:$J$11609,5,FALSE),"")</f>
      </c>
      <c r="D29" s="1064" t="e">
        <f>SUMIF('[1]ПО КОРИСНИЦИМА'!$G$3:$G$11609,"Свега за пројекат 1101-П22:",'[1]ПО КОРИСНИЦИМА'!$H$3:$H$11609)</f>
        <v>#VALUE!</v>
      </c>
      <c r="E29" s="1058" t="e">
        <f t="shared" si="0"/>
        <v>#VALUE!</v>
      </c>
      <c r="F29" s="1065" t="e">
        <f>SUMIF('[1]ПО КОРИСНИЦИМА'!$G$3:$G$11609,"Свега за пројекат 1101-П22:",'[1]ПО КОРИСНИЦИМА'!$I$3:$I$11609)</f>
        <v>#VALUE!</v>
      </c>
      <c r="G29" s="1061" t="e">
        <f t="shared" si="1"/>
        <v>#VALUE!</v>
      </c>
      <c r="H29" s="1062"/>
    </row>
    <row r="30" spans="1:8" ht="12.75" hidden="1">
      <c r="A30" s="1053"/>
      <c r="B30" s="1053" t="s">
        <v>902</v>
      </c>
      <c r="C30" s="1060">
        <f>_xlfn.IFERROR(VLOOKUP(B30,'[1]ПО КОРИСНИЦИМА'!$C$3:$J$11609,5,FALSE),"")</f>
      </c>
      <c r="D30" s="1064" t="e">
        <f>SUMIF('[1]ПО КОРИСНИЦИМА'!$G$3:$G$11609,"Свега за пројекат 1101-П23:",'[1]ПО КОРИСНИЦИМА'!$H$3:$H$11609)</f>
        <v>#VALUE!</v>
      </c>
      <c r="E30" s="1058" t="e">
        <f t="shared" si="0"/>
        <v>#VALUE!</v>
      </c>
      <c r="F30" s="1065" t="e">
        <f>SUMIF('[1]ПО КОРИСНИЦИМА'!$G$3:$G$11609,"Свега за пројекат 1101-П23:",'[1]ПО КОРИСНИЦИМА'!$I$3:$I$11609)</f>
        <v>#VALUE!</v>
      </c>
      <c r="G30" s="1061" t="e">
        <f t="shared" si="1"/>
        <v>#VALUE!</v>
      </c>
      <c r="H30" s="1062"/>
    </row>
    <row r="31" spans="1:8" ht="12.75" hidden="1">
      <c r="A31" s="1053"/>
      <c r="B31" s="1053" t="s">
        <v>903</v>
      </c>
      <c r="C31" s="1060">
        <f>_xlfn.IFERROR(VLOOKUP(B31,'[1]ПО КОРИСНИЦИМА'!$C$3:$J$11609,5,FALSE),"")</f>
      </c>
      <c r="D31" s="1064" t="e">
        <f>SUMIF('[1]ПО КОРИСНИЦИМА'!$G$3:$G$11609,"Свега за пројекат 1101-П24:",'[1]ПО КОРИСНИЦИМА'!$H$3:$H$11609)</f>
        <v>#VALUE!</v>
      </c>
      <c r="E31" s="1058" t="e">
        <f t="shared" si="0"/>
        <v>#VALUE!</v>
      </c>
      <c r="F31" s="1065" t="e">
        <f>SUMIF('[1]ПО КОРИСНИЦИМА'!$G$3:$G$11609,"Свега за пројекат 1101-П24:",'[1]ПО КОРИСНИЦИМА'!$I$3:$I$11609)</f>
        <v>#VALUE!</v>
      </c>
      <c r="G31" s="1061" t="e">
        <f t="shared" si="1"/>
        <v>#VALUE!</v>
      </c>
      <c r="H31" s="1062"/>
    </row>
    <row r="32" spans="1:8" ht="12.75">
      <c r="A32" s="1054" t="s">
        <v>1259</v>
      </c>
      <c r="B32" s="1055"/>
      <c r="C32" s="1056" t="s">
        <v>1168</v>
      </c>
      <c r="D32" s="1057">
        <f>SUM(D33:D43)</f>
        <v>43142000</v>
      </c>
      <c r="E32" s="1058">
        <f t="shared" si="0"/>
        <v>0.09702315041590855</v>
      </c>
      <c r="F32" s="1057">
        <f>SUM(F33:F43)</f>
        <v>69960000</v>
      </c>
      <c r="G32" s="1057">
        <f t="shared" si="1"/>
        <v>113102000</v>
      </c>
      <c r="H32" s="1059"/>
    </row>
    <row r="33" spans="1:8" ht="12.75">
      <c r="A33" s="1053"/>
      <c r="B33" s="1053" t="s">
        <v>1254</v>
      </c>
      <c r="C33" s="1066" t="s">
        <v>1351</v>
      </c>
      <c r="D33" s="1061">
        <f>'Rashodi-2020'!M303</f>
        <v>8850000</v>
      </c>
      <c r="E33" s="1181">
        <f t="shared" si="0"/>
        <v>0.019902992007342975</v>
      </c>
      <c r="F33" s="1063">
        <f>'Rashodi-2020'!T303</f>
        <v>700000</v>
      </c>
      <c r="G33" s="1061">
        <f t="shared" si="1"/>
        <v>9550000</v>
      </c>
      <c r="H33" s="1062" t="s">
        <v>1173</v>
      </c>
    </row>
    <row r="34" spans="1:8" ht="12.75" hidden="1">
      <c r="A34" s="1053"/>
      <c r="B34" s="1053" t="s">
        <v>832</v>
      </c>
      <c r="C34" s="1066" t="s">
        <v>833</v>
      </c>
      <c r="D34" s="1061"/>
      <c r="E34" s="1058">
        <f t="shared" si="0"/>
        <v>0</v>
      </c>
      <c r="F34" s="1063"/>
      <c r="G34" s="1061">
        <f t="shared" si="1"/>
        <v>0</v>
      </c>
      <c r="H34" s="1062"/>
    </row>
    <row r="35" spans="1:8" ht="12.75" hidden="1">
      <c r="A35" s="1053"/>
      <c r="B35" s="1053" t="s">
        <v>834</v>
      </c>
      <c r="C35" s="1066" t="s">
        <v>835</v>
      </c>
      <c r="D35" s="1061"/>
      <c r="E35" s="1058">
        <f t="shared" si="0"/>
        <v>0</v>
      </c>
      <c r="F35" s="1063"/>
      <c r="G35" s="1061">
        <f t="shared" si="1"/>
        <v>0</v>
      </c>
      <c r="H35" s="1062"/>
    </row>
    <row r="36" spans="1:8" ht="12.75" hidden="1">
      <c r="A36" s="1053"/>
      <c r="B36" s="1053" t="s">
        <v>836</v>
      </c>
      <c r="C36" s="1066" t="s">
        <v>837</v>
      </c>
      <c r="D36" s="1061"/>
      <c r="E36" s="1058">
        <f t="shared" si="0"/>
        <v>0</v>
      </c>
      <c r="F36" s="1063"/>
      <c r="G36" s="1061">
        <f t="shared" si="1"/>
        <v>0</v>
      </c>
      <c r="H36" s="1062"/>
    </row>
    <row r="37" spans="1:8" ht="12.75" hidden="1">
      <c r="A37" s="1053"/>
      <c r="B37" s="1053" t="s">
        <v>838</v>
      </c>
      <c r="C37" s="1066" t="s">
        <v>839</v>
      </c>
      <c r="D37" s="1061"/>
      <c r="E37" s="1058">
        <f t="shared" si="0"/>
        <v>0</v>
      </c>
      <c r="F37" s="1063"/>
      <c r="G37" s="1061">
        <f t="shared" si="1"/>
        <v>0</v>
      </c>
      <c r="H37" s="1062"/>
    </row>
    <row r="38" spans="1:8" ht="12.75" hidden="1">
      <c r="A38" s="1053"/>
      <c r="B38" s="1053" t="s">
        <v>840</v>
      </c>
      <c r="C38" s="1066" t="s">
        <v>596</v>
      </c>
      <c r="D38" s="1061"/>
      <c r="E38" s="1058">
        <f t="shared" si="0"/>
        <v>0</v>
      </c>
      <c r="F38" s="1063"/>
      <c r="G38" s="1061">
        <f t="shared" si="1"/>
        <v>0</v>
      </c>
      <c r="H38" s="1062"/>
    </row>
    <row r="39" spans="1:8" ht="12.75">
      <c r="A39" s="1053"/>
      <c r="B39" s="1053" t="s">
        <v>1255</v>
      </c>
      <c r="C39" s="1066" t="s">
        <v>1252</v>
      </c>
      <c r="D39" s="1085">
        <f>'Rashodi-2020'!M307</f>
        <v>21700000</v>
      </c>
      <c r="E39" s="1181">
        <f t="shared" si="0"/>
        <v>0.04880168661687487</v>
      </c>
      <c r="F39" s="1182">
        <f>'Rashodi-2020'!T307</f>
        <v>7000000</v>
      </c>
      <c r="G39" s="1061">
        <f t="shared" si="1"/>
        <v>28700000</v>
      </c>
      <c r="H39" s="1062" t="s">
        <v>1173</v>
      </c>
    </row>
    <row r="40" spans="1:8" ht="12.75">
      <c r="A40" s="1053"/>
      <c r="B40" s="1053" t="s">
        <v>1256</v>
      </c>
      <c r="C40" s="1067" t="s">
        <v>1280</v>
      </c>
      <c r="D40" s="1068">
        <f>'Rashodi-2020'!M327</f>
        <v>0</v>
      </c>
      <c r="E40" s="1181">
        <f t="shared" si="0"/>
        <v>0</v>
      </c>
      <c r="F40" s="1182">
        <f>'Rashodi-2020'!T327</f>
        <v>17000000</v>
      </c>
      <c r="G40" s="1061">
        <f t="shared" si="1"/>
        <v>17000000</v>
      </c>
      <c r="H40" s="1062" t="s">
        <v>1298</v>
      </c>
    </row>
    <row r="41" spans="1:8" ht="12.75">
      <c r="A41" s="1053"/>
      <c r="B41" s="1053" t="s">
        <v>1258</v>
      </c>
      <c r="C41" s="1066" t="s">
        <v>1253</v>
      </c>
      <c r="D41" s="1085">
        <f>'Rashodi-2020'!M322</f>
        <v>2950000</v>
      </c>
      <c r="E41" s="1181">
        <f t="shared" si="0"/>
        <v>0.0066343306691143255</v>
      </c>
      <c r="F41" s="1182">
        <f>'Rashodi-2020'!T322</f>
        <v>0</v>
      </c>
      <c r="G41" s="1061">
        <f t="shared" si="1"/>
        <v>2950000</v>
      </c>
      <c r="H41" s="1062" t="s">
        <v>1173</v>
      </c>
    </row>
    <row r="42" spans="1:8" ht="12.75">
      <c r="A42" s="1053"/>
      <c r="B42" s="1053" t="s">
        <v>1257</v>
      </c>
      <c r="C42" s="1067" t="s">
        <v>1352</v>
      </c>
      <c r="D42" s="1068">
        <f>'Rashodi-2020'!M313</f>
        <v>9642000</v>
      </c>
      <c r="E42" s="1181">
        <f t="shared" si="0"/>
        <v>0.02168414112257638</v>
      </c>
      <c r="F42" s="1182">
        <f>'Rashodi-2020'!T313</f>
        <v>45260000</v>
      </c>
      <c r="G42" s="1061">
        <f t="shared" si="1"/>
        <v>54902000</v>
      </c>
      <c r="H42" s="1062" t="s">
        <v>1173</v>
      </c>
    </row>
    <row r="43" spans="1:8" ht="12.75" hidden="1">
      <c r="A43" s="1053"/>
      <c r="B43" s="1053" t="s">
        <v>841</v>
      </c>
      <c r="C43" s="1066"/>
      <c r="D43" s="1061"/>
      <c r="E43" s="1058">
        <f t="shared" si="0"/>
        <v>0</v>
      </c>
      <c r="F43" s="1063"/>
      <c r="G43" s="1061">
        <f t="shared" si="1"/>
        <v>0</v>
      </c>
      <c r="H43" s="1062"/>
    </row>
    <row r="44" spans="1:8" ht="12.75" hidden="1">
      <c r="A44" s="1053"/>
      <c r="B44" s="1053" t="s">
        <v>842</v>
      </c>
      <c r="C44" s="1066" t="s">
        <v>843</v>
      </c>
      <c r="D44" s="1061"/>
      <c r="E44" s="1058">
        <f t="shared" si="0"/>
        <v>0</v>
      </c>
      <c r="F44" s="1063"/>
      <c r="G44" s="1061">
        <f t="shared" si="1"/>
        <v>0</v>
      </c>
      <c r="H44" s="1062"/>
    </row>
    <row r="45" spans="1:8" ht="12.75" hidden="1">
      <c r="A45" s="1053"/>
      <c r="B45" s="1053"/>
      <c r="C45" s="1066"/>
      <c r="D45" s="1061"/>
      <c r="E45" s="1058">
        <f t="shared" si="0"/>
        <v>0</v>
      </c>
      <c r="F45" s="1063"/>
      <c r="G45" s="1061">
        <f t="shared" si="1"/>
        <v>0</v>
      </c>
      <c r="H45" s="1062" t="s">
        <v>1173</v>
      </c>
    </row>
    <row r="46" spans="1:8" ht="12.75" hidden="1">
      <c r="A46" s="1053"/>
      <c r="B46" s="1053"/>
      <c r="C46" s="1066"/>
      <c r="D46" s="1061"/>
      <c r="E46" s="1058">
        <f t="shared" si="0"/>
        <v>0</v>
      </c>
      <c r="F46" s="1063"/>
      <c r="G46" s="1061">
        <f t="shared" si="1"/>
        <v>0</v>
      </c>
      <c r="H46" s="1062" t="s">
        <v>1173</v>
      </c>
    </row>
    <row r="47" spans="1:8" ht="12.75" hidden="1">
      <c r="A47" s="1053"/>
      <c r="B47" s="1053"/>
      <c r="C47" s="1066"/>
      <c r="D47" s="1061"/>
      <c r="E47" s="1058">
        <f t="shared" si="0"/>
        <v>0</v>
      </c>
      <c r="F47" s="1063"/>
      <c r="G47" s="1061">
        <f t="shared" si="1"/>
        <v>0</v>
      </c>
      <c r="H47" s="1062" t="s">
        <v>1173</v>
      </c>
    </row>
    <row r="48" spans="1:8" ht="12.75" hidden="1">
      <c r="A48" s="1053"/>
      <c r="B48" s="1053"/>
      <c r="C48" s="1069"/>
      <c r="D48" s="1064"/>
      <c r="E48" s="1058">
        <f t="shared" si="0"/>
        <v>0</v>
      </c>
      <c r="F48" s="1065"/>
      <c r="G48" s="1061">
        <f t="shared" si="1"/>
        <v>0</v>
      </c>
      <c r="H48" s="1062" t="s">
        <v>1173</v>
      </c>
    </row>
    <row r="49" spans="1:8" ht="12.75" hidden="1">
      <c r="A49" s="1053"/>
      <c r="B49" s="1053" t="s">
        <v>904</v>
      </c>
      <c r="C49" s="1060">
        <f>_xlfn.IFERROR(VLOOKUP(B49,'[1]ПО КОРИСНИЦИМА'!$C$3:$J$11609,5,FALSE),"")</f>
      </c>
      <c r="D49" s="1064"/>
      <c r="E49" s="1058">
        <f t="shared" si="0"/>
        <v>0</v>
      </c>
      <c r="F49" s="1065"/>
      <c r="G49" s="1061">
        <f t="shared" si="1"/>
        <v>0</v>
      </c>
      <c r="H49" s="1062"/>
    </row>
    <row r="50" spans="1:8" ht="12.75" hidden="1">
      <c r="A50" s="1053"/>
      <c r="B50" s="1053" t="s">
        <v>905</v>
      </c>
      <c r="C50" s="1060">
        <f>_xlfn.IFERROR(VLOOKUP(B50,'[1]ПО КОРИСНИЦИМА'!$C$3:$J$11609,5,FALSE),"")</f>
      </c>
      <c r="D50" s="1064"/>
      <c r="E50" s="1058">
        <f t="shared" si="0"/>
        <v>0</v>
      </c>
      <c r="F50" s="1065"/>
      <c r="G50" s="1061">
        <f t="shared" si="1"/>
        <v>0</v>
      </c>
      <c r="H50" s="1062"/>
    </row>
    <row r="51" spans="1:8" ht="12.75" hidden="1">
      <c r="A51" s="1053"/>
      <c r="B51" s="1053" t="s">
        <v>906</v>
      </c>
      <c r="C51" s="1060">
        <f>_xlfn.IFERROR(VLOOKUP(B51,'[1]ПО КОРИСНИЦИМА'!$C$3:$J$11609,5,FALSE),"")</f>
      </c>
      <c r="D51" s="1064"/>
      <c r="E51" s="1058">
        <f t="shared" si="0"/>
        <v>0</v>
      </c>
      <c r="F51" s="1065"/>
      <c r="G51" s="1061">
        <f t="shared" si="1"/>
        <v>0</v>
      </c>
      <c r="H51" s="1062"/>
    </row>
    <row r="52" spans="1:8" ht="12.75" hidden="1">
      <c r="A52" s="1053"/>
      <c r="B52" s="1053" t="s">
        <v>907</v>
      </c>
      <c r="C52" s="1060">
        <f>_xlfn.IFERROR(VLOOKUP(B52,'[1]ПО КОРИСНИЦИМА'!$C$3:$J$11609,5,FALSE),"")</f>
      </c>
      <c r="D52" s="1064"/>
      <c r="E52" s="1058">
        <f t="shared" si="0"/>
        <v>0</v>
      </c>
      <c r="F52" s="1065"/>
      <c r="G52" s="1061">
        <f t="shared" si="1"/>
        <v>0</v>
      </c>
      <c r="H52" s="1062"/>
    </row>
    <row r="53" spans="1:8" ht="12.75" hidden="1">
      <c r="A53" s="1053"/>
      <c r="B53" s="1053" t="s">
        <v>908</v>
      </c>
      <c r="C53" s="1060">
        <f>_xlfn.IFERROR(VLOOKUP(B53,'[1]ПО КОРИСНИЦИМА'!$C$3:$J$11609,5,FALSE),"")</f>
      </c>
      <c r="D53" s="1064"/>
      <c r="E53" s="1058">
        <f t="shared" si="0"/>
        <v>0</v>
      </c>
      <c r="F53" s="1065"/>
      <c r="G53" s="1061">
        <f t="shared" si="1"/>
        <v>0</v>
      </c>
      <c r="H53" s="1062"/>
    </row>
    <row r="54" spans="1:8" ht="12.75" hidden="1">
      <c r="A54" s="1053"/>
      <c r="B54" s="1053" t="s">
        <v>909</v>
      </c>
      <c r="C54" s="1060">
        <f>_xlfn.IFERROR(VLOOKUP(B54,'[1]ПО КОРИСНИЦИМА'!$C$3:$J$11609,5,FALSE),"")</f>
      </c>
      <c r="D54" s="1064"/>
      <c r="E54" s="1058">
        <f t="shared" si="0"/>
        <v>0</v>
      </c>
      <c r="F54" s="1065"/>
      <c r="G54" s="1061">
        <f t="shared" si="1"/>
        <v>0</v>
      </c>
      <c r="H54" s="1062"/>
    </row>
    <row r="55" spans="1:8" ht="12.75" hidden="1">
      <c r="A55" s="1053"/>
      <c r="B55" s="1053" t="s">
        <v>910</v>
      </c>
      <c r="C55" s="1060">
        <f>_xlfn.IFERROR(VLOOKUP(B55,'[1]ПО КОРИСНИЦИМА'!$C$3:$J$11609,5,FALSE),"")</f>
      </c>
      <c r="D55" s="1064"/>
      <c r="E55" s="1058">
        <f t="shared" si="0"/>
        <v>0</v>
      </c>
      <c r="F55" s="1065"/>
      <c r="G55" s="1061">
        <f t="shared" si="1"/>
        <v>0</v>
      </c>
      <c r="H55" s="1062"/>
    </row>
    <row r="56" spans="1:8" ht="12.75" hidden="1">
      <c r="A56" s="1053"/>
      <c r="B56" s="1053" t="s">
        <v>911</v>
      </c>
      <c r="C56" s="1060">
        <f>_xlfn.IFERROR(VLOOKUP(B56,'[1]ПО КОРИСНИЦИМА'!$C$3:$J$11609,5,FALSE),"")</f>
      </c>
      <c r="D56" s="1064"/>
      <c r="E56" s="1058">
        <f t="shared" si="0"/>
        <v>0</v>
      </c>
      <c r="F56" s="1065"/>
      <c r="G56" s="1061">
        <f t="shared" si="1"/>
        <v>0</v>
      </c>
      <c r="H56" s="1062"/>
    </row>
    <row r="57" spans="1:8" ht="12.75" hidden="1">
      <c r="A57" s="1053"/>
      <c r="B57" s="1053" t="s">
        <v>912</v>
      </c>
      <c r="C57" s="1060">
        <f>_xlfn.IFERROR(VLOOKUP(B57,'[1]ПО КОРИСНИЦИМА'!$C$3:$J$11609,5,FALSE),"")</f>
      </c>
      <c r="D57" s="1064"/>
      <c r="E57" s="1058">
        <f t="shared" si="0"/>
        <v>0</v>
      </c>
      <c r="F57" s="1065"/>
      <c r="G57" s="1061">
        <f t="shared" si="1"/>
        <v>0</v>
      </c>
      <c r="H57" s="1062"/>
    </row>
    <row r="58" spans="1:8" ht="12.75" hidden="1">
      <c r="A58" s="1053"/>
      <c r="B58" s="1053" t="s">
        <v>913</v>
      </c>
      <c r="C58" s="1060">
        <f>_xlfn.IFERROR(VLOOKUP(B58,'[1]ПО КОРИСНИЦИМА'!$C$3:$J$11609,5,FALSE),"")</f>
      </c>
      <c r="D58" s="1064"/>
      <c r="E58" s="1058">
        <f t="shared" si="0"/>
        <v>0</v>
      </c>
      <c r="F58" s="1065"/>
      <c r="G58" s="1061">
        <f t="shared" si="1"/>
        <v>0</v>
      </c>
      <c r="H58" s="1062"/>
    </row>
    <row r="59" spans="1:8" ht="12.75" hidden="1">
      <c r="A59" s="1053"/>
      <c r="B59" s="1053" t="s">
        <v>914</v>
      </c>
      <c r="C59" s="1060">
        <f>_xlfn.IFERROR(VLOOKUP(B59,'[1]ПО КОРИСНИЦИМА'!$C$3:$J$11609,5,FALSE),"")</f>
      </c>
      <c r="D59" s="1064" t="e">
        <f>SUMIF('[1]ПО КОРИСНИЦИМА'!$G$3:$G$11609,"Свега за пројекат 0601-П12:",'[1]ПО КОРИСНИЦИМА'!$H$3:$H$11609)</f>
        <v>#VALUE!</v>
      </c>
      <c r="E59" s="1058" t="e">
        <f t="shared" si="0"/>
        <v>#VALUE!</v>
      </c>
      <c r="F59" s="1065" t="e">
        <f>SUMIF('[1]ПО КОРИСНИЦИМА'!$G$3:$G$11609,"Свега за пројекат 0601-П12:",'[1]ПО КОРИСНИЦИМА'!$I$3:$I$11609)</f>
        <v>#VALUE!</v>
      </c>
      <c r="G59" s="1061" t="e">
        <f t="shared" si="1"/>
        <v>#VALUE!</v>
      </c>
      <c r="H59" s="1062"/>
    </row>
    <row r="60" spans="1:8" ht="12.75" hidden="1">
      <c r="A60" s="1053"/>
      <c r="B60" s="1053" t="s">
        <v>915</v>
      </c>
      <c r="C60" s="1060">
        <f>_xlfn.IFERROR(VLOOKUP(B60,'[1]ПО КОРИСНИЦИМА'!$C$3:$J$11609,5,FALSE),"")</f>
      </c>
      <c r="D60" s="1064" t="e">
        <f>SUMIF('[1]ПО КОРИСНИЦИМА'!$G$3:$G$11609,"Свега за пројекат 0601-П13:",'[1]ПО КОРИСНИЦИМА'!$H$3:$H$11609)</f>
        <v>#VALUE!</v>
      </c>
      <c r="E60" s="1058" t="e">
        <f t="shared" si="0"/>
        <v>#VALUE!</v>
      </c>
      <c r="F60" s="1065" t="e">
        <f>SUMIF('[1]ПО КОРИСНИЦИМА'!$G$3:$G$11609,"Свега за пројекат 0601-П13:",'[1]ПО КОРИСНИЦИМА'!$I$3:$I$11609)</f>
        <v>#VALUE!</v>
      </c>
      <c r="G60" s="1061" t="e">
        <f t="shared" si="1"/>
        <v>#VALUE!</v>
      </c>
      <c r="H60" s="1062"/>
    </row>
    <row r="61" spans="1:8" ht="12.75" hidden="1">
      <c r="A61" s="1053"/>
      <c r="B61" s="1053" t="s">
        <v>916</v>
      </c>
      <c r="C61" s="1060">
        <f>_xlfn.IFERROR(VLOOKUP(B61,'[1]ПО КОРИСНИЦИМА'!$C$3:$J$11609,5,FALSE),"")</f>
      </c>
      <c r="D61" s="1064" t="e">
        <f>SUMIF('[1]ПО КОРИСНИЦИМА'!$G$3:$G$11609,"Свега за пројекат 0601-П14:",'[1]ПО КОРИСНИЦИМА'!$H$3:$H$11609)</f>
        <v>#VALUE!</v>
      </c>
      <c r="E61" s="1058" t="e">
        <f t="shared" si="0"/>
        <v>#VALUE!</v>
      </c>
      <c r="F61" s="1065" t="e">
        <f>SUMIF('[1]ПО КОРИСНИЦИМА'!$G$3:$G$11609,"Свега за пројекат 0601-П14:",'[1]ПО КОРИСНИЦИМА'!$I$3:$I$11609)</f>
        <v>#VALUE!</v>
      </c>
      <c r="G61" s="1061" t="e">
        <f t="shared" si="1"/>
        <v>#VALUE!</v>
      </c>
      <c r="H61" s="1062"/>
    </row>
    <row r="62" spans="1:8" ht="12.75" hidden="1">
      <c r="A62" s="1053"/>
      <c r="B62" s="1053" t="s">
        <v>917</v>
      </c>
      <c r="C62" s="1060">
        <f>_xlfn.IFERROR(VLOOKUP(B62,'[1]ПО КОРИСНИЦИМА'!$C$3:$J$11609,5,FALSE),"")</f>
      </c>
      <c r="D62" s="1064" t="e">
        <f>SUMIF('[1]ПО КОРИСНИЦИМА'!$G$3:$G$11609,"Свега за пројекат 0601-П15:",'[1]ПО КОРИСНИЦИМА'!$H$3:$H$11609)</f>
        <v>#VALUE!</v>
      </c>
      <c r="E62" s="1058" t="e">
        <f t="shared" si="0"/>
        <v>#VALUE!</v>
      </c>
      <c r="F62" s="1065" t="e">
        <f>SUMIF('[1]ПО КОРИСНИЦИМА'!$G$3:$G$11609,"Свега за пројекат 0601-П15:",'[1]ПО КОРИСНИЦИМА'!$I$3:$I$11609)</f>
        <v>#VALUE!</v>
      </c>
      <c r="G62" s="1061" t="e">
        <f t="shared" si="1"/>
        <v>#VALUE!</v>
      </c>
      <c r="H62" s="1062"/>
    </row>
    <row r="63" spans="1:8" ht="12.75" hidden="1">
      <c r="A63" s="1053"/>
      <c r="B63" s="1053" t="s">
        <v>918</v>
      </c>
      <c r="C63" s="1060">
        <f>_xlfn.IFERROR(VLOOKUP(B63,'[1]ПО КОРИСНИЦИМА'!$C$3:$J$11609,5,FALSE),"")</f>
      </c>
      <c r="D63" s="1064" t="e">
        <f>SUMIF('[1]ПО КОРИСНИЦИМА'!$G$3:$G$11609,"Свега за пројекат 0601-П16:",'[1]ПО КОРИСНИЦИМА'!$H$3:$H$11609)</f>
        <v>#VALUE!</v>
      </c>
      <c r="E63" s="1058" t="e">
        <f t="shared" si="0"/>
        <v>#VALUE!</v>
      </c>
      <c r="F63" s="1065" t="e">
        <f>SUMIF('[1]ПО КОРИСНИЦИМА'!$G$3:$G$11609,"Свега за пројекат 0601-П16:",'[1]ПО КОРИСНИЦИМА'!$I$3:$I$11609)</f>
        <v>#VALUE!</v>
      </c>
      <c r="G63" s="1061" t="e">
        <f t="shared" si="1"/>
        <v>#VALUE!</v>
      </c>
      <c r="H63" s="1062"/>
    </row>
    <row r="64" spans="1:8" ht="12.75" hidden="1">
      <c r="A64" s="1053"/>
      <c r="B64" s="1053" t="s">
        <v>919</v>
      </c>
      <c r="C64" s="1060">
        <f>_xlfn.IFERROR(VLOOKUP(B64,'[1]ПО КОРИСНИЦИМА'!$C$3:$J$11609,5,FALSE),"")</f>
      </c>
      <c r="D64" s="1064" t="e">
        <f>SUMIF('[1]ПО КОРИСНИЦИМА'!$G$3:$G$11609,"Свега за пројекат 0601-П17:",'[1]ПО КОРИСНИЦИМА'!$H$3:$H$11609)</f>
        <v>#VALUE!</v>
      </c>
      <c r="E64" s="1058" t="e">
        <f t="shared" si="0"/>
        <v>#VALUE!</v>
      </c>
      <c r="F64" s="1065" t="e">
        <f>SUMIF('[1]ПО КОРИСНИЦИМА'!$G$3:$G$11609,"Свега за пројекат 0601-П17:",'[1]ПО КОРИСНИЦИМА'!$I$3:$I$11609)</f>
        <v>#VALUE!</v>
      </c>
      <c r="G64" s="1061" t="e">
        <f t="shared" si="1"/>
        <v>#VALUE!</v>
      </c>
      <c r="H64" s="1062"/>
    </row>
    <row r="65" spans="1:8" ht="12.75" hidden="1">
      <c r="A65" s="1053"/>
      <c r="B65" s="1053" t="s">
        <v>920</v>
      </c>
      <c r="C65" s="1060">
        <f>_xlfn.IFERROR(VLOOKUP(B65,'[1]ПО КОРИСНИЦИМА'!$C$3:$J$11609,5,FALSE),"")</f>
      </c>
      <c r="D65" s="1064" t="e">
        <f>SUMIF('[1]ПО КОРИСНИЦИМА'!$G$3:$G$11609,"Свега за пројекат 0601-П18:",'[1]ПО КОРИСНИЦИМА'!$H$3:$H$11609)</f>
        <v>#VALUE!</v>
      </c>
      <c r="E65" s="1058" t="e">
        <f t="shared" si="0"/>
        <v>#VALUE!</v>
      </c>
      <c r="F65" s="1065" t="e">
        <f>SUMIF('[1]ПО КОРИСНИЦИМА'!$G$3:$G$11609,"Свега за пројекат 0601-П18:",'[1]ПО КОРИСНИЦИМА'!$I$3:$I$11609)</f>
        <v>#VALUE!</v>
      </c>
      <c r="G65" s="1061" t="e">
        <f t="shared" si="1"/>
        <v>#VALUE!</v>
      </c>
      <c r="H65" s="1062"/>
    </row>
    <row r="66" spans="1:8" ht="12.75" hidden="1">
      <c r="A66" s="1053"/>
      <c r="B66" s="1053" t="s">
        <v>921</v>
      </c>
      <c r="C66" s="1060">
        <f>_xlfn.IFERROR(VLOOKUP(B66,'[1]ПО КОРИСНИЦИМА'!$C$3:$J$11609,5,FALSE),"")</f>
      </c>
      <c r="D66" s="1064" t="e">
        <f>SUMIF('[1]ПО КОРИСНИЦИМА'!$G$3:$G$11609,"Свега за пројекат 0601-П19:",'[1]ПО КОРИСНИЦИМА'!$H$3:$H$11609)</f>
        <v>#VALUE!</v>
      </c>
      <c r="E66" s="1058" t="e">
        <f t="shared" si="0"/>
        <v>#VALUE!</v>
      </c>
      <c r="F66" s="1065" t="e">
        <f>SUMIF('[1]ПО КОРИСНИЦИМА'!$G$3:$G$11609,"Свега за пројекат 0601-П19:",'[1]ПО КОРИСНИЦИМА'!$I$3:$I$11609)</f>
        <v>#VALUE!</v>
      </c>
      <c r="G66" s="1061" t="e">
        <f t="shared" si="1"/>
        <v>#VALUE!</v>
      </c>
      <c r="H66" s="1062"/>
    </row>
    <row r="67" spans="1:8" ht="12.75" hidden="1">
      <c r="A67" s="1053"/>
      <c r="B67" s="1053" t="s">
        <v>922</v>
      </c>
      <c r="C67" s="1060">
        <f>_xlfn.IFERROR(VLOOKUP(B67,'[1]ПО КОРИСНИЦИМА'!$C$3:$J$11609,5,FALSE),"")</f>
      </c>
      <c r="D67" s="1064" t="e">
        <f>SUMIF('[1]ПО КОРИСНИЦИМА'!$G$3:$G$11609,"Свега за пројекат 0601-П20:",'[1]ПО КОРИСНИЦИМА'!$H$3:$H$11609)</f>
        <v>#VALUE!</v>
      </c>
      <c r="E67" s="1058" t="e">
        <f t="shared" si="0"/>
        <v>#VALUE!</v>
      </c>
      <c r="F67" s="1065" t="e">
        <f>SUMIF('[1]ПО КОРИСНИЦИМА'!$G$3:$G$11609,"Свега за пројекат 0601-П20:",'[1]ПО КОРИСНИЦИМА'!$I$3:$I$11609)</f>
        <v>#VALUE!</v>
      </c>
      <c r="G67" s="1061" t="e">
        <f t="shared" si="1"/>
        <v>#VALUE!</v>
      </c>
      <c r="H67" s="1062"/>
    </row>
    <row r="68" spans="1:8" ht="12.75" hidden="1">
      <c r="A68" s="1053"/>
      <c r="B68" s="1053" t="s">
        <v>923</v>
      </c>
      <c r="C68" s="1060">
        <f>_xlfn.IFERROR(VLOOKUP(B68,'[1]ПО КОРИСНИЦИМА'!$C$3:$J$11609,5,FALSE),"")</f>
      </c>
      <c r="D68" s="1064" t="e">
        <f>SUMIF('[1]ПО КОРИСНИЦИМА'!$G$3:$G$11609,"Свега за пројекат 0601-П21:",'[1]ПО КОРИСНИЦИМА'!$H$3:$H$11609)</f>
        <v>#VALUE!</v>
      </c>
      <c r="E68" s="1058" t="e">
        <f t="shared" si="0"/>
        <v>#VALUE!</v>
      </c>
      <c r="F68" s="1065" t="e">
        <f>SUMIF('[1]ПО КОРИСНИЦИМА'!$G$3:$G$11609,"Свега за пројекат 0601-П21:",'[1]ПО КОРИСНИЦИМА'!$I$3:$I$11609)</f>
        <v>#VALUE!</v>
      </c>
      <c r="G68" s="1061" t="e">
        <f t="shared" si="1"/>
        <v>#VALUE!</v>
      </c>
      <c r="H68" s="1062"/>
    </row>
    <row r="69" spans="1:8" ht="12.75" hidden="1">
      <c r="A69" s="1053"/>
      <c r="B69" s="1053" t="s">
        <v>924</v>
      </c>
      <c r="C69" s="1060">
        <f>_xlfn.IFERROR(VLOOKUP(B69,'[1]ПО КОРИСНИЦИМА'!$C$3:$J$11609,5,FALSE),"")</f>
      </c>
      <c r="D69" s="1064" t="e">
        <f>SUMIF('[1]ПО КОРИСНИЦИМА'!$G$3:$G$11609,"Свега за пројекат 0601-П22:",'[1]ПО КОРИСНИЦИМА'!$H$3:$H$11609)</f>
        <v>#VALUE!</v>
      </c>
      <c r="E69" s="1058" t="e">
        <f t="shared" si="0"/>
        <v>#VALUE!</v>
      </c>
      <c r="F69" s="1065" t="e">
        <f>SUMIF('[1]ПО КОРИСНИЦИМА'!$G$3:$G$11609,"Свега за пројекат 0601-П22:",'[1]ПО КОРИСНИЦИМА'!$I$3:$I$11609)</f>
        <v>#VALUE!</v>
      </c>
      <c r="G69" s="1061" t="e">
        <f aca="true" t="shared" si="2" ref="G69:G132">D69+F69</f>
        <v>#VALUE!</v>
      </c>
      <c r="H69" s="1062"/>
    </row>
    <row r="70" spans="1:8" ht="12.75" hidden="1">
      <c r="A70" s="1053"/>
      <c r="B70" s="1053" t="s">
        <v>925</v>
      </c>
      <c r="C70" s="1060">
        <f>_xlfn.IFERROR(VLOOKUP(B70,'[1]ПО КОРИСНИЦИМА'!$C$3:$J$11609,5,FALSE),"")</f>
      </c>
      <c r="D70" s="1064" t="e">
        <f>SUMIF('[1]ПО КОРИСНИЦИМА'!$G$3:$G$11609,"Свега за пројекат 0601-П23:",'[1]ПО КОРИСНИЦИМА'!$H$3:$H$11609)</f>
        <v>#VALUE!</v>
      </c>
      <c r="E70" s="1058" t="e">
        <f aca="true" t="shared" si="3" ref="E70:E133">D70/444656763</f>
        <v>#VALUE!</v>
      </c>
      <c r="F70" s="1065" t="e">
        <f>SUMIF('[1]ПО КОРИСНИЦИМА'!$G$3:$G$11609,"Свега за пројекат 0601-П23:",'[1]ПО КОРИСНИЦИМА'!$I$3:$I$11609)</f>
        <v>#VALUE!</v>
      </c>
      <c r="G70" s="1061" t="e">
        <f t="shared" si="2"/>
        <v>#VALUE!</v>
      </c>
      <c r="H70" s="1062"/>
    </row>
    <row r="71" spans="1:8" ht="12.75" hidden="1">
      <c r="A71" s="1053"/>
      <c r="B71" s="1053" t="s">
        <v>926</v>
      </c>
      <c r="C71" s="1060">
        <f>_xlfn.IFERROR(VLOOKUP(B71,'[1]ПО КОРИСНИЦИМА'!$C$3:$J$11609,5,FALSE),"")</f>
      </c>
      <c r="D71" s="1064" t="e">
        <f>SUMIF('[1]ПО КОРИСНИЦИМА'!$G$3:$G$11609,"Свега за пројекат 0601-П24:",'[1]ПО КОРИСНИЦИМА'!$H$3:$H$11609)</f>
        <v>#VALUE!</v>
      </c>
      <c r="E71" s="1058" t="e">
        <f t="shared" si="3"/>
        <v>#VALUE!</v>
      </c>
      <c r="F71" s="1065" t="e">
        <f>SUMIF('[1]ПО КОРИСНИЦИМА'!$G$3:$G$11609,"Свега за пројекат 0601-П24:",'[1]ПО КОРИСНИЦИМА'!$I$3:$I$11609)</f>
        <v>#VALUE!</v>
      </c>
      <c r="G71" s="1061" t="e">
        <f t="shared" si="2"/>
        <v>#VALUE!</v>
      </c>
      <c r="H71" s="1062"/>
    </row>
    <row r="72" spans="1:8" ht="12.75" hidden="1">
      <c r="A72" s="1053"/>
      <c r="B72" s="1053" t="s">
        <v>927</v>
      </c>
      <c r="C72" s="1060">
        <f>_xlfn.IFERROR(VLOOKUP(B72,'[1]ПО КОРИСНИЦИМА'!$C$3:$J$11609,5,FALSE),"")</f>
      </c>
      <c r="D72" s="1064" t="e">
        <f>SUMIF('[1]ПО КОРИСНИЦИМА'!$G$3:$G$11609,"Свега за пројекат 0601-П25:",'[1]ПО КОРИСНИЦИМА'!$H$3:$H$11609)</f>
        <v>#VALUE!</v>
      </c>
      <c r="E72" s="1058" t="e">
        <f t="shared" si="3"/>
        <v>#VALUE!</v>
      </c>
      <c r="F72" s="1065" t="e">
        <f>SUMIF('[1]ПО КОРИСНИЦИМА'!$G$3:$G$11609,"Свега за пројекат 0601-П25:",'[1]ПО КОРИСНИЦИМА'!$I$3:$I$11609)</f>
        <v>#VALUE!</v>
      </c>
      <c r="G72" s="1061" t="e">
        <f t="shared" si="2"/>
        <v>#VALUE!</v>
      </c>
      <c r="H72" s="1062"/>
    </row>
    <row r="73" spans="1:8" ht="12.75" hidden="1">
      <c r="A73" s="1053"/>
      <c r="B73" s="1053" t="s">
        <v>928</v>
      </c>
      <c r="C73" s="1060">
        <f>_xlfn.IFERROR(VLOOKUP(B73,'[1]ПО КОРИСНИЦИМА'!$C$3:$J$11609,5,FALSE),"")</f>
      </c>
      <c r="D73" s="1064" t="e">
        <f>SUMIF('[1]ПО КОРИСНИЦИМА'!$G$3:$G$11609,"Свега за пројекат 0601-П26:",'[1]ПО КОРИСНИЦИМА'!$H$3:$H$11609)</f>
        <v>#VALUE!</v>
      </c>
      <c r="E73" s="1058" t="e">
        <f t="shared" si="3"/>
        <v>#VALUE!</v>
      </c>
      <c r="F73" s="1065" t="e">
        <f>SUMIF('[1]ПО КОРИСНИЦИМА'!$G$3:$G$11609,"Свега за пројекат 0601-П26:",'[1]ПО КОРИСНИЦИМА'!$I$3:$I$11609)</f>
        <v>#VALUE!</v>
      </c>
      <c r="G73" s="1061" t="e">
        <f t="shared" si="2"/>
        <v>#VALUE!</v>
      </c>
      <c r="H73" s="1062"/>
    </row>
    <row r="74" spans="1:8" ht="12.75" hidden="1">
      <c r="A74" s="1053"/>
      <c r="B74" s="1053" t="s">
        <v>929</v>
      </c>
      <c r="C74" s="1060">
        <f>_xlfn.IFERROR(VLOOKUP(B74,'[1]ПО КОРИСНИЦИМА'!$C$3:$J$11609,5,FALSE),"")</f>
      </c>
      <c r="D74" s="1064" t="e">
        <f>SUMIF('[1]ПО КОРИСНИЦИМА'!$G$3:$G$11609,"Свега за пројекат 0601-П27:",'[1]ПО КОРИСНИЦИМА'!$H$3:$H$11609)</f>
        <v>#VALUE!</v>
      </c>
      <c r="E74" s="1058" t="e">
        <f t="shared" si="3"/>
        <v>#VALUE!</v>
      </c>
      <c r="F74" s="1065" t="e">
        <f>SUMIF('[1]ПО КОРИСНИЦИМА'!$G$3:$G$11609,"Свега за пројекат 0601-П27:",'[1]ПО КОРИСНИЦИМА'!$I$3:$I$11609)</f>
        <v>#VALUE!</v>
      </c>
      <c r="G74" s="1061" t="e">
        <f t="shared" si="2"/>
        <v>#VALUE!</v>
      </c>
      <c r="H74" s="1062"/>
    </row>
    <row r="75" spans="1:8" ht="12.75" hidden="1">
      <c r="A75" s="1053"/>
      <c r="B75" s="1053" t="s">
        <v>930</v>
      </c>
      <c r="C75" s="1060">
        <f>_xlfn.IFERROR(VLOOKUP(B75,'[1]ПО КОРИСНИЦИМА'!$C$3:$J$11609,5,FALSE),"")</f>
      </c>
      <c r="D75" s="1064" t="e">
        <f>SUMIF('[1]ПО КОРИСНИЦИМА'!$G$3:$G$11609,"Свега за пројекат 0601-П28:",'[1]ПО КОРИСНИЦИМА'!$H$3:$H$11609)</f>
        <v>#VALUE!</v>
      </c>
      <c r="E75" s="1058" t="e">
        <f t="shared" si="3"/>
        <v>#VALUE!</v>
      </c>
      <c r="F75" s="1065" t="e">
        <f>SUMIF('[1]ПО КОРИСНИЦИМА'!$G$3:$G$11609,"Свега за пројекат 0601-П28:",'[1]ПО КОРИСНИЦИМА'!$I$3:$I$11609)</f>
        <v>#VALUE!</v>
      </c>
      <c r="G75" s="1061" t="e">
        <f t="shared" si="2"/>
        <v>#VALUE!</v>
      </c>
      <c r="H75" s="1062"/>
    </row>
    <row r="76" spans="1:8" ht="12.75" hidden="1">
      <c r="A76" s="1053"/>
      <c r="B76" s="1053" t="s">
        <v>931</v>
      </c>
      <c r="C76" s="1060">
        <f>_xlfn.IFERROR(VLOOKUP(B76,'[1]ПО КОРИСНИЦИМА'!$C$3:$J$11609,5,FALSE),"")</f>
      </c>
      <c r="D76" s="1064" t="e">
        <f>SUMIF('[1]ПО КОРИСНИЦИМА'!$G$3:$G$11609,"Свега за пројекат 0601-П29:",'[1]ПО КОРИСНИЦИМА'!$H$3:$H$11609)</f>
        <v>#VALUE!</v>
      </c>
      <c r="E76" s="1058" t="e">
        <f t="shared" si="3"/>
        <v>#VALUE!</v>
      </c>
      <c r="F76" s="1065" t="e">
        <f>SUMIF('[1]ПО КОРИСНИЦИМА'!$G$3:$G$11609,"Свега за пројекат 0601-П29:",'[1]ПО КОРИСНИЦИМА'!$I$3:$I$11609)</f>
        <v>#VALUE!</v>
      </c>
      <c r="G76" s="1061" t="e">
        <f t="shared" si="2"/>
        <v>#VALUE!</v>
      </c>
      <c r="H76" s="1062"/>
    </row>
    <row r="77" spans="1:8" ht="12.75" hidden="1">
      <c r="A77" s="1053"/>
      <c r="B77" s="1053" t="s">
        <v>932</v>
      </c>
      <c r="C77" s="1060">
        <f>_xlfn.IFERROR(VLOOKUP(B77,'[1]ПО КОРИСНИЦИМА'!$C$3:$J$11609,5,FALSE),"")</f>
      </c>
      <c r="D77" s="1064" t="e">
        <f>SUMIF('[1]ПО КОРИСНИЦИМА'!$G$3:$G$11609,"Свега за пројекат 0601-П30:",'[1]ПО КОРИСНИЦИМА'!$H$3:$H$11609)</f>
        <v>#VALUE!</v>
      </c>
      <c r="E77" s="1058" t="e">
        <f t="shared" si="3"/>
        <v>#VALUE!</v>
      </c>
      <c r="F77" s="1065" t="e">
        <f>SUMIF('[1]ПО КОРИСНИЦИМА'!$G$3:$G$11609,"Свега за пројекат 0601-П30:",'[1]ПО КОРИСНИЦИМА'!$I$3:$I$11609)</f>
        <v>#VALUE!</v>
      </c>
      <c r="G77" s="1061" t="e">
        <f t="shared" si="2"/>
        <v>#VALUE!</v>
      </c>
      <c r="H77" s="1062"/>
    </row>
    <row r="78" spans="1:8" ht="12.75" hidden="1">
      <c r="A78" s="1053"/>
      <c r="B78" s="1053" t="s">
        <v>933</v>
      </c>
      <c r="C78" s="1060">
        <f>_xlfn.IFERROR(VLOOKUP(B78,'[1]ПО КОРИСНИЦИМА'!$C$3:$J$11609,5,FALSE),"")</f>
      </c>
      <c r="D78" s="1064" t="e">
        <f>SUMIF('[1]ПО КОРИСНИЦИМА'!$G$3:$G$11609,"Свега за пројекат 0601-П31:",'[1]ПО КОРИСНИЦИМА'!$H$3:$H$11609)</f>
        <v>#VALUE!</v>
      </c>
      <c r="E78" s="1058" t="e">
        <f t="shared" si="3"/>
        <v>#VALUE!</v>
      </c>
      <c r="F78" s="1065" t="e">
        <f>SUMIF('[1]ПО КОРИСНИЦИМА'!$G$3:$G$11609,"Свега за пројекат 0601-П31:",'[1]ПО КОРИСНИЦИМА'!$I$3:$I$11609)</f>
        <v>#VALUE!</v>
      </c>
      <c r="G78" s="1061" t="e">
        <f t="shared" si="2"/>
        <v>#VALUE!</v>
      </c>
      <c r="H78" s="1062"/>
    </row>
    <row r="79" spans="1:8" ht="12.75" hidden="1">
      <c r="A79" s="1053"/>
      <c r="B79" s="1053" t="s">
        <v>934</v>
      </c>
      <c r="C79" s="1060">
        <f>_xlfn.IFERROR(VLOOKUP(B79,'[1]ПО КОРИСНИЦИМА'!$C$3:$J$11609,5,FALSE),"")</f>
      </c>
      <c r="D79" s="1064" t="e">
        <f>SUMIF('[1]ПО КОРИСНИЦИМА'!$G$3:$G$11609,"Свега за пројекат 0601-П32:",'[1]ПО КОРИСНИЦИМА'!$H$3:$H$11609)</f>
        <v>#VALUE!</v>
      </c>
      <c r="E79" s="1058" t="e">
        <f t="shared" si="3"/>
        <v>#VALUE!</v>
      </c>
      <c r="F79" s="1065" t="e">
        <f>SUMIF('[1]ПО КОРИСНИЦИМА'!$G$3:$G$11609,"Свега за пројекат 0601-П32:",'[1]ПО КОРИСНИЦИМА'!$I$3:$I$11609)</f>
        <v>#VALUE!</v>
      </c>
      <c r="G79" s="1061" t="e">
        <f t="shared" si="2"/>
        <v>#VALUE!</v>
      </c>
      <c r="H79" s="1062"/>
    </row>
    <row r="80" spans="1:8" ht="12.75" hidden="1">
      <c r="A80" s="1053"/>
      <c r="B80" s="1053" t="s">
        <v>935</v>
      </c>
      <c r="C80" s="1060">
        <f>_xlfn.IFERROR(VLOOKUP(B80,'[1]ПО КОРИСНИЦИМА'!$C$3:$J$11609,5,FALSE),"")</f>
      </c>
      <c r="D80" s="1064" t="e">
        <f>SUMIF('[1]ПО КОРИСНИЦИМА'!$G$3:$G$11609,"Свега за пројекат 0601-П33:",'[1]ПО КОРИСНИЦИМА'!$H$3:$H$11609)</f>
        <v>#VALUE!</v>
      </c>
      <c r="E80" s="1058" t="e">
        <f t="shared" si="3"/>
        <v>#VALUE!</v>
      </c>
      <c r="F80" s="1065" t="e">
        <f>SUMIF('[1]ПО КОРИСНИЦИМА'!$G$3:$G$11609,"Свега за пројекат 0601-П33:",'[1]ПО КОРИСНИЦИМА'!$I$3:$I$11609)</f>
        <v>#VALUE!</v>
      </c>
      <c r="G80" s="1061" t="e">
        <f t="shared" si="2"/>
        <v>#VALUE!</v>
      </c>
      <c r="H80" s="1062"/>
    </row>
    <row r="81" spans="1:8" ht="12.75" hidden="1">
      <c r="A81" s="1053"/>
      <c r="B81" s="1053" t="s">
        <v>936</v>
      </c>
      <c r="C81" s="1060">
        <f>_xlfn.IFERROR(VLOOKUP(B81,'[1]ПО КОРИСНИЦИМА'!$C$3:$J$11609,5,FALSE),"")</f>
      </c>
      <c r="D81" s="1064" t="e">
        <f>SUMIF('[1]ПО КОРИСНИЦИМА'!$G$3:$G$11609,"Свега за пројекат 0601-П34:",'[1]ПО КОРИСНИЦИМА'!$H$3:$H$11609)</f>
        <v>#VALUE!</v>
      </c>
      <c r="E81" s="1058" t="e">
        <f t="shared" si="3"/>
        <v>#VALUE!</v>
      </c>
      <c r="F81" s="1065" t="e">
        <f>SUMIF('[1]ПО КОРИСНИЦИМА'!$G$3:$G$11609,"Свега за пројекат 0601-П34:",'[1]ПО КОРИСНИЦИМА'!$I$3:$I$11609)</f>
        <v>#VALUE!</v>
      </c>
      <c r="G81" s="1061" t="e">
        <f t="shared" si="2"/>
        <v>#VALUE!</v>
      </c>
      <c r="H81" s="1062"/>
    </row>
    <row r="82" spans="1:8" ht="12.75" hidden="1">
      <c r="A82" s="1053"/>
      <c r="B82" s="1053" t="s">
        <v>937</v>
      </c>
      <c r="C82" s="1060">
        <f>_xlfn.IFERROR(VLOOKUP(B82,'[1]ПО КОРИСНИЦИМА'!$C$3:$J$11609,5,FALSE),"")</f>
      </c>
      <c r="D82" s="1064" t="e">
        <f>SUMIF('[1]ПО КОРИСНИЦИМА'!$G$3:$G$11609,"Свега за пројекат 0601-П35:",'[1]ПО КОРИСНИЦИМА'!$H$3:$H$11609)</f>
        <v>#VALUE!</v>
      </c>
      <c r="E82" s="1058" t="e">
        <f t="shared" si="3"/>
        <v>#VALUE!</v>
      </c>
      <c r="F82" s="1065" t="e">
        <f>SUMIF('[1]ПО КОРИСНИЦИМА'!$G$3:$G$11609,"Свега за пројекат 0601-П35:",'[1]ПО КОРИСНИЦИМА'!$I$3:$I$11609)</f>
        <v>#VALUE!</v>
      </c>
      <c r="G82" s="1061" t="e">
        <f t="shared" si="2"/>
        <v>#VALUE!</v>
      </c>
      <c r="H82" s="1062"/>
    </row>
    <row r="83" spans="1:8" ht="12.75" hidden="1">
      <c r="A83" s="1053"/>
      <c r="B83" s="1053" t="s">
        <v>938</v>
      </c>
      <c r="C83" s="1060">
        <f>_xlfn.IFERROR(VLOOKUP(B83,'[1]ПО КОРИСНИЦИМА'!$C$3:$J$11609,5,FALSE),"")</f>
      </c>
      <c r="D83" s="1064" t="e">
        <f>SUMIF('[1]ПО КОРИСНИЦИМА'!$G$3:$G$11609,"Свега за пројекат 0601-П36:",'[1]ПО КОРИСНИЦИМА'!$H$3:$H$11609)</f>
        <v>#VALUE!</v>
      </c>
      <c r="E83" s="1058" t="e">
        <f t="shared" si="3"/>
        <v>#VALUE!</v>
      </c>
      <c r="F83" s="1065" t="e">
        <f>SUMIF('[1]ПО КОРИСНИЦИМА'!$G$3:$G$11609,"Свега за пројекат 0601-П36:",'[1]ПО КОРИСНИЦИМА'!$I$3:$I$11609)</f>
        <v>#VALUE!</v>
      </c>
      <c r="G83" s="1061" t="e">
        <f t="shared" si="2"/>
        <v>#VALUE!</v>
      </c>
      <c r="H83" s="1062"/>
    </row>
    <row r="84" spans="1:8" ht="12.75" hidden="1">
      <c r="A84" s="1053"/>
      <c r="B84" s="1053" t="s">
        <v>939</v>
      </c>
      <c r="C84" s="1060">
        <f>_xlfn.IFERROR(VLOOKUP(B84,'[1]ПО КОРИСНИЦИМА'!$C$3:$J$11609,5,FALSE),"")</f>
      </c>
      <c r="D84" s="1064" t="e">
        <f>SUMIF('[1]ПО КОРИСНИЦИМА'!$G$3:$G$11609,"Свега за пројекат 0601-П37:",'[1]ПО КОРИСНИЦИМА'!$H$3:$H$11609)</f>
        <v>#VALUE!</v>
      </c>
      <c r="E84" s="1058" t="e">
        <f t="shared" si="3"/>
        <v>#VALUE!</v>
      </c>
      <c r="F84" s="1065" t="e">
        <f>SUMIF('[1]ПО КОРИСНИЦИМА'!$G$3:$G$11609,"Свега за пројекат 0601-П37:",'[1]ПО КОРИСНИЦИМА'!$I$3:$I$11609)</f>
        <v>#VALUE!</v>
      </c>
      <c r="G84" s="1061" t="e">
        <f t="shared" si="2"/>
        <v>#VALUE!</v>
      </c>
      <c r="H84" s="1062"/>
    </row>
    <row r="85" spans="1:8" ht="12.75" hidden="1">
      <c r="A85" s="1053"/>
      <c r="B85" s="1053" t="s">
        <v>940</v>
      </c>
      <c r="C85" s="1060">
        <f>_xlfn.IFERROR(VLOOKUP(B85,'[1]ПО КОРИСНИЦИМА'!$C$3:$J$11609,5,FALSE),"")</f>
      </c>
      <c r="D85" s="1064" t="e">
        <f>SUMIF('[1]ПО КОРИСНИЦИМА'!$G$3:$G$11609,"Свега за пројекат 0601-П38:",'[1]ПО КОРИСНИЦИМА'!$H$3:$H$11609)</f>
        <v>#VALUE!</v>
      </c>
      <c r="E85" s="1058" t="e">
        <f t="shared" si="3"/>
        <v>#VALUE!</v>
      </c>
      <c r="F85" s="1065" t="e">
        <f>SUMIF('[1]ПО КОРИСНИЦИМА'!$G$3:$G$11609,"Свега за пројекат 0601-П38:",'[1]ПО КОРИСНИЦИМА'!$I$3:$I$11609)</f>
        <v>#VALUE!</v>
      </c>
      <c r="G85" s="1061" t="e">
        <f t="shared" si="2"/>
        <v>#VALUE!</v>
      </c>
      <c r="H85" s="1062"/>
    </row>
    <row r="86" spans="1:8" ht="12.75" hidden="1">
      <c r="A86" s="1053"/>
      <c r="B86" s="1053" t="s">
        <v>941</v>
      </c>
      <c r="C86" s="1060">
        <f>_xlfn.IFERROR(VLOOKUP(B86,'[1]ПО КОРИСНИЦИМА'!$C$3:$J$11609,5,FALSE),"")</f>
      </c>
      <c r="D86" s="1064" t="e">
        <f>SUMIF('[1]ПО КОРИСНИЦИМА'!$G$3:$G$11609,"Свега за пројекат 0601-П39:",'[1]ПО КОРИСНИЦИМА'!$H$3:$H$11609)</f>
        <v>#VALUE!</v>
      </c>
      <c r="E86" s="1058" t="e">
        <f t="shared" si="3"/>
        <v>#VALUE!</v>
      </c>
      <c r="F86" s="1065" t="e">
        <f>SUMIF('[1]ПО КОРИСНИЦИМА'!$G$3:$G$11609,"Свега за пројекат 0601-П39:",'[1]ПО КОРИСНИЦИМА'!$I$3:$I$11609)</f>
        <v>#VALUE!</v>
      </c>
      <c r="G86" s="1061" t="e">
        <f t="shared" si="2"/>
        <v>#VALUE!</v>
      </c>
      <c r="H86" s="1062"/>
    </row>
    <row r="87" spans="1:8" ht="12.75" hidden="1">
      <c r="A87" s="1053"/>
      <c r="B87" s="1053" t="s">
        <v>942</v>
      </c>
      <c r="C87" s="1060">
        <f>_xlfn.IFERROR(VLOOKUP(B87,'[1]ПО КОРИСНИЦИМА'!$C$3:$J$11609,5,FALSE),"")</f>
      </c>
      <c r="D87" s="1064" t="e">
        <f>SUMIF('[1]ПО КОРИСНИЦИМА'!$G$3:$G$11609,"Свега за пројекат 0601-П40:",'[1]ПО КОРИСНИЦИМА'!$H$3:$H$11609)</f>
        <v>#VALUE!</v>
      </c>
      <c r="E87" s="1058" t="e">
        <f t="shared" si="3"/>
        <v>#VALUE!</v>
      </c>
      <c r="F87" s="1065" t="e">
        <f>SUMIF('[1]ПО КОРИСНИЦИМА'!$G$3:$G$11609,"Свега за пројекат 0601-П40:",'[1]ПО КОРИСНИЦИМА'!$I$3:$I$11609)</f>
        <v>#VALUE!</v>
      </c>
      <c r="G87" s="1061" t="e">
        <f t="shared" si="2"/>
        <v>#VALUE!</v>
      </c>
      <c r="H87" s="1062"/>
    </row>
    <row r="88" spans="1:8" ht="12.75" hidden="1">
      <c r="A88" s="1053"/>
      <c r="B88" s="1053" t="s">
        <v>943</v>
      </c>
      <c r="C88" s="1060">
        <f>_xlfn.IFERROR(VLOOKUP(B88,'[1]ПО КОРИСНИЦИМА'!$C$3:$J$11609,5,FALSE),"")</f>
      </c>
      <c r="D88" s="1064" t="e">
        <f>SUMIF('[1]ПО КОРИСНИЦИМА'!$G$3:$G$11609,"Свега за пројекат 0601-П41:",'[1]ПО КОРИСНИЦИМА'!$H$3:$H$11609)</f>
        <v>#VALUE!</v>
      </c>
      <c r="E88" s="1058" t="e">
        <f t="shared" si="3"/>
        <v>#VALUE!</v>
      </c>
      <c r="F88" s="1065" t="e">
        <f>SUMIF('[1]ПО КОРИСНИЦИМА'!$G$3:$G$11609,"Свега за пројекат 0601-П41:",'[1]ПО КОРИСНИЦИМА'!$I$3:$I$11609)</f>
        <v>#VALUE!</v>
      </c>
      <c r="G88" s="1061" t="e">
        <f t="shared" si="2"/>
        <v>#VALUE!</v>
      </c>
      <c r="H88" s="1062"/>
    </row>
    <row r="89" spans="1:8" ht="12.75" hidden="1">
      <c r="A89" s="1053"/>
      <c r="B89" s="1053" t="s">
        <v>944</v>
      </c>
      <c r="C89" s="1060">
        <f>_xlfn.IFERROR(VLOOKUP(B89,'[1]ПО КОРИСНИЦИМА'!$C$3:$J$11609,5,FALSE),"")</f>
      </c>
      <c r="D89" s="1064" t="e">
        <f>SUMIF('[1]ПО КОРИСНИЦИМА'!$G$3:$G$11609,"Свега за пројекат 0601-П42:",'[1]ПО КОРИСНИЦИМА'!$H$3:$H$11609)</f>
        <v>#VALUE!</v>
      </c>
      <c r="E89" s="1058" t="e">
        <f t="shared" si="3"/>
        <v>#VALUE!</v>
      </c>
      <c r="F89" s="1065" t="e">
        <f>SUMIF('[1]ПО КОРИСНИЦИМА'!$G$3:$G$11609,"Свега за пројекат 0601-П42:",'[1]ПО КОРИСНИЦИМА'!$I$3:$I$11609)</f>
        <v>#VALUE!</v>
      </c>
      <c r="G89" s="1061" t="e">
        <f t="shared" si="2"/>
        <v>#VALUE!</v>
      </c>
      <c r="H89" s="1062"/>
    </row>
    <row r="90" spans="1:8" ht="12.75" hidden="1">
      <c r="A90" s="1053"/>
      <c r="B90" s="1053" t="s">
        <v>945</v>
      </c>
      <c r="C90" s="1060">
        <f>_xlfn.IFERROR(VLOOKUP(B90,'[1]ПО КОРИСНИЦИМА'!$C$3:$J$11609,5,FALSE),"")</f>
      </c>
      <c r="D90" s="1064" t="e">
        <f>SUMIF('[1]ПО КОРИСНИЦИМА'!$G$3:$G$11609,"Свега за пројекат 0601-П43:",'[1]ПО КОРИСНИЦИМА'!$H$3:$H$11609)</f>
        <v>#VALUE!</v>
      </c>
      <c r="E90" s="1058" t="e">
        <f t="shared" si="3"/>
        <v>#VALUE!</v>
      </c>
      <c r="F90" s="1065" t="e">
        <f>SUMIF('[1]ПО КОРИСНИЦИМА'!$G$3:$G$11609,"Свега за пројекат 0601-П43:",'[1]ПО КОРИСНИЦИМА'!$I$3:$I$11609)</f>
        <v>#VALUE!</v>
      </c>
      <c r="G90" s="1061" t="e">
        <f t="shared" si="2"/>
        <v>#VALUE!</v>
      </c>
      <c r="H90" s="1062"/>
    </row>
    <row r="91" spans="1:8" ht="12.75" hidden="1">
      <c r="A91" s="1053"/>
      <c r="B91" s="1053" t="s">
        <v>946</v>
      </c>
      <c r="C91" s="1060">
        <f>_xlfn.IFERROR(VLOOKUP(B91,'[1]ПО КОРИСНИЦИМА'!$C$3:$J$11609,5,FALSE),"")</f>
      </c>
      <c r="D91" s="1064" t="e">
        <f>SUMIF('[1]ПО КОРИСНИЦИМА'!$G$3:$G$11609,"Свега за пројекат 0601-П44:",'[1]ПО КОРИСНИЦИМА'!$H$3:$H$11609)</f>
        <v>#VALUE!</v>
      </c>
      <c r="E91" s="1058" t="e">
        <f t="shared" si="3"/>
        <v>#VALUE!</v>
      </c>
      <c r="F91" s="1065" t="e">
        <f>SUMIF('[1]ПО КОРИСНИЦИМА'!$G$3:$G$11609,"Свега за пројекат 0601-П44:",'[1]ПО КОРИСНИЦИМА'!$I$3:$I$11609)</f>
        <v>#VALUE!</v>
      </c>
      <c r="G91" s="1061" t="e">
        <f t="shared" si="2"/>
        <v>#VALUE!</v>
      </c>
      <c r="H91" s="1062"/>
    </row>
    <row r="92" spans="1:8" ht="12.75" hidden="1">
      <c r="A92" s="1053"/>
      <c r="B92" s="1053" t="s">
        <v>947</v>
      </c>
      <c r="C92" s="1060">
        <f>_xlfn.IFERROR(VLOOKUP(B92,'[1]ПО КОРИСНИЦИМА'!$C$3:$J$11609,5,FALSE),"")</f>
      </c>
      <c r="D92" s="1064" t="e">
        <f>SUMIF('[1]ПО КОРИСНИЦИМА'!$G$3:$G$11609,"Свега за пројекат 0601-П45:",'[1]ПО КОРИСНИЦИМА'!$H$3:$H$11609)</f>
        <v>#VALUE!</v>
      </c>
      <c r="E92" s="1058" t="e">
        <f t="shared" si="3"/>
        <v>#VALUE!</v>
      </c>
      <c r="F92" s="1065" t="e">
        <f>SUMIF('[1]ПО КОРИСНИЦИМА'!$G$3:$G$11609,"Свега за пројекат 0601-П45:",'[1]ПО КОРИСНИЦИМА'!$I$3:$I$11609)</f>
        <v>#VALUE!</v>
      </c>
      <c r="G92" s="1061" t="e">
        <f t="shared" si="2"/>
        <v>#VALUE!</v>
      </c>
      <c r="H92" s="1062"/>
    </row>
    <row r="93" spans="1:8" ht="12.75" hidden="1">
      <c r="A93" s="1053"/>
      <c r="B93" s="1053" t="s">
        <v>948</v>
      </c>
      <c r="C93" s="1060">
        <f>_xlfn.IFERROR(VLOOKUP(B93,'[1]ПО КОРИСНИЦИМА'!$C$3:$J$11609,5,FALSE),"")</f>
      </c>
      <c r="D93" s="1064" t="e">
        <f>SUMIF('[1]ПО КОРИСНИЦИМА'!$G$3:$G$11609,"Свега за пројекат 0601-П46:",'[1]ПО КОРИСНИЦИМА'!$H$3:$H$11609)</f>
        <v>#VALUE!</v>
      </c>
      <c r="E93" s="1058" t="e">
        <f t="shared" si="3"/>
        <v>#VALUE!</v>
      </c>
      <c r="F93" s="1065" t="e">
        <f>SUMIF('[1]ПО КОРИСНИЦИМА'!$G$3:$G$11609,"Свега за пројекат 0601-П46:",'[1]ПО КОРИСНИЦИМА'!$I$3:$I$11609)</f>
        <v>#VALUE!</v>
      </c>
      <c r="G93" s="1061" t="e">
        <f t="shared" si="2"/>
        <v>#VALUE!</v>
      </c>
      <c r="H93" s="1062"/>
    </row>
    <row r="94" spans="1:8" ht="12.75" hidden="1">
      <c r="A94" s="1053"/>
      <c r="B94" s="1053" t="s">
        <v>949</v>
      </c>
      <c r="C94" s="1060">
        <f>_xlfn.IFERROR(VLOOKUP(B94,'[1]ПО КОРИСНИЦИМА'!$C$3:$J$11609,5,FALSE),"")</f>
      </c>
      <c r="D94" s="1064" t="e">
        <f>SUMIF('[1]ПО КОРИСНИЦИМА'!$G$3:$G$11609,"Свега за пројекат 0601-П47:",'[1]ПО КОРИСНИЦИМА'!$H$3:$H$11609)</f>
        <v>#VALUE!</v>
      </c>
      <c r="E94" s="1058" t="e">
        <f t="shared" si="3"/>
        <v>#VALUE!</v>
      </c>
      <c r="F94" s="1065" t="e">
        <f>SUMIF('[1]ПО КОРИСНИЦИМА'!$G$3:$G$11609,"Свега за пројекат 0601-П47:",'[1]ПО КОРИСНИЦИМА'!$I$3:$I$11609)</f>
        <v>#VALUE!</v>
      </c>
      <c r="G94" s="1061" t="e">
        <f t="shared" si="2"/>
        <v>#VALUE!</v>
      </c>
      <c r="H94" s="1062"/>
    </row>
    <row r="95" spans="1:8" ht="12.75" hidden="1">
      <c r="A95" s="1053"/>
      <c r="B95" s="1053" t="s">
        <v>950</v>
      </c>
      <c r="C95" s="1060">
        <f>_xlfn.IFERROR(VLOOKUP(B95,'[1]ПО КОРИСНИЦИМА'!$C$3:$J$11609,5,FALSE),"")</f>
      </c>
      <c r="D95" s="1064" t="e">
        <f>SUMIF('[1]ПО КОРИСНИЦИМА'!$G$3:$G$11609,"Свега за пројекат 0601-П48:",'[1]ПО КОРИСНИЦИМА'!$H$3:$H$11609)</f>
        <v>#VALUE!</v>
      </c>
      <c r="E95" s="1058" t="e">
        <f t="shared" si="3"/>
        <v>#VALUE!</v>
      </c>
      <c r="F95" s="1065" t="e">
        <f>SUMIF('[1]ПО КОРИСНИЦИМА'!$G$3:$G$11609,"Свега за пројекат 0601-П48:",'[1]ПО КОРИСНИЦИМА'!$I$3:$I$11609)</f>
        <v>#VALUE!</v>
      </c>
      <c r="G95" s="1061" t="e">
        <f t="shared" si="2"/>
        <v>#VALUE!</v>
      </c>
      <c r="H95" s="1062"/>
    </row>
    <row r="96" spans="1:8" ht="12.75" hidden="1">
      <c r="A96" s="1053"/>
      <c r="B96" s="1053" t="s">
        <v>951</v>
      </c>
      <c r="C96" s="1060">
        <f>_xlfn.IFERROR(VLOOKUP(B96,'[1]ПО КОРИСНИЦИМА'!$C$3:$J$11609,5,FALSE),"")</f>
      </c>
      <c r="D96" s="1064" t="e">
        <f>SUMIF('[1]ПО КОРИСНИЦИМА'!$G$3:$G$11609,"Свега за пројекат 0601-П49:",'[1]ПО КОРИСНИЦИМА'!$H$3:$H$11609)</f>
        <v>#VALUE!</v>
      </c>
      <c r="E96" s="1058" t="e">
        <f t="shared" si="3"/>
        <v>#VALUE!</v>
      </c>
      <c r="F96" s="1065" t="e">
        <f>SUMIF('[1]ПО КОРИСНИЦИМА'!$G$3:$G$11609,"Свега за пројекат 0601-П49:",'[1]ПО КОРИСНИЦИМА'!$I$3:$I$11609)</f>
        <v>#VALUE!</v>
      </c>
      <c r="G96" s="1061" t="e">
        <f t="shared" si="2"/>
        <v>#VALUE!</v>
      </c>
      <c r="H96" s="1062"/>
    </row>
    <row r="97" spans="1:8" ht="12.75" hidden="1">
      <c r="A97" s="1053"/>
      <c r="B97" s="1053" t="s">
        <v>952</v>
      </c>
      <c r="C97" s="1060">
        <f>_xlfn.IFERROR(VLOOKUP(B97,'[1]ПО КОРИСНИЦИМА'!$C$3:$J$11609,5,FALSE),"")</f>
      </c>
      <c r="D97" s="1064" t="e">
        <f>SUMIF('[1]ПО КОРИСНИЦИМА'!$G$3:$G$11609,"Свега за пројекат 0601-П50:",'[1]ПО КОРИСНИЦИМА'!$H$3:$H$11609)</f>
        <v>#VALUE!</v>
      </c>
      <c r="E97" s="1058" t="e">
        <f t="shared" si="3"/>
        <v>#VALUE!</v>
      </c>
      <c r="F97" s="1065" t="e">
        <f>SUMIF('[1]ПО КОРИСНИЦИМА'!$G$3:$G$11609,"Свега за пројекат 0601-П50:",'[1]ПО КОРИСНИЦИМА'!$I$3:$I$11609)</f>
        <v>#VALUE!</v>
      </c>
      <c r="G97" s="1061" t="e">
        <f t="shared" si="2"/>
        <v>#VALUE!</v>
      </c>
      <c r="H97" s="1062"/>
    </row>
    <row r="98" spans="1:8" ht="12.75">
      <c r="A98" s="1054" t="s">
        <v>826</v>
      </c>
      <c r="B98" s="1055"/>
      <c r="C98" s="1056" t="s">
        <v>1169</v>
      </c>
      <c r="D98" s="1057">
        <f>SUM(D99:D106)</f>
        <v>6543000</v>
      </c>
      <c r="E98" s="1058">
        <f t="shared" si="3"/>
        <v>0.01471472053153052</v>
      </c>
      <c r="F98" s="1057">
        <f>SUM(F103:F106)</f>
        <v>100000</v>
      </c>
      <c r="G98" s="1057">
        <f t="shared" si="2"/>
        <v>6643000</v>
      </c>
      <c r="H98" s="1059"/>
    </row>
    <row r="99" spans="1:8" ht="12.75">
      <c r="A99" s="1053"/>
      <c r="B99" s="1053" t="s">
        <v>844</v>
      </c>
      <c r="C99" s="1066" t="s">
        <v>1386</v>
      </c>
      <c r="D99" s="1061">
        <f>'Rashodi-2020'!M354</f>
        <v>2000000</v>
      </c>
      <c r="E99" s="1181">
        <f t="shared" si="3"/>
        <v>0.004497851301094458</v>
      </c>
      <c r="F99" s="1063">
        <f>'Rashodi-2020'!T354</f>
        <v>0</v>
      </c>
      <c r="G99" s="1061">
        <f t="shared" si="2"/>
        <v>2000000</v>
      </c>
      <c r="H99" s="1062" t="s">
        <v>1173</v>
      </c>
    </row>
    <row r="100" spans="1:8" ht="12.75" hidden="1">
      <c r="A100" s="1053"/>
      <c r="B100" s="1053" t="s">
        <v>845</v>
      </c>
      <c r="C100" s="1066" t="s">
        <v>846</v>
      </c>
      <c r="D100" s="1061"/>
      <c r="E100" s="1181">
        <f t="shared" si="3"/>
        <v>0</v>
      </c>
      <c r="F100" s="1063"/>
      <c r="G100" s="1061">
        <f t="shared" si="2"/>
        <v>0</v>
      </c>
      <c r="H100" s="1062"/>
    </row>
    <row r="101" spans="1:8" ht="12.75" hidden="1">
      <c r="A101" s="1053"/>
      <c r="B101" s="1053" t="s">
        <v>847</v>
      </c>
      <c r="C101" s="1066" t="s">
        <v>848</v>
      </c>
      <c r="D101" s="1061"/>
      <c r="E101" s="1181">
        <f t="shared" si="3"/>
        <v>0</v>
      </c>
      <c r="F101" s="1063"/>
      <c r="G101" s="1061">
        <f t="shared" si="2"/>
        <v>0</v>
      </c>
      <c r="H101" s="1062"/>
    </row>
    <row r="102" spans="1:8" ht="12.75" hidden="1">
      <c r="A102" s="1053"/>
      <c r="B102" s="1053" t="s">
        <v>849</v>
      </c>
      <c r="C102" s="1066" t="s">
        <v>850</v>
      </c>
      <c r="D102" s="1061"/>
      <c r="E102" s="1181">
        <f t="shared" si="3"/>
        <v>0</v>
      </c>
      <c r="F102" s="1063"/>
      <c r="G102" s="1061">
        <f t="shared" si="2"/>
        <v>0</v>
      </c>
      <c r="H102" s="1062"/>
    </row>
    <row r="103" spans="1:8" ht="12.75">
      <c r="A103" s="1053"/>
      <c r="B103" s="1053" t="s">
        <v>845</v>
      </c>
      <c r="C103" s="1066" t="s">
        <v>1262</v>
      </c>
      <c r="D103" s="1061">
        <f>'Rashodi-2020'!M360</f>
        <v>1500000</v>
      </c>
      <c r="E103" s="1181">
        <f t="shared" si="3"/>
        <v>0.0033733884758208434</v>
      </c>
      <c r="F103" s="1061">
        <f>'Rashodi-2020'!T360</f>
        <v>0</v>
      </c>
      <c r="G103" s="1061">
        <f t="shared" si="2"/>
        <v>1500000</v>
      </c>
      <c r="H103" s="1062" t="s">
        <v>1173</v>
      </c>
    </row>
    <row r="104" spans="1:8" ht="12.75">
      <c r="A104" s="1053"/>
      <c r="B104" s="1053" t="s">
        <v>847</v>
      </c>
      <c r="C104" s="1060" t="s">
        <v>1354</v>
      </c>
      <c r="D104" s="1064">
        <f>'Rashodi-2020'!M357</f>
        <v>1900000</v>
      </c>
      <c r="E104" s="1181">
        <f t="shared" si="3"/>
        <v>0.004272958736039735</v>
      </c>
      <c r="F104" s="1064">
        <f>'Rashodi-2020'!T357</f>
        <v>0</v>
      </c>
      <c r="G104" s="1061">
        <f t="shared" si="2"/>
        <v>1900000</v>
      </c>
      <c r="H104" s="1062" t="s">
        <v>1173</v>
      </c>
    </row>
    <row r="105" spans="1:8" ht="12.75">
      <c r="A105" s="1053"/>
      <c r="B105" s="1053" t="s">
        <v>953</v>
      </c>
      <c r="C105" s="1060" t="s">
        <v>1295</v>
      </c>
      <c r="D105" s="1064">
        <f>'Rashodi-2020'!M346</f>
        <v>10000</v>
      </c>
      <c r="E105" s="1181">
        <f t="shared" si="3"/>
        <v>2.248925650547229E-05</v>
      </c>
      <c r="F105" s="1065">
        <f>'Rashodi-2020'!T346</f>
        <v>0</v>
      </c>
      <c r="G105" s="1061">
        <f t="shared" si="2"/>
        <v>10000</v>
      </c>
      <c r="H105" s="1062" t="s">
        <v>1173</v>
      </c>
    </row>
    <row r="106" spans="1:8" ht="22.5" customHeight="1">
      <c r="A106" s="1053"/>
      <c r="B106" s="1053" t="s">
        <v>954</v>
      </c>
      <c r="C106" s="1070" t="s">
        <v>1311</v>
      </c>
      <c r="D106" s="1064">
        <f>'Rashodi-2020'!M349</f>
        <v>1133000</v>
      </c>
      <c r="E106" s="1181">
        <f t="shared" si="3"/>
        <v>0.0025480327620700104</v>
      </c>
      <c r="F106" s="1065">
        <f>'Rashodi-2020'!T349</f>
        <v>100000</v>
      </c>
      <c r="G106" s="1061">
        <f t="shared" si="2"/>
        <v>1233000</v>
      </c>
      <c r="H106" s="1062" t="s">
        <v>1173</v>
      </c>
    </row>
    <row r="107" spans="1:8" ht="12.75" hidden="1">
      <c r="A107" s="1053"/>
      <c r="B107" s="1053" t="s">
        <v>953</v>
      </c>
      <c r="C107" s="1066"/>
      <c r="D107" s="1064"/>
      <c r="E107" s="1058">
        <f t="shared" si="3"/>
        <v>0</v>
      </c>
      <c r="F107" s="1065"/>
      <c r="G107" s="1061">
        <f t="shared" si="2"/>
        <v>0</v>
      </c>
      <c r="H107" s="1062"/>
    </row>
    <row r="108" spans="1:8" ht="12.75" hidden="1">
      <c r="A108" s="1053"/>
      <c r="B108" s="1053" t="s">
        <v>954</v>
      </c>
      <c r="C108" s="1066"/>
      <c r="D108" s="1064"/>
      <c r="E108" s="1058">
        <f t="shared" si="3"/>
        <v>0</v>
      </c>
      <c r="F108" s="1065"/>
      <c r="G108" s="1061">
        <f t="shared" si="2"/>
        <v>0</v>
      </c>
      <c r="H108" s="1062"/>
    </row>
    <row r="109" spans="1:8" ht="12.75" hidden="1">
      <c r="A109" s="1053"/>
      <c r="B109" s="1053" t="s">
        <v>955</v>
      </c>
      <c r="C109" s="1066"/>
      <c r="D109" s="1064"/>
      <c r="E109" s="1058">
        <f t="shared" si="3"/>
        <v>0</v>
      </c>
      <c r="F109" s="1065"/>
      <c r="G109" s="1061">
        <f t="shared" si="2"/>
        <v>0</v>
      </c>
      <c r="H109" s="1062"/>
    </row>
    <row r="110" spans="1:8" ht="12.75" hidden="1">
      <c r="A110" s="1053"/>
      <c r="B110" s="1053" t="s">
        <v>956</v>
      </c>
      <c r="C110" s="1066"/>
      <c r="D110" s="1064"/>
      <c r="E110" s="1058">
        <f t="shared" si="3"/>
        <v>0</v>
      </c>
      <c r="F110" s="1065"/>
      <c r="G110" s="1061">
        <f t="shared" si="2"/>
        <v>0</v>
      </c>
      <c r="H110" s="1062"/>
    </row>
    <row r="111" spans="1:8" ht="12.75" hidden="1">
      <c r="A111" s="1053"/>
      <c r="B111" s="1053" t="s">
        <v>957</v>
      </c>
      <c r="C111" s="1066"/>
      <c r="D111" s="1064"/>
      <c r="E111" s="1058">
        <f t="shared" si="3"/>
        <v>0</v>
      </c>
      <c r="F111" s="1065"/>
      <c r="G111" s="1061">
        <f t="shared" si="2"/>
        <v>0</v>
      </c>
      <c r="H111" s="1062"/>
    </row>
    <row r="112" spans="1:8" ht="12.75" hidden="1">
      <c r="A112" s="1053"/>
      <c r="B112" s="1053" t="s">
        <v>958</v>
      </c>
      <c r="C112" s="1066"/>
      <c r="D112" s="1064"/>
      <c r="E112" s="1058">
        <f t="shared" si="3"/>
        <v>0</v>
      </c>
      <c r="F112" s="1065"/>
      <c r="G112" s="1061">
        <f t="shared" si="2"/>
        <v>0</v>
      </c>
      <c r="H112" s="1062"/>
    </row>
    <row r="113" spans="1:8" ht="12.75" hidden="1">
      <c r="A113" s="1053"/>
      <c r="B113" s="1053" t="s">
        <v>959</v>
      </c>
      <c r="C113" s="1066"/>
      <c r="D113" s="1064" t="e">
        <f>SUMIF('[1]ПО КОРИСНИЦИМА'!$G$3:$G$11609,"Свега за пројекат 1501-П10:",'[1]ПО КОРИСНИЦИМА'!$H$3:$H$11609)</f>
        <v>#VALUE!</v>
      </c>
      <c r="E113" s="1058" t="e">
        <f t="shared" si="3"/>
        <v>#VALUE!</v>
      </c>
      <c r="F113" s="1065" t="e">
        <f>SUMIF('[1]ПО КОРИСНИЦИМА'!$G$3:$G$11609,"Свега за пројекат 1501-П10:",'[1]ПО КОРИСНИЦИМА'!$I$3:$I$11609)</f>
        <v>#VALUE!</v>
      </c>
      <c r="G113" s="1061" t="e">
        <f t="shared" si="2"/>
        <v>#VALUE!</v>
      </c>
      <c r="H113" s="1062"/>
    </row>
    <row r="114" spans="1:8" ht="12.75" hidden="1">
      <c r="A114" s="1053"/>
      <c r="B114" s="1053" t="s">
        <v>960</v>
      </c>
      <c r="C114" s="1066"/>
      <c r="D114" s="1064" t="e">
        <f>SUMIF('[1]ПО КОРИСНИЦИМА'!$G$3:$G$11609,"Свега за пројекат 1501-П11:",'[1]ПО КОРИСНИЦИМА'!$H$3:$H$11609)</f>
        <v>#VALUE!</v>
      </c>
      <c r="E114" s="1058" t="e">
        <f t="shared" si="3"/>
        <v>#VALUE!</v>
      </c>
      <c r="F114" s="1065" t="e">
        <f>SUMIF('[1]ПО КОРИСНИЦИМА'!$G$3:$G$11609,"Свега за пројекат 1501-П11:",'[1]ПО КОРИСНИЦИМА'!$I$3:$I$11609)</f>
        <v>#VALUE!</v>
      </c>
      <c r="G114" s="1061" t="e">
        <f t="shared" si="2"/>
        <v>#VALUE!</v>
      </c>
      <c r="H114" s="1062"/>
    </row>
    <row r="115" spans="1:8" ht="12.75" hidden="1">
      <c r="A115" s="1053"/>
      <c r="B115" s="1053" t="s">
        <v>961</v>
      </c>
      <c r="C115" s="1066"/>
      <c r="D115" s="1064" t="e">
        <f>SUMIF('[1]ПО КОРИСНИЦИМА'!$G$3:$G$11609,"Свега за пројекат 1501-П12:",'[1]ПО КОРИСНИЦИМА'!$H$3:$H$11609)</f>
        <v>#VALUE!</v>
      </c>
      <c r="E115" s="1058" t="e">
        <f t="shared" si="3"/>
        <v>#VALUE!</v>
      </c>
      <c r="F115" s="1065" t="e">
        <f>SUMIF('[1]ПО КОРИСНИЦИМА'!$G$3:$G$11609,"Свега за пројекат 1501-П12:",'[1]ПО КОРИСНИЦИМА'!$I$3:$I$11609)</f>
        <v>#VALUE!</v>
      </c>
      <c r="G115" s="1061" t="e">
        <f t="shared" si="2"/>
        <v>#VALUE!</v>
      </c>
      <c r="H115" s="1062"/>
    </row>
    <row r="116" spans="1:8" ht="12.75" hidden="1">
      <c r="A116" s="1053"/>
      <c r="B116" s="1053" t="s">
        <v>962</v>
      </c>
      <c r="C116" s="1066"/>
      <c r="D116" s="1064" t="e">
        <f>SUMIF('[1]ПО КОРИСНИЦИМА'!$G$3:$G$11609,"Свега за пројекат 1501-П13:",'[1]ПО КОРИСНИЦИМА'!$H$3:$H$11609)</f>
        <v>#VALUE!</v>
      </c>
      <c r="E116" s="1058" t="e">
        <f t="shared" si="3"/>
        <v>#VALUE!</v>
      </c>
      <c r="F116" s="1065" t="e">
        <f>SUMIF('[1]ПО КОРИСНИЦИМА'!$G$3:$G$11609,"Свега за пројекат 1501-П13:",'[1]ПО КОРИСНИЦИМА'!$I$3:$I$11609)</f>
        <v>#VALUE!</v>
      </c>
      <c r="G116" s="1061" t="e">
        <f t="shared" si="2"/>
        <v>#VALUE!</v>
      </c>
      <c r="H116" s="1062"/>
    </row>
    <row r="117" spans="1:8" ht="12.75" hidden="1">
      <c r="A117" s="1053"/>
      <c r="B117" s="1053" t="s">
        <v>963</v>
      </c>
      <c r="C117" s="1066"/>
      <c r="D117" s="1064" t="e">
        <f>SUMIF('[1]ПО КОРИСНИЦИМА'!$G$3:$G$11609,"Свега за пројекат 1501-П14:",'[1]ПО КОРИСНИЦИМА'!$H$3:$H$11609)</f>
        <v>#VALUE!</v>
      </c>
      <c r="E117" s="1058" t="e">
        <f t="shared" si="3"/>
        <v>#VALUE!</v>
      </c>
      <c r="F117" s="1065" t="e">
        <f>SUMIF('[1]ПО КОРИСНИЦИМА'!$G$3:$G$11609,"Свега за пројекат 1501-П14:",'[1]ПО КОРИСНИЦИМА'!$I$3:$I$11609)</f>
        <v>#VALUE!</v>
      </c>
      <c r="G117" s="1061" t="e">
        <f t="shared" si="2"/>
        <v>#VALUE!</v>
      </c>
      <c r="H117" s="1062"/>
    </row>
    <row r="118" spans="1:8" ht="12.75" hidden="1">
      <c r="A118" s="1053"/>
      <c r="B118" s="1053" t="s">
        <v>964</v>
      </c>
      <c r="C118" s="1066"/>
      <c r="D118" s="1064" t="e">
        <f>SUMIF('[1]ПО КОРИСНИЦИМА'!$G$3:$G$11609,"Свега за пројекат 1501-П15:",'[1]ПО КОРИСНИЦИМА'!$H$3:$H$11609)</f>
        <v>#VALUE!</v>
      </c>
      <c r="E118" s="1058" t="e">
        <f t="shared" si="3"/>
        <v>#VALUE!</v>
      </c>
      <c r="F118" s="1065" t="e">
        <f>SUMIF('[1]ПО КОРИСНИЦИМА'!$G$3:$G$11609,"Свега за пројекат 1501-П15:",'[1]ПО КОРИСНИЦИМА'!$I$3:$I$11609)</f>
        <v>#VALUE!</v>
      </c>
      <c r="G118" s="1061" t="e">
        <f t="shared" si="2"/>
        <v>#VALUE!</v>
      </c>
      <c r="H118" s="1062"/>
    </row>
    <row r="119" spans="1:8" ht="12.75" hidden="1">
      <c r="A119" s="1053"/>
      <c r="B119" s="1053" t="s">
        <v>965</v>
      </c>
      <c r="C119" s="1066"/>
      <c r="D119" s="1064" t="e">
        <f>SUMIF('[1]ПО КОРИСНИЦИМА'!$G$3:$G$11609,"Свега за пројекат 1501-П16:",'[1]ПО КОРИСНИЦИМА'!$H$3:$H$11609)</f>
        <v>#VALUE!</v>
      </c>
      <c r="E119" s="1058" t="e">
        <f t="shared" si="3"/>
        <v>#VALUE!</v>
      </c>
      <c r="F119" s="1065" t="e">
        <f>SUMIF('[1]ПО КОРИСНИЦИМА'!$G$3:$G$11609,"Свега за пројекат 1501-П16:",'[1]ПО КОРИСНИЦИМА'!$I$3:$I$11609)</f>
        <v>#VALUE!</v>
      </c>
      <c r="G119" s="1061" t="e">
        <f t="shared" si="2"/>
        <v>#VALUE!</v>
      </c>
      <c r="H119" s="1062"/>
    </row>
    <row r="120" spans="1:8" ht="12.75" hidden="1">
      <c r="A120" s="1053"/>
      <c r="B120" s="1053" t="s">
        <v>966</v>
      </c>
      <c r="C120" s="1066"/>
      <c r="D120" s="1064" t="e">
        <f>SUMIF('[1]ПО КОРИСНИЦИМА'!$G$3:$G$11609,"Свега за пројекат 1501-П17:",'[1]ПО КОРИСНИЦИМА'!$H$3:$H$11609)</f>
        <v>#VALUE!</v>
      </c>
      <c r="E120" s="1058" t="e">
        <f t="shared" si="3"/>
        <v>#VALUE!</v>
      </c>
      <c r="F120" s="1065" t="e">
        <f>SUMIF('[1]ПО КОРИСНИЦИМА'!$G$3:$G$11609,"Свега за пројекат 1501-П17:",'[1]ПО КОРИСНИЦИМА'!$I$3:$I$11609)</f>
        <v>#VALUE!</v>
      </c>
      <c r="G120" s="1061" t="e">
        <f t="shared" si="2"/>
        <v>#VALUE!</v>
      </c>
      <c r="H120" s="1062"/>
    </row>
    <row r="121" spans="1:8" ht="12.75" hidden="1">
      <c r="A121" s="1053"/>
      <c r="B121" s="1053" t="s">
        <v>967</v>
      </c>
      <c r="C121" s="1066"/>
      <c r="D121" s="1064" t="e">
        <f>SUMIF('[1]ПО КОРИСНИЦИМА'!$G$3:$G$11609,"Свега за пројекат 1501-П18:",'[1]ПО КОРИСНИЦИМА'!$H$3:$H$11609)</f>
        <v>#VALUE!</v>
      </c>
      <c r="E121" s="1058" t="e">
        <f t="shared" si="3"/>
        <v>#VALUE!</v>
      </c>
      <c r="F121" s="1065" t="e">
        <f>SUMIF('[1]ПО КОРИСНИЦИМА'!$G$3:$G$11609,"Свега за пројекат 1501-П18:",'[1]ПО КОРИСНИЦИМА'!$I$3:$I$11609)</f>
        <v>#VALUE!</v>
      </c>
      <c r="G121" s="1061" t="e">
        <f t="shared" si="2"/>
        <v>#VALUE!</v>
      </c>
      <c r="H121" s="1062"/>
    </row>
    <row r="122" spans="1:8" ht="12.75" hidden="1">
      <c r="A122" s="1053"/>
      <c r="B122" s="1053" t="s">
        <v>968</v>
      </c>
      <c r="C122" s="1066"/>
      <c r="D122" s="1064" t="e">
        <f>SUMIF('[1]ПО КОРИСНИЦИМА'!$G$3:$G$11609,"Свега за пројекат 1501-П19:",'[1]ПО КОРИСНИЦИМА'!$H$3:$H$11609)</f>
        <v>#VALUE!</v>
      </c>
      <c r="E122" s="1058" t="e">
        <f t="shared" si="3"/>
        <v>#VALUE!</v>
      </c>
      <c r="F122" s="1065" t="e">
        <f>SUMIF('[1]ПО КОРИСНИЦИМА'!$G$3:$G$11609,"Свега за пројекат 1501-П19:",'[1]ПО КОРИСНИЦИМА'!$I$3:$I$11609)</f>
        <v>#VALUE!</v>
      </c>
      <c r="G122" s="1061" t="e">
        <f t="shared" si="2"/>
        <v>#VALUE!</v>
      </c>
      <c r="H122" s="1062"/>
    </row>
    <row r="123" spans="1:8" ht="12.75" hidden="1">
      <c r="A123" s="1053"/>
      <c r="B123" s="1053" t="s">
        <v>969</v>
      </c>
      <c r="C123" s="1066"/>
      <c r="D123" s="1064" t="e">
        <f>SUMIF('[1]ПО КОРИСНИЦИМА'!$G$3:$G$11609,"Свега за пројекат 1501-П20:",'[1]ПО КОРИСНИЦИМА'!$H$3:$H$11609)</f>
        <v>#VALUE!</v>
      </c>
      <c r="E123" s="1058" t="e">
        <f t="shared" si="3"/>
        <v>#VALUE!</v>
      </c>
      <c r="F123" s="1065" t="e">
        <f>SUMIF('[1]ПО КОРИСНИЦИМА'!$G$3:$G$11609,"Свега за пројекат 1501-П20:",'[1]ПО КОРИСНИЦИМА'!$I$3:$I$11609)</f>
        <v>#VALUE!</v>
      </c>
      <c r="G123" s="1061" t="e">
        <f t="shared" si="2"/>
        <v>#VALUE!</v>
      </c>
      <c r="H123" s="1062"/>
    </row>
    <row r="124" spans="1:8" ht="12.75" hidden="1">
      <c r="A124" s="1053"/>
      <c r="B124" s="1053" t="s">
        <v>970</v>
      </c>
      <c r="C124" s="1066"/>
      <c r="D124" s="1064" t="e">
        <f>SUMIF('[1]ПО КОРИСНИЦИМА'!$G$3:$G$11609,"Свега за пројекат 1501-П21:",'[1]ПО КОРИСНИЦИМА'!$H$3:$H$11609)</f>
        <v>#VALUE!</v>
      </c>
      <c r="E124" s="1058" t="e">
        <f t="shared" si="3"/>
        <v>#VALUE!</v>
      </c>
      <c r="F124" s="1065" t="e">
        <f>SUMIF('[1]ПО КОРИСНИЦИМА'!$G$3:$G$11609,"Свега за пројекат 1501-П21:",'[1]ПО КОРИСНИЦИМА'!$I$3:$I$11609)</f>
        <v>#VALUE!</v>
      </c>
      <c r="G124" s="1061" t="e">
        <f t="shared" si="2"/>
        <v>#VALUE!</v>
      </c>
      <c r="H124" s="1062"/>
    </row>
    <row r="125" spans="1:8" ht="12.75" hidden="1">
      <c r="A125" s="1053"/>
      <c r="B125" s="1053" t="s">
        <v>971</v>
      </c>
      <c r="C125" s="1066"/>
      <c r="D125" s="1064" t="e">
        <f>SUMIF('[1]ПО КОРИСНИЦИМА'!$G$3:$G$11609,"Свега за пројекат 1501-П22:",'[1]ПО КОРИСНИЦИМА'!$H$3:$H$11609)</f>
        <v>#VALUE!</v>
      </c>
      <c r="E125" s="1058" t="e">
        <f t="shared" si="3"/>
        <v>#VALUE!</v>
      </c>
      <c r="F125" s="1065" t="e">
        <f>SUMIF('[1]ПО КОРИСНИЦИМА'!$G$3:$G$11609,"Свега за пројекат 1501-П22:",'[1]ПО КОРИСНИЦИМА'!$I$3:$I$11609)</f>
        <v>#VALUE!</v>
      </c>
      <c r="G125" s="1061" t="e">
        <f t="shared" si="2"/>
        <v>#VALUE!</v>
      </c>
      <c r="H125" s="1062"/>
    </row>
    <row r="126" spans="1:8" ht="12.75" hidden="1">
      <c r="A126" s="1053"/>
      <c r="B126" s="1053" t="s">
        <v>972</v>
      </c>
      <c r="C126" s="1066"/>
      <c r="D126" s="1064" t="e">
        <f>SUMIF('[1]ПО КОРИСНИЦИМА'!$G$3:$G$11609,"Свега за пројекат 1501-П23:",'[1]ПО КОРИСНИЦИМА'!$H$3:$H$11609)</f>
        <v>#VALUE!</v>
      </c>
      <c r="E126" s="1058" t="e">
        <f t="shared" si="3"/>
        <v>#VALUE!</v>
      </c>
      <c r="F126" s="1065" t="e">
        <f>SUMIF('[1]ПО КОРИСНИЦИМА'!$G$3:$G$11609,"Свега за пројекат 1501-П23:",'[1]ПО КОРИСНИЦИМА'!$I$3:$I$11609)</f>
        <v>#VALUE!</v>
      </c>
      <c r="G126" s="1061" t="e">
        <f t="shared" si="2"/>
        <v>#VALUE!</v>
      </c>
      <c r="H126" s="1062"/>
    </row>
    <row r="127" spans="1:8" ht="12.75" hidden="1">
      <c r="A127" s="1053"/>
      <c r="B127" s="1053" t="s">
        <v>973</v>
      </c>
      <c r="C127" s="1066"/>
      <c r="D127" s="1064" t="e">
        <f>SUMIF('[1]ПО КОРИСНИЦИМА'!$G$3:$G$11609,"Свега за пројекат 1501-П24:",'[1]ПО КОРИСНИЦИМА'!$H$3:$H$11609)</f>
        <v>#VALUE!</v>
      </c>
      <c r="E127" s="1058" t="e">
        <f t="shared" si="3"/>
        <v>#VALUE!</v>
      </c>
      <c r="F127" s="1065" t="e">
        <f>SUMIF('[1]ПО КОРИСНИЦИМА'!$G$3:$G$11609,"Свега за пројекат 1501-П24:",'[1]ПО КОРИСНИЦИМА'!$I$3:$I$11609)</f>
        <v>#VALUE!</v>
      </c>
      <c r="G127" s="1061" t="e">
        <f t="shared" si="2"/>
        <v>#VALUE!</v>
      </c>
      <c r="H127" s="1062"/>
    </row>
    <row r="128" spans="1:8" s="325" customFormat="1" ht="12.75" customHeight="1" hidden="1">
      <c r="A128" s="1054" t="s">
        <v>827</v>
      </c>
      <c r="B128" s="1055"/>
      <c r="C128" s="1056" t="s">
        <v>1170</v>
      </c>
      <c r="D128" s="1057">
        <f>SUM(D129:D144)</f>
        <v>0</v>
      </c>
      <c r="E128" s="1058">
        <f t="shared" si="3"/>
        <v>0</v>
      </c>
      <c r="F128" s="1071">
        <f>SUM(F129:F144)</f>
        <v>0</v>
      </c>
      <c r="G128" s="1057">
        <f t="shared" si="2"/>
        <v>0</v>
      </c>
      <c r="H128" s="1072"/>
    </row>
    <row r="129" spans="1:8" ht="12.75" customHeight="1" hidden="1">
      <c r="A129" s="1053"/>
      <c r="B129" s="1073" t="s">
        <v>857</v>
      </c>
      <c r="C129" s="1074" t="s">
        <v>851</v>
      </c>
      <c r="D129" s="1061"/>
      <c r="E129" s="1058">
        <f t="shared" si="3"/>
        <v>0</v>
      </c>
      <c r="F129" s="1063"/>
      <c r="G129" s="1061">
        <f t="shared" si="2"/>
        <v>0</v>
      </c>
      <c r="H129" s="1062"/>
    </row>
    <row r="130" spans="1:8" ht="12.75" customHeight="1" hidden="1">
      <c r="A130" s="1053"/>
      <c r="B130" s="1075" t="s">
        <v>878</v>
      </c>
      <c r="C130" s="1074" t="s">
        <v>852</v>
      </c>
      <c r="D130" s="1061"/>
      <c r="E130" s="1058">
        <f t="shared" si="3"/>
        <v>0</v>
      </c>
      <c r="F130" s="1063"/>
      <c r="G130" s="1061">
        <f t="shared" si="2"/>
        <v>0</v>
      </c>
      <c r="H130" s="1062"/>
    </row>
    <row r="131" spans="1:8" ht="12.75" customHeight="1" hidden="1">
      <c r="A131" s="1075"/>
      <c r="B131" s="1053" t="s">
        <v>974</v>
      </c>
      <c r="C131" s="1060">
        <f>_xlfn.IFERROR(VLOOKUP(B131,'[1]ПО КОРИСНИЦИМА'!$C$3:$J$11609,5,FALSE),"")</f>
      </c>
      <c r="D131" s="1064"/>
      <c r="E131" s="1058">
        <f t="shared" si="3"/>
        <v>0</v>
      </c>
      <c r="F131" s="1065"/>
      <c r="G131" s="1061">
        <f t="shared" si="2"/>
        <v>0</v>
      </c>
      <c r="H131" s="1062"/>
    </row>
    <row r="132" spans="1:8" ht="12.75" customHeight="1" hidden="1">
      <c r="A132" s="1075"/>
      <c r="B132" s="1053" t="s">
        <v>975</v>
      </c>
      <c r="C132" s="1060">
        <f>_xlfn.IFERROR(VLOOKUP(B132,'[1]ПО КОРИСНИЦИМА'!$C$3:$J$11609,5,FALSE),"")</f>
      </c>
      <c r="D132" s="1064"/>
      <c r="E132" s="1058">
        <f t="shared" si="3"/>
        <v>0</v>
      </c>
      <c r="F132" s="1065"/>
      <c r="G132" s="1061">
        <f t="shared" si="2"/>
        <v>0</v>
      </c>
      <c r="H132" s="1062"/>
    </row>
    <row r="133" spans="1:8" ht="12.75" customHeight="1" hidden="1">
      <c r="A133" s="1075"/>
      <c r="B133" s="1053" t="s">
        <v>976</v>
      </c>
      <c r="C133" s="1060">
        <f>_xlfn.IFERROR(VLOOKUP(B133,'[1]ПО КОРИСНИЦИМА'!$C$3:$J$11609,5,FALSE),"")</f>
      </c>
      <c r="D133" s="1064"/>
      <c r="E133" s="1058">
        <f t="shared" si="3"/>
        <v>0</v>
      </c>
      <c r="F133" s="1065"/>
      <c r="G133" s="1061">
        <f aca="true" t="shared" si="4" ref="G133:G196">D133+F133</f>
        <v>0</v>
      </c>
      <c r="H133" s="1062"/>
    </row>
    <row r="134" spans="1:8" ht="12.75" customHeight="1" hidden="1">
      <c r="A134" s="1075"/>
      <c r="B134" s="1053" t="s">
        <v>977</v>
      </c>
      <c r="C134" s="1060">
        <f>_xlfn.IFERROR(VLOOKUP(B134,'[1]ПО КОРИСНИЦИМА'!$C$3:$J$11609,5,FALSE),"")</f>
      </c>
      <c r="D134" s="1064"/>
      <c r="E134" s="1058">
        <f aca="true" t="shared" si="5" ref="E134:E197">D134/444656763</f>
        <v>0</v>
      </c>
      <c r="F134" s="1065"/>
      <c r="G134" s="1061">
        <f t="shared" si="4"/>
        <v>0</v>
      </c>
      <c r="H134" s="1062"/>
    </row>
    <row r="135" spans="1:8" ht="12.75" customHeight="1" hidden="1">
      <c r="A135" s="1075"/>
      <c r="B135" s="1053" t="s">
        <v>978</v>
      </c>
      <c r="C135" s="1060">
        <f>_xlfn.IFERROR(VLOOKUP(B135,'[1]ПО КОРИСНИЦИМА'!$C$3:$J$11609,5,FALSE),"")</f>
      </c>
      <c r="D135" s="1064"/>
      <c r="E135" s="1058">
        <f t="shared" si="5"/>
        <v>0</v>
      </c>
      <c r="F135" s="1065"/>
      <c r="G135" s="1061">
        <f t="shared" si="4"/>
        <v>0</v>
      </c>
      <c r="H135" s="1062"/>
    </row>
    <row r="136" spans="1:8" ht="12.75" customHeight="1" hidden="1">
      <c r="A136" s="1075"/>
      <c r="B136" s="1053" t="s">
        <v>979</v>
      </c>
      <c r="C136" s="1060">
        <f>_xlfn.IFERROR(VLOOKUP(B136,'[1]ПО КОРИСНИЦИМА'!$C$3:$J$11609,5,FALSE),"")</f>
      </c>
      <c r="D136" s="1064"/>
      <c r="E136" s="1058">
        <f t="shared" si="5"/>
        <v>0</v>
      </c>
      <c r="F136" s="1065"/>
      <c r="G136" s="1061">
        <f t="shared" si="4"/>
        <v>0</v>
      </c>
      <c r="H136" s="1062"/>
    </row>
    <row r="137" spans="1:8" ht="12.75" customHeight="1" hidden="1">
      <c r="A137" s="1075"/>
      <c r="B137" s="1053" t="s">
        <v>980</v>
      </c>
      <c r="C137" s="1060">
        <f>_xlfn.IFERROR(VLOOKUP(B137,'[1]ПО КОРИСНИЦИМА'!$C$3:$J$11609,5,FALSE),"")</f>
      </c>
      <c r="D137" s="1064"/>
      <c r="E137" s="1058">
        <f t="shared" si="5"/>
        <v>0</v>
      </c>
      <c r="F137" s="1065"/>
      <c r="G137" s="1061">
        <f t="shared" si="4"/>
        <v>0</v>
      </c>
      <c r="H137" s="1062"/>
    </row>
    <row r="138" spans="1:8" ht="12.75" customHeight="1" hidden="1">
      <c r="A138" s="1075"/>
      <c r="B138" s="1053" t="s">
        <v>981</v>
      </c>
      <c r="C138" s="1060">
        <f>_xlfn.IFERROR(VLOOKUP(B138,'[1]ПО КОРИСНИЦИМА'!$C$3:$J$11609,5,FALSE),"")</f>
      </c>
      <c r="D138" s="1064"/>
      <c r="E138" s="1058">
        <f t="shared" si="5"/>
        <v>0</v>
      </c>
      <c r="F138" s="1065"/>
      <c r="G138" s="1061">
        <f t="shared" si="4"/>
        <v>0</v>
      </c>
      <c r="H138" s="1062"/>
    </row>
    <row r="139" spans="1:8" ht="12.75" customHeight="1" hidden="1">
      <c r="A139" s="1075"/>
      <c r="B139" s="1053" t="s">
        <v>982</v>
      </c>
      <c r="C139" s="1060">
        <f>_xlfn.IFERROR(VLOOKUP(B139,'[1]ПО КОРИСНИЦИМА'!$C$3:$J$11609,5,FALSE),"")</f>
      </c>
      <c r="D139" s="1064"/>
      <c r="E139" s="1058">
        <f t="shared" si="5"/>
        <v>0</v>
      </c>
      <c r="F139" s="1065"/>
      <c r="G139" s="1061">
        <f t="shared" si="4"/>
        <v>0</v>
      </c>
      <c r="H139" s="1062"/>
    </row>
    <row r="140" spans="1:8" ht="12.75" customHeight="1" hidden="1">
      <c r="A140" s="1075"/>
      <c r="B140" s="1053" t="s">
        <v>983</v>
      </c>
      <c r="C140" s="1060">
        <f>_xlfn.IFERROR(VLOOKUP(B140,'[1]ПО КОРИСНИЦИМА'!$C$3:$J$11609,5,FALSE),"")</f>
      </c>
      <c r="D140" s="1064"/>
      <c r="E140" s="1058">
        <f t="shared" si="5"/>
        <v>0</v>
      </c>
      <c r="F140" s="1065"/>
      <c r="G140" s="1061">
        <f t="shared" si="4"/>
        <v>0</v>
      </c>
      <c r="H140" s="1062"/>
    </row>
    <row r="141" spans="1:8" ht="12.75" customHeight="1" hidden="1">
      <c r="A141" s="1075"/>
      <c r="B141" s="1053" t="s">
        <v>984</v>
      </c>
      <c r="C141" s="1060">
        <f>_xlfn.IFERROR(VLOOKUP(B141,'[1]ПО КОРИСНИЦИМА'!$C$3:$J$11609,5,FALSE),"")</f>
      </c>
      <c r="D141" s="1064"/>
      <c r="E141" s="1058">
        <f t="shared" si="5"/>
        <v>0</v>
      </c>
      <c r="F141" s="1065"/>
      <c r="G141" s="1061">
        <f t="shared" si="4"/>
        <v>0</v>
      </c>
      <c r="H141" s="1062"/>
    </row>
    <row r="142" spans="1:8" ht="12.75" customHeight="1" hidden="1">
      <c r="A142" s="1075"/>
      <c r="B142" s="1053" t="s">
        <v>985</v>
      </c>
      <c r="C142" s="1060">
        <f>_xlfn.IFERROR(VLOOKUP(B142,'[1]ПО КОРИСНИЦИМА'!$C$3:$J$11609,5,FALSE),"")</f>
      </c>
      <c r="D142" s="1064"/>
      <c r="E142" s="1058">
        <f t="shared" si="5"/>
        <v>0</v>
      </c>
      <c r="F142" s="1065"/>
      <c r="G142" s="1061">
        <f t="shared" si="4"/>
        <v>0</v>
      </c>
      <c r="H142" s="1062"/>
    </row>
    <row r="143" spans="1:8" ht="12.75" customHeight="1" hidden="1">
      <c r="A143" s="1075"/>
      <c r="B143" s="1053" t="s">
        <v>986</v>
      </c>
      <c r="C143" s="1060">
        <f>_xlfn.IFERROR(VLOOKUP(B143,'[1]ПО КОРИСНИЦИМА'!$C$3:$J$11609,5,FALSE),"")</f>
      </c>
      <c r="D143" s="1064"/>
      <c r="E143" s="1058">
        <f t="shared" si="5"/>
        <v>0</v>
      </c>
      <c r="F143" s="1065"/>
      <c r="G143" s="1061">
        <f t="shared" si="4"/>
        <v>0</v>
      </c>
      <c r="H143" s="1062"/>
    </row>
    <row r="144" spans="1:8" ht="12.75" customHeight="1" hidden="1">
      <c r="A144" s="1075"/>
      <c r="B144" s="1053" t="s">
        <v>987</v>
      </c>
      <c r="C144" s="1060">
        <f>_xlfn.IFERROR(VLOOKUP(B144,'[1]ПО КОРИСНИЦИМА'!$C$3:$J$11609,5,FALSE),"")</f>
      </c>
      <c r="D144" s="1064"/>
      <c r="E144" s="1058">
        <f t="shared" si="5"/>
        <v>0</v>
      </c>
      <c r="F144" s="1065"/>
      <c r="G144" s="1061">
        <f t="shared" si="4"/>
        <v>0</v>
      </c>
      <c r="H144" s="1062"/>
    </row>
    <row r="145" spans="1:8" ht="12.75" customHeight="1" hidden="1">
      <c r="A145" s="1075"/>
      <c r="B145" s="1053" t="s">
        <v>988</v>
      </c>
      <c r="C145" s="1060">
        <f>_xlfn.IFERROR(VLOOKUP(B145,'[1]ПО КОРИСНИЦИМА'!$C$3:$J$11609,5,FALSE),"")</f>
      </c>
      <c r="D145" s="1064" t="e">
        <f>SUMIF('[1]ПО КОРИСНИЦИМА'!$G$3:$G$11609,"Свега за пројекат 1502-П15:",'[1]ПО КОРИСНИЦИМА'!$H$3:$H$11609)</f>
        <v>#VALUE!</v>
      </c>
      <c r="E145" s="1058" t="e">
        <f t="shared" si="5"/>
        <v>#VALUE!</v>
      </c>
      <c r="F145" s="1065" t="e">
        <f>SUMIF('[1]ПО КОРИСНИЦИМА'!$G$3:$G$11609,"Свега за пројекат 1502-П15:",'[1]ПО КОРИСНИЦИМА'!$I$3:$I$11609)</f>
        <v>#VALUE!</v>
      </c>
      <c r="G145" s="1061" t="e">
        <f t="shared" si="4"/>
        <v>#VALUE!</v>
      </c>
      <c r="H145" s="1062"/>
    </row>
    <row r="146" spans="1:8" ht="12.75" customHeight="1" hidden="1">
      <c r="A146" s="1075"/>
      <c r="B146" s="1053" t="s">
        <v>989</v>
      </c>
      <c r="C146" s="1060">
        <f>_xlfn.IFERROR(VLOOKUP(B146,'[1]ПО КОРИСНИЦИМА'!$C$3:$J$11609,5,FALSE),"")</f>
      </c>
      <c r="D146" s="1064" t="e">
        <f>SUMIF('[1]ПО КОРИСНИЦИМА'!$G$3:$G$11609,"Свега за пројекат 1502-П16:",'[1]ПО КОРИСНИЦИМА'!$H$3:$H$11609)</f>
        <v>#VALUE!</v>
      </c>
      <c r="E146" s="1058" t="e">
        <f t="shared" si="5"/>
        <v>#VALUE!</v>
      </c>
      <c r="F146" s="1065" t="e">
        <f>SUMIF('[1]ПО КОРИСНИЦИМА'!$G$3:$G$11609,"Свега за пројекат 1502-П16:",'[1]ПО КОРИСНИЦИМА'!$I$3:$I$11609)</f>
        <v>#VALUE!</v>
      </c>
      <c r="G146" s="1061" t="e">
        <f t="shared" si="4"/>
        <v>#VALUE!</v>
      </c>
      <c r="H146" s="1062"/>
    </row>
    <row r="147" spans="1:8" ht="12.75" customHeight="1" hidden="1">
      <c r="A147" s="1075"/>
      <c r="B147" s="1053" t="s">
        <v>990</v>
      </c>
      <c r="C147" s="1060">
        <f>_xlfn.IFERROR(VLOOKUP(B147,'[1]ПО КОРИСНИЦИМА'!$C$3:$J$11609,5,FALSE),"")</f>
      </c>
      <c r="D147" s="1064" t="e">
        <f>SUMIF('[1]ПО КОРИСНИЦИМА'!$G$3:$G$11609,"Свега за пројекат 1502-П17:",'[1]ПО КОРИСНИЦИМА'!$H$3:$H$11609)</f>
        <v>#VALUE!</v>
      </c>
      <c r="E147" s="1058" t="e">
        <f t="shared" si="5"/>
        <v>#VALUE!</v>
      </c>
      <c r="F147" s="1065" t="e">
        <f>SUMIF('[1]ПО КОРИСНИЦИМА'!$G$3:$G$11609,"Свега за пројекат 1502-П17:",'[1]ПО КОРИСНИЦИМА'!$I$3:$I$11609)</f>
        <v>#VALUE!</v>
      </c>
      <c r="G147" s="1061" t="e">
        <f t="shared" si="4"/>
        <v>#VALUE!</v>
      </c>
      <c r="H147" s="1062"/>
    </row>
    <row r="148" spans="1:8" ht="12.75" customHeight="1" hidden="1">
      <c r="A148" s="1075"/>
      <c r="B148" s="1053" t="s">
        <v>991</v>
      </c>
      <c r="C148" s="1060">
        <f>_xlfn.IFERROR(VLOOKUP(B148,'[1]ПО КОРИСНИЦИМА'!$C$3:$J$11609,5,FALSE),"")</f>
      </c>
      <c r="D148" s="1064" t="e">
        <f>SUMIF('[1]ПО КОРИСНИЦИМА'!$G$3:$G$11609,"Свега за пројекат 1502-П18:",'[1]ПО КОРИСНИЦИМА'!$H$3:$H$11609)</f>
        <v>#VALUE!</v>
      </c>
      <c r="E148" s="1058" t="e">
        <f t="shared" si="5"/>
        <v>#VALUE!</v>
      </c>
      <c r="F148" s="1065" t="e">
        <f>SUMIF('[1]ПО КОРИСНИЦИМА'!$G$3:$G$11609,"Свега за пројекат 1502-П18:",'[1]ПО КОРИСНИЦИМА'!$I$3:$I$11609)</f>
        <v>#VALUE!</v>
      </c>
      <c r="G148" s="1061" t="e">
        <f t="shared" si="4"/>
        <v>#VALUE!</v>
      </c>
      <c r="H148" s="1062"/>
    </row>
    <row r="149" spans="1:8" ht="12.75" customHeight="1" hidden="1">
      <c r="A149" s="1075"/>
      <c r="B149" s="1053" t="s">
        <v>992</v>
      </c>
      <c r="C149" s="1060">
        <f>_xlfn.IFERROR(VLOOKUP(B149,'[1]ПО КОРИСНИЦИМА'!$C$3:$J$11609,5,FALSE),"")</f>
      </c>
      <c r="D149" s="1064" t="e">
        <f>SUMIF('[1]ПО КОРИСНИЦИМА'!$G$3:$G$11609,"Свега за пројекат 1502-П19:",'[1]ПО КОРИСНИЦИМА'!$H$3:$H$11609)</f>
        <v>#VALUE!</v>
      </c>
      <c r="E149" s="1058" t="e">
        <f t="shared" si="5"/>
        <v>#VALUE!</v>
      </c>
      <c r="F149" s="1065" t="e">
        <f>SUMIF('[1]ПО КОРИСНИЦИМА'!$G$3:$G$11609,"Свега за пројекат 1502-П19:",'[1]ПО КОРИСНИЦИМА'!$I$3:$I$11609)</f>
        <v>#VALUE!</v>
      </c>
      <c r="G149" s="1061" t="e">
        <f t="shared" si="4"/>
        <v>#VALUE!</v>
      </c>
      <c r="H149" s="1062"/>
    </row>
    <row r="150" spans="1:8" ht="12.75" customHeight="1" hidden="1">
      <c r="A150" s="1075"/>
      <c r="B150" s="1053" t="s">
        <v>993</v>
      </c>
      <c r="C150" s="1060">
        <f>_xlfn.IFERROR(VLOOKUP(B150,'[1]ПО КОРИСНИЦИМА'!$C$3:$J$11609,5,FALSE),"")</f>
      </c>
      <c r="D150" s="1064" t="e">
        <f>SUMIF('[1]ПО КОРИСНИЦИМА'!$G$3:$G$11609,"Свега за пројекат 1502-П20:",'[1]ПО КОРИСНИЦИМА'!$H$3:$H$11609)</f>
        <v>#VALUE!</v>
      </c>
      <c r="E150" s="1058" t="e">
        <f t="shared" si="5"/>
        <v>#VALUE!</v>
      </c>
      <c r="F150" s="1065" t="e">
        <f>SUMIF('[1]ПО КОРИСНИЦИМА'!$G$3:$G$11609,"Свега за пројекат 1502-П20:",'[1]ПО КОРИСНИЦИМА'!$I$3:$I$11609)</f>
        <v>#VALUE!</v>
      </c>
      <c r="G150" s="1061" t="e">
        <f t="shared" si="4"/>
        <v>#VALUE!</v>
      </c>
      <c r="H150" s="1062"/>
    </row>
    <row r="151" spans="1:8" ht="12.75" customHeight="1" hidden="1">
      <c r="A151" s="1075"/>
      <c r="B151" s="1053" t="s">
        <v>994</v>
      </c>
      <c r="C151" s="1060">
        <f>_xlfn.IFERROR(VLOOKUP(B151,'[1]ПО КОРИСНИЦИМА'!$C$3:$J$11609,5,FALSE),"")</f>
      </c>
      <c r="D151" s="1064" t="e">
        <f>SUMIF('[1]ПО КОРИСНИЦИМА'!$G$3:$G$11609,"Свега за пројекат 1502-П21:",'[1]ПО КОРИСНИЦИМА'!$H$3:$H$11609)</f>
        <v>#VALUE!</v>
      </c>
      <c r="E151" s="1058" t="e">
        <f t="shared" si="5"/>
        <v>#VALUE!</v>
      </c>
      <c r="F151" s="1065" t="e">
        <f>SUMIF('[1]ПО КОРИСНИЦИМА'!$G$3:$G$11609,"Свега за пројекат 1502-П21:",'[1]ПО КОРИСНИЦИМА'!$I$3:$I$11609)</f>
        <v>#VALUE!</v>
      </c>
      <c r="G151" s="1061" t="e">
        <f t="shared" si="4"/>
        <v>#VALUE!</v>
      </c>
      <c r="H151" s="1062"/>
    </row>
    <row r="152" spans="1:8" ht="12.75" customHeight="1" hidden="1">
      <c r="A152" s="1075"/>
      <c r="B152" s="1053" t="s">
        <v>995</v>
      </c>
      <c r="C152" s="1060">
        <f>_xlfn.IFERROR(VLOOKUP(B152,'[1]ПО КОРИСНИЦИМА'!$C$3:$J$11609,5,FALSE),"")</f>
      </c>
      <c r="D152" s="1064" t="e">
        <f>SUMIF('[1]ПО КОРИСНИЦИМА'!$G$3:$G$11609,"Свега за пројекат 1502-П22:",'[1]ПО КОРИСНИЦИМА'!$H$3:$H$11609)</f>
        <v>#VALUE!</v>
      </c>
      <c r="E152" s="1058" t="e">
        <f t="shared" si="5"/>
        <v>#VALUE!</v>
      </c>
      <c r="F152" s="1065" t="e">
        <f>SUMIF('[1]ПО КОРИСНИЦИМА'!$G$3:$G$11609,"Свега за пројекат 1502-П22:",'[1]ПО КОРИСНИЦИМА'!$I$3:$I$11609)</f>
        <v>#VALUE!</v>
      </c>
      <c r="G152" s="1061" t="e">
        <f t="shared" si="4"/>
        <v>#VALUE!</v>
      </c>
      <c r="H152" s="1062"/>
    </row>
    <row r="153" spans="1:8" ht="12.75" customHeight="1" hidden="1">
      <c r="A153" s="1075"/>
      <c r="B153" s="1053" t="s">
        <v>996</v>
      </c>
      <c r="C153" s="1060">
        <f>_xlfn.IFERROR(VLOOKUP(B153,'[1]ПО КОРИСНИЦИМА'!$C$3:$J$11609,5,FALSE),"")</f>
      </c>
      <c r="D153" s="1064" t="e">
        <f>SUMIF('[1]ПО КОРИСНИЦИМА'!$G$3:$G$11609,"Свега за пројекат 1502-П23:",'[1]ПО КОРИСНИЦИМА'!$H$3:$H$11609)</f>
        <v>#VALUE!</v>
      </c>
      <c r="E153" s="1058" t="e">
        <f t="shared" si="5"/>
        <v>#VALUE!</v>
      </c>
      <c r="F153" s="1065" t="e">
        <f>SUMIF('[1]ПО КОРИСНИЦИМА'!$G$3:$G$11609,"Свега за пројекат 1502-П23:",'[1]ПО КОРИСНИЦИМА'!$I$3:$I$11609)</f>
        <v>#VALUE!</v>
      </c>
      <c r="G153" s="1061" t="e">
        <f t="shared" si="4"/>
        <v>#VALUE!</v>
      </c>
      <c r="H153" s="1062"/>
    </row>
    <row r="154" spans="1:8" ht="12.75" customHeight="1" hidden="1">
      <c r="A154" s="1075"/>
      <c r="B154" s="1053" t="s">
        <v>997</v>
      </c>
      <c r="C154" s="1060">
        <f>_xlfn.IFERROR(VLOOKUP(B154,'[1]ПО КОРИСНИЦИМА'!$C$3:$J$11609,5,FALSE),"")</f>
      </c>
      <c r="D154" s="1064" t="e">
        <f>SUMIF('[1]ПО КОРИСНИЦИМА'!$G$3:$G$11609,"Свега за пројекат 1502-П24:",'[1]ПО КОРИСНИЦИМА'!$H$3:$H$11609)</f>
        <v>#VALUE!</v>
      </c>
      <c r="E154" s="1058" t="e">
        <f t="shared" si="5"/>
        <v>#VALUE!</v>
      </c>
      <c r="F154" s="1065" t="e">
        <f>SUMIF('[1]ПО КОРИСНИЦИМА'!$G$3:$G$11609,"Свега за пројекат 1502-П24:",'[1]ПО КОРИСНИЦИМА'!$I$3:$I$11609)</f>
        <v>#VALUE!</v>
      </c>
      <c r="G154" s="1061" t="e">
        <f t="shared" si="4"/>
        <v>#VALUE!</v>
      </c>
      <c r="H154" s="1062"/>
    </row>
    <row r="155" spans="1:8" s="325" customFormat="1" ht="12.75">
      <c r="A155" s="1054" t="s">
        <v>317</v>
      </c>
      <c r="B155" s="1055"/>
      <c r="C155" s="1056" t="s">
        <v>0</v>
      </c>
      <c r="D155" s="1057">
        <f>SUM(D156:D157)</f>
        <v>9000000</v>
      </c>
      <c r="E155" s="1058">
        <f t="shared" si="5"/>
        <v>0.020240330854925062</v>
      </c>
      <c r="F155" s="1057">
        <f>SUM(F156:F157)</f>
        <v>73600000</v>
      </c>
      <c r="G155" s="1057">
        <f t="shared" si="4"/>
        <v>82600000</v>
      </c>
      <c r="H155" s="1072"/>
    </row>
    <row r="156" spans="1:8" ht="12.75">
      <c r="A156" s="1053"/>
      <c r="B156" s="1075" t="s">
        <v>318</v>
      </c>
      <c r="C156" s="1060" t="s">
        <v>1292</v>
      </c>
      <c r="D156" s="1061">
        <f>'Rashodi-2020'!M271</f>
        <v>8000000</v>
      </c>
      <c r="E156" s="1181">
        <f t="shared" si="5"/>
        <v>0.017991405204377833</v>
      </c>
      <c r="F156" s="1061">
        <f>'Rashodi-2020'!T271</f>
        <v>73600000</v>
      </c>
      <c r="G156" s="1061">
        <f t="shared" si="4"/>
        <v>81600000</v>
      </c>
      <c r="H156" s="1062" t="s">
        <v>1173</v>
      </c>
    </row>
    <row r="157" spans="1:8" ht="12.75">
      <c r="A157" s="1053"/>
      <c r="B157" s="1075" t="s">
        <v>319</v>
      </c>
      <c r="C157" s="1060" t="s">
        <v>1247</v>
      </c>
      <c r="D157" s="1061">
        <f>'Rashodi-2020'!M284</f>
        <v>1000000</v>
      </c>
      <c r="E157" s="1181">
        <f t="shared" si="5"/>
        <v>0.002248925650547229</v>
      </c>
      <c r="F157" s="1061">
        <f>'Rashodi-2020'!T284</f>
        <v>0</v>
      </c>
      <c r="G157" s="1061">
        <f t="shared" si="4"/>
        <v>1000000</v>
      </c>
      <c r="H157" s="1062" t="s">
        <v>1173</v>
      </c>
    </row>
    <row r="158" spans="1:8" ht="12.75" hidden="1">
      <c r="A158" s="1075"/>
      <c r="B158" s="1073" t="s">
        <v>998</v>
      </c>
      <c r="C158" s="1060">
        <f>_xlfn.IFERROR(VLOOKUP(B158,'[1]ПО КОРИСНИЦИМА'!$C$3:$J$11609,5,FALSE),"")</f>
      </c>
      <c r="D158" s="1064"/>
      <c r="E158" s="1058">
        <f t="shared" si="5"/>
        <v>0</v>
      </c>
      <c r="F158" s="1065"/>
      <c r="G158" s="1061">
        <f t="shared" si="4"/>
        <v>0</v>
      </c>
      <c r="H158" s="1062"/>
    </row>
    <row r="159" spans="1:8" ht="12.75" hidden="1">
      <c r="A159" s="1075"/>
      <c r="B159" s="1073" t="s">
        <v>999</v>
      </c>
      <c r="C159" s="1060">
        <f>_xlfn.IFERROR(VLOOKUP(B159,'[1]ПО КОРИСНИЦИМА'!$C$3:$J$11609,5,FALSE),"")</f>
      </c>
      <c r="D159" s="1064"/>
      <c r="E159" s="1058">
        <f t="shared" si="5"/>
        <v>0</v>
      </c>
      <c r="F159" s="1065"/>
      <c r="G159" s="1061">
        <f t="shared" si="4"/>
        <v>0</v>
      </c>
      <c r="H159" s="1062"/>
    </row>
    <row r="160" spans="1:8" ht="12.75" hidden="1">
      <c r="A160" s="1075"/>
      <c r="B160" s="1073" t="s">
        <v>1000</v>
      </c>
      <c r="C160" s="1060">
        <f>_xlfn.IFERROR(VLOOKUP(B160,'[1]ПО КОРИСНИЦИМА'!$C$3:$J$11609,5,FALSE),"")</f>
      </c>
      <c r="D160" s="1064"/>
      <c r="E160" s="1058">
        <f t="shared" si="5"/>
        <v>0</v>
      </c>
      <c r="F160" s="1065"/>
      <c r="G160" s="1061">
        <f t="shared" si="4"/>
        <v>0</v>
      </c>
      <c r="H160" s="1062"/>
    </row>
    <row r="161" spans="1:8" ht="12.75" hidden="1">
      <c r="A161" s="1075"/>
      <c r="B161" s="1073" t="s">
        <v>1001</v>
      </c>
      <c r="C161" s="1060">
        <f>_xlfn.IFERROR(VLOOKUP(B161,'[1]ПО КОРИСНИЦИМА'!$C$3:$J$11609,5,FALSE),"")</f>
      </c>
      <c r="D161" s="1064"/>
      <c r="E161" s="1058">
        <f t="shared" si="5"/>
        <v>0</v>
      </c>
      <c r="F161" s="1065"/>
      <c r="G161" s="1061">
        <f t="shared" si="4"/>
        <v>0</v>
      </c>
      <c r="H161" s="1062"/>
    </row>
    <row r="162" spans="1:8" ht="12.75" hidden="1">
      <c r="A162" s="1075"/>
      <c r="B162" s="1073" t="s">
        <v>1002</v>
      </c>
      <c r="C162" s="1060">
        <f>_xlfn.IFERROR(VLOOKUP(B162,'[1]ПО КОРИСНИЦИМА'!$C$3:$J$11609,5,FALSE),"")</f>
      </c>
      <c r="D162" s="1064"/>
      <c r="E162" s="1058">
        <f t="shared" si="5"/>
        <v>0</v>
      </c>
      <c r="F162" s="1065"/>
      <c r="G162" s="1061">
        <f t="shared" si="4"/>
        <v>0</v>
      </c>
      <c r="H162" s="1062"/>
    </row>
    <row r="163" spans="1:8" ht="12.75" hidden="1">
      <c r="A163" s="1075"/>
      <c r="B163" s="1073" t="s">
        <v>1003</v>
      </c>
      <c r="C163" s="1060">
        <f>_xlfn.IFERROR(VLOOKUP(B163,'[1]ПО КОРИСНИЦИМА'!$C$3:$J$11609,5,FALSE),"")</f>
      </c>
      <c r="D163" s="1064"/>
      <c r="E163" s="1058">
        <f t="shared" si="5"/>
        <v>0</v>
      </c>
      <c r="F163" s="1065"/>
      <c r="G163" s="1061">
        <f t="shared" si="4"/>
        <v>0</v>
      </c>
      <c r="H163" s="1062"/>
    </row>
    <row r="164" spans="1:8" ht="12.75" hidden="1">
      <c r="A164" s="1075"/>
      <c r="B164" s="1073" t="s">
        <v>1004</v>
      </c>
      <c r="C164" s="1060">
        <f>_xlfn.IFERROR(VLOOKUP(B164,'[1]ПО КОРИСНИЦИМА'!$C$3:$J$11609,5,FALSE),"")</f>
      </c>
      <c r="D164" s="1064"/>
      <c r="E164" s="1058">
        <f t="shared" si="5"/>
        <v>0</v>
      </c>
      <c r="F164" s="1065"/>
      <c r="G164" s="1061">
        <f t="shared" si="4"/>
        <v>0</v>
      </c>
      <c r="H164" s="1062"/>
    </row>
    <row r="165" spans="1:8" ht="12.75" hidden="1">
      <c r="A165" s="1075"/>
      <c r="B165" s="1073" t="s">
        <v>1005</v>
      </c>
      <c r="C165" s="1060">
        <f>_xlfn.IFERROR(VLOOKUP(B165,'[1]ПО КОРИСНИЦИМА'!$C$3:$J$11609,5,FALSE),"")</f>
      </c>
      <c r="D165" s="1064" t="e">
        <f>SUMIF('[1]ПО КОРИСНИЦИМА'!$G$3:$G$11609,"Свега за пројекат 0101-П8:",'[1]ПО КОРИСНИЦИМА'!$H$3:$H$11609)</f>
        <v>#VALUE!</v>
      </c>
      <c r="E165" s="1058" t="e">
        <f t="shared" si="5"/>
        <v>#VALUE!</v>
      </c>
      <c r="F165" s="1065" t="e">
        <f>SUMIF('[1]ПО КОРИСНИЦИМА'!$G$3:$G$11609,"Свега за пројекат 0101-П8:",'[1]ПО КОРИСНИЦИМА'!$I$3:$I$11609)</f>
        <v>#VALUE!</v>
      </c>
      <c r="G165" s="1061" t="e">
        <f t="shared" si="4"/>
        <v>#VALUE!</v>
      </c>
      <c r="H165" s="1062"/>
    </row>
    <row r="166" spans="1:8" ht="12.75" hidden="1">
      <c r="A166" s="1075"/>
      <c r="B166" s="1073" t="s">
        <v>1006</v>
      </c>
      <c r="C166" s="1060">
        <f>_xlfn.IFERROR(VLOOKUP(B166,'[1]ПО КОРИСНИЦИМА'!$C$3:$J$11609,5,FALSE),"")</f>
      </c>
      <c r="D166" s="1064" t="e">
        <f>SUMIF('[1]ПО КОРИСНИЦИМА'!$G$3:$G$11609,"Свега за пројекат 0101-П9:",'[1]ПО КОРИСНИЦИМА'!$H$3:$H$11609)</f>
        <v>#VALUE!</v>
      </c>
      <c r="E166" s="1058" t="e">
        <f t="shared" si="5"/>
        <v>#VALUE!</v>
      </c>
      <c r="F166" s="1065" t="e">
        <f>SUMIF('[1]ПО КОРИСНИЦИМА'!$G$3:$G$11609,"Свега за пројекат 0101-П9:",'[1]ПО КОРИСНИЦИМА'!$I$3:$I$11609)</f>
        <v>#VALUE!</v>
      </c>
      <c r="G166" s="1061" t="e">
        <f t="shared" si="4"/>
        <v>#VALUE!</v>
      </c>
      <c r="H166" s="1062"/>
    </row>
    <row r="167" spans="1:8" ht="12.75" hidden="1">
      <c r="A167" s="1075"/>
      <c r="B167" s="1073" t="s">
        <v>1007</v>
      </c>
      <c r="C167" s="1060">
        <f>_xlfn.IFERROR(VLOOKUP(B167,'[1]ПО КОРИСНИЦИМА'!$C$3:$J$11609,5,FALSE),"")</f>
      </c>
      <c r="D167" s="1064" t="e">
        <f>SUMIF('[1]ПО КОРИСНИЦИМА'!$G$3:$G$11609,"Свега за пројекат 0101-П10:",'[1]ПО КОРИСНИЦИМА'!$H$3:$H$11609)</f>
        <v>#VALUE!</v>
      </c>
      <c r="E167" s="1058" t="e">
        <f t="shared" si="5"/>
        <v>#VALUE!</v>
      </c>
      <c r="F167" s="1065" t="e">
        <f>SUMIF('[1]ПО КОРИСНИЦИМА'!$G$3:$G$11609,"Свега за пројекат 0101-П10:",'[1]ПО КОРИСНИЦИМА'!$I$3:$I$11609)</f>
        <v>#VALUE!</v>
      </c>
      <c r="G167" s="1061" t="e">
        <f t="shared" si="4"/>
        <v>#VALUE!</v>
      </c>
      <c r="H167" s="1062"/>
    </row>
    <row r="168" spans="1:8" ht="12.75" hidden="1">
      <c r="A168" s="1075"/>
      <c r="B168" s="1073" t="s">
        <v>1008</v>
      </c>
      <c r="C168" s="1060">
        <f>_xlfn.IFERROR(VLOOKUP(B168,'[1]ПО КОРИСНИЦИМА'!$C$3:$J$11609,5,FALSE),"")</f>
      </c>
      <c r="D168" s="1064" t="e">
        <f>SUMIF('[1]ПО КОРИСНИЦИМА'!$G$3:$G$11609,"Свега за пројекат 0101-П11:",'[1]ПО КОРИСНИЦИМА'!$H$3:$H$11609)</f>
        <v>#VALUE!</v>
      </c>
      <c r="E168" s="1058" t="e">
        <f t="shared" si="5"/>
        <v>#VALUE!</v>
      </c>
      <c r="F168" s="1065" t="e">
        <f>SUMIF('[1]ПО КОРИСНИЦИМА'!$G$3:$G$11609,"Свега за пројекат 0101-П11:",'[1]ПО КОРИСНИЦИМА'!$I$3:$I$11609)</f>
        <v>#VALUE!</v>
      </c>
      <c r="G168" s="1061" t="e">
        <f t="shared" si="4"/>
        <v>#VALUE!</v>
      </c>
      <c r="H168" s="1062"/>
    </row>
    <row r="169" spans="1:8" ht="12.75" hidden="1">
      <c r="A169" s="1075"/>
      <c r="B169" s="1073" t="s">
        <v>1009</v>
      </c>
      <c r="C169" s="1060">
        <f>_xlfn.IFERROR(VLOOKUP(B169,'[1]ПО КОРИСНИЦИМА'!$C$3:$J$11609,5,FALSE),"")</f>
      </c>
      <c r="D169" s="1064" t="e">
        <f>SUMIF('[1]ПО КОРИСНИЦИМА'!$G$3:$G$11609,"Свега за пројекат 0101-П12:",'[1]ПО КОРИСНИЦИМА'!$H$3:$H$11609)</f>
        <v>#VALUE!</v>
      </c>
      <c r="E169" s="1058" t="e">
        <f t="shared" si="5"/>
        <v>#VALUE!</v>
      </c>
      <c r="F169" s="1065" t="e">
        <f>SUMIF('[1]ПО КОРИСНИЦИМА'!$G$3:$G$11609,"Свега за пројекат 0101-П12:",'[1]ПО КОРИСНИЦИМА'!$I$3:$I$11609)</f>
        <v>#VALUE!</v>
      </c>
      <c r="G169" s="1061" t="e">
        <f t="shared" si="4"/>
        <v>#VALUE!</v>
      </c>
      <c r="H169" s="1062"/>
    </row>
    <row r="170" spans="1:8" ht="12.75" hidden="1">
      <c r="A170" s="1075"/>
      <c r="B170" s="1073" t="s">
        <v>1010</v>
      </c>
      <c r="C170" s="1060">
        <f>_xlfn.IFERROR(VLOOKUP(B170,'[1]ПО КОРИСНИЦИМА'!$C$3:$J$11609,5,FALSE),"")</f>
      </c>
      <c r="D170" s="1064" t="e">
        <f>SUMIF('[1]ПО КОРИСНИЦИМА'!$G$3:$G$11609,"Свега за пројекат 0101-П13:",'[1]ПО КОРИСНИЦИМА'!$H$3:$H$11609)</f>
        <v>#VALUE!</v>
      </c>
      <c r="E170" s="1058" t="e">
        <f t="shared" si="5"/>
        <v>#VALUE!</v>
      </c>
      <c r="F170" s="1065" t="e">
        <f>SUMIF('[1]ПО КОРИСНИЦИМА'!$G$3:$G$11609,"Свега за пројекат 0101-П13:",'[1]ПО КОРИСНИЦИМА'!$I$3:$I$11609)</f>
        <v>#VALUE!</v>
      </c>
      <c r="G170" s="1061" t="e">
        <f t="shared" si="4"/>
        <v>#VALUE!</v>
      </c>
      <c r="H170" s="1062"/>
    </row>
    <row r="171" spans="1:8" ht="12.75" hidden="1">
      <c r="A171" s="1075"/>
      <c r="B171" s="1073" t="s">
        <v>1011</v>
      </c>
      <c r="C171" s="1060">
        <f>_xlfn.IFERROR(VLOOKUP(B171,'[1]ПО КОРИСНИЦИМА'!$C$3:$J$11609,5,FALSE),"")</f>
      </c>
      <c r="D171" s="1064" t="e">
        <f>SUMIF('[1]ПО КОРИСНИЦИМА'!$G$3:$G$11609,"Свега за пројекат 0101-П14:",'[1]ПО КОРИСНИЦИМА'!$H$3:$H$11609)</f>
        <v>#VALUE!</v>
      </c>
      <c r="E171" s="1058" t="e">
        <f t="shared" si="5"/>
        <v>#VALUE!</v>
      </c>
      <c r="F171" s="1065" t="e">
        <f>SUMIF('[1]ПО КОРИСНИЦИМА'!$G$3:$G$11609,"Свега за пројекат 0101-П14:",'[1]ПО КОРИСНИЦИМА'!$I$3:$I$11609)</f>
        <v>#VALUE!</v>
      </c>
      <c r="G171" s="1061" t="e">
        <f t="shared" si="4"/>
        <v>#VALUE!</v>
      </c>
      <c r="H171" s="1062"/>
    </row>
    <row r="172" spans="1:8" ht="12.75" hidden="1">
      <c r="A172" s="1075"/>
      <c r="B172" s="1073" t="s">
        <v>1012</v>
      </c>
      <c r="C172" s="1060">
        <f>_xlfn.IFERROR(VLOOKUP(B172,'[1]ПО КОРИСНИЦИМА'!$C$3:$J$11609,5,FALSE),"")</f>
      </c>
      <c r="D172" s="1064" t="e">
        <f>SUMIF('[1]ПО КОРИСНИЦИМА'!$G$3:$G$11609,"Свега за пројекат 0101-П15:",'[1]ПО КОРИСНИЦИМА'!$H$3:$H$11609)</f>
        <v>#VALUE!</v>
      </c>
      <c r="E172" s="1058" t="e">
        <f t="shared" si="5"/>
        <v>#VALUE!</v>
      </c>
      <c r="F172" s="1065" t="e">
        <f>SUMIF('[1]ПО КОРИСНИЦИМА'!$G$3:$G$11609,"Свега за пројекат 0101-П15:",'[1]ПО КОРИСНИЦИМА'!$I$3:$I$11609)</f>
        <v>#VALUE!</v>
      </c>
      <c r="G172" s="1061" t="e">
        <f t="shared" si="4"/>
        <v>#VALUE!</v>
      </c>
      <c r="H172" s="1062"/>
    </row>
    <row r="173" spans="1:8" ht="12.75" hidden="1">
      <c r="A173" s="1075"/>
      <c r="B173" s="1073" t="s">
        <v>1013</v>
      </c>
      <c r="C173" s="1060">
        <f>_xlfn.IFERROR(VLOOKUP(B173,'[1]ПО КОРИСНИЦИМА'!$C$3:$J$11609,5,FALSE),"")</f>
      </c>
      <c r="D173" s="1064" t="e">
        <f>SUMIF('[1]ПО КОРИСНИЦИМА'!$G$3:$G$11609,"Свега за пројекат 0101-П16:",'[1]ПО КОРИСНИЦИМА'!$H$3:$H$11609)</f>
        <v>#VALUE!</v>
      </c>
      <c r="E173" s="1058" t="e">
        <f t="shared" si="5"/>
        <v>#VALUE!</v>
      </c>
      <c r="F173" s="1065" t="e">
        <f>SUMIF('[1]ПО КОРИСНИЦИМА'!$G$3:$G$11609,"Свега за пројекат 0101-П16:",'[1]ПО КОРИСНИЦИМА'!$I$3:$I$11609)</f>
        <v>#VALUE!</v>
      </c>
      <c r="G173" s="1061" t="e">
        <f t="shared" si="4"/>
        <v>#VALUE!</v>
      </c>
      <c r="H173" s="1062"/>
    </row>
    <row r="174" spans="1:8" s="325" customFormat="1" ht="12.75">
      <c r="A174" s="1054" t="s">
        <v>321</v>
      </c>
      <c r="B174" s="1055"/>
      <c r="C174" s="1056" t="s">
        <v>1</v>
      </c>
      <c r="D174" s="1057">
        <f>SUM(D175:D178)</f>
        <v>13150000</v>
      </c>
      <c r="E174" s="1058">
        <f t="shared" si="5"/>
        <v>0.02957337230469606</v>
      </c>
      <c r="F174" s="1057">
        <f>SUM(F175:F178)</f>
        <v>243000</v>
      </c>
      <c r="G174" s="1057">
        <f t="shared" si="4"/>
        <v>13393000</v>
      </c>
      <c r="H174" s="1072"/>
    </row>
    <row r="175" spans="1:8" ht="12.75">
      <c r="A175" s="1053"/>
      <c r="B175" s="1076" t="s">
        <v>322</v>
      </c>
      <c r="C175" s="1066" t="s">
        <v>1293</v>
      </c>
      <c r="D175" s="1061">
        <f>'Rashodi-2020'!M293</f>
        <v>3800000</v>
      </c>
      <c r="E175" s="1181">
        <f t="shared" si="5"/>
        <v>0.00854591747207947</v>
      </c>
      <c r="F175" s="1063">
        <f>'Rashodi-2020'!T293</f>
        <v>243000</v>
      </c>
      <c r="G175" s="1061">
        <f t="shared" si="4"/>
        <v>4043000</v>
      </c>
      <c r="H175" s="1062" t="s">
        <v>1173</v>
      </c>
    </row>
    <row r="176" spans="1:8" ht="12.75">
      <c r="A176" s="1053"/>
      <c r="B176" s="1076" t="s">
        <v>1248</v>
      </c>
      <c r="C176" s="1066" t="s">
        <v>333</v>
      </c>
      <c r="D176" s="1061">
        <f>'Rashodi-2020'!M288</f>
        <v>8850000</v>
      </c>
      <c r="E176" s="1181">
        <f t="shared" si="5"/>
        <v>0.019902992007342975</v>
      </c>
      <c r="F176" s="1061">
        <f>'Rashodi-2020'!T288</f>
        <v>0</v>
      </c>
      <c r="G176" s="1061">
        <f t="shared" si="4"/>
        <v>8850000</v>
      </c>
      <c r="H176" s="1062" t="s">
        <v>1173</v>
      </c>
    </row>
    <row r="177" spans="1:8" ht="12.75" customHeight="1" hidden="1">
      <c r="A177" s="1053"/>
      <c r="B177" s="1076" t="s">
        <v>853</v>
      </c>
      <c r="C177" s="1066" t="s">
        <v>854</v>
      </c>
      <c r="D177" s="1061"/>
      <c r="E177" s="1181">
        <f t="shared" si="5"/>
        <v>0</v>
      </c>
      <c r="F177" s="1063"/>
      <c r="G177" s="1061">
        <f t="shared" si="4"/>
        <v>0</v>
      </c>
      <c r="H177" s="1062"/>
    </row>
    <row r="178" spans="1:8" ht="12.75" customHeight="1">
      <c r="A178" s="1053"/>
      <c r="B178" s="1076" t="s">
        <v>855</v>
      </c>
      <c r="C178" s="1066" t="s">
        <v>1371</v>
      </c>
      <c r="D178" s="1061">
        <f>'Rashodi-2020'!M299</f>
        <v>500000</v>
      </c>
      <c r="E178" s="1181">
        <f t="shared" si="5"/>
        <v>0.0011244628252736145</v>
      </c>
      <c r="F178" s="1063">
        <f>'Rashodi-2020'!N300+'Rashodi-2020'!O300+'Rashodi-2020'!P300+'Rashodi-2020'!Q300+'Rashodi-2020'!S300</f>
        <v>0</v>
      </c>
      <c r="G178" s="1061">
        <f t="shared" si="4"/>
        <v>500000</v>
      </c>
      <c r="H178" s="1062" t="s">
        <v>1173</v>
      </c>
    </row>
    <row r="179" spans="1:8" ht="12.75" customHeight="1" hidden="1">
      <c r="A179" s="1053"/>
      <c r="B179" s="1076" t="s">
        <v>1014</v>
      </c>
      <c r="C179" s="1060">
        <f>_xlfn.IFERROR(VLOOKUP(B179,'[1]ПО КОРИСНИЦИМА'!$C$3:$J$11609,5,FALSE),"")</f>
      </c>
      <c r="D179" s="1064"/>
      <c r="E179" s="1058">
        <f t="shared" si="5"/>
        <v>0</v>
      </c>
      <c r="F179" s="1065"/>
      <c r="G179" s="1061">
        <f t="shared" si="4"/>
        <v>0</v>
      </c>
      <c r="H179" s="1062"/>
    </row>
    <row r="180" spans="1:8" ht="12.75" customHeight="1" hidden="1">
      <c r="A180" s="1053"/>
      <c r="B180" s="1076" t="s">
        <v>1015</v>
      </c>
      <c r="C180" s="1060">
        <f>_xlfn.IFERROR(VLOOKUP(B180,'[1]ПО КОРИСНИЦИМА'!$C$3:$J$11609,5,FALSE),"")</f>
      </c>
      <c r="D180" s="1064"/>
      <c r="E180" s="1058">
        <f t="shared" si="5"/>
        <v>0</v>
      </c>
      <c r="F180" s="1065"/>
      <c r="G180" s="1061">
        <f t="shared" si="4"/>
        <v>0</v>
      </c>
      <c r="H180" s="1062"/>
    </row>
    <row r="181" spans="1:8" ht="12.75" customHeight="1" hidden="1">
      <c r="A181" s="1053"/>
      <c r="B181" s="1076" t="s">
        <v>1016</v>
      </c>
      <c r="C181" s="1060">
        <f>_xlfn.IFERROR(VLOOKUP(B181,'[1]ПО КОРИСНИЦИМА'!$C$3:$J$11609,5,FALSE),"")</f>
      </c>
      <c r="D181" s="1064"/>
      <c r="E181" s="1058">
        <f t="shared" si="5"/>
        <v>0</v>
      </c>
      <c r="F181" s="1065"/>
      <c r="G181" s="1061">
        <f t="shared" si="4"/>
        <v>0</v>
      </c>
      <c r="H181" s="1062"/>
    </row>
    <row r="182" spans="1:8" ht="12.75" customHeight="1" hidden="1">
      <c r="A182" s="1053"/>
      <c r="B182" s="1076" t="s">
        <v>1017</v>
      </c>
      <c r="C182" s="1060">
        <f>_xlfn.IFERROR(VLOOKUP(B182,'[1]ПО КОРИСНИЦИМА'!$C$3:$J$11609,5,FALSE),"")</f>
      </c>
      <c r="D182" s="1064"/>
      <c r="E182" s="1058">
        <f t="shared" si="5"/>
        <v>0</v>
      </c>
      <c r="F182" s="1065"/>
      <c r="G182" s="1061">
        <f t="shared" si="4"/>
        <v>0</v>
      </c>
      <c r="H182" s="1062"/>
    </row>
    <row r="183" spans="1:8" ht="12.75" customHeight="1" hidden="1">
      <c r="A183" s="1053"/>
      <c r="B183" s="1076" t="s">
        <v>1018</v>
      </c>
      <c r="C183" s="1060">
        <f>_xlfn.IFERROR(VLOOKUP(B183,'[1]ПО КОРИСНИЦИМА'!$C$3:$J$11609,5,FALSE),"")</f>
      </c>
      <c r="D183" s="1064"/>
      <c r="E183" s="1058">
        <f t="shared" si="5"/>
        <v>0</v>
      </c>
      <c r="F183" s="1065"/>
      <c r="G183" s="1061">
        <f t="shared" si="4"/>
        <v>0</v>
      </c>
      <c r="H183" s="1062"/>
    </row>
    <row r="184" spans="1:8" ht="12.75" customHeight="1" hidden="1">
      <c r="A184" s="1053"/>
      <c r="B184" s="1076" t="s">
        <v>1019</v>
      </c>
      <c r="C184" s="1060">
        <f>_xlfn.IFERROR(VLOOKUP(B184,'[1]ПО КОРИСНИЦИМА'!$C$3:$J$11609,5,FALSE),"")</f>
      </c>
      <c r="D184" s="1064"/>
      <c r="E184" s="1058">
        <f t="shared" si="5"/>
        <v>0</v>
      </c>
      <c r="F184" s="1065"/>
      <c r="G184" s="1061">
        <f t="shared" si="4"/>
        <v>0</v>
      </c>
      <c r="H184" s="1062"/>
    </row>
    <row r="185" spans="1:8" ht="12.75" customHeight="1" hidden="1">
      <c r="A185" s="1053"/>
      <c r="B185" s="1076" t="s">
        <v>1020</v>
      </c>
      <c r="C185" s="1060">
        <f>_xlfn.IFERROR(VLOOKUP(B185,'[1]ПО КОРИСНИЦИМА'!$C$3:$J$11609,5,FALSE),"")</f>
      </c>
      <c r="D185" s="1064"/>
      <c r="E185" s="1058">
        <f t="shared" si="5"/>
        <v>0</v>
      </c>
      <c r="F185" s="1065"/>
      <c r="G185" s="1061">
        <f t="shared" si="4"/>
        <v>0</v>
      </c>
      <c r="H185" s="1062"/>
    </row>
    <row r="186" spans="1:8" ht="12.75" customHeight="1" hidden="1">
      <c r="A186" s="1053"/>
      <c r="B186" s="1076" t="s">
        <v>1021</v>
      </c>
      <c r="C186" s="1060">
        <f>_xlfn.IFERROR(VLOOKUP(B186,'[1]ПО КОРИСНИЦИМА'!$C$3:$J$11609,5,FALSE),"")</f>
      </c>
      <c r="D186" s="1064"/>
      <c r="E186" s="1058">
        <f t="shared" si="5"/>
        <v>0</v>
      </c>
      <c r="F186" s="1065"/>
      <c r="G186" s="1061">
        <f t="shared" si="4"/>
        <v>0</v>
      </c>
      <c r="H186" s="1062"/>
    </row>
    <row r="187" spans="1:8" ht="12.75" customHeight="1" hidden="1">
      <c r="A187" s="1053"/>
      <c r="B187" s="1076" t="s">
        <v>1022</v>
      </c>
      <c r="C187" s="1060">
        <f>_xlfn.IFERROR(VLOOKUP(B187,'[1]ПО КОРИСНИЦИМА'!$C$3:$J$11609,5,FALSE),"")</f>
      </c>
      <c r="D187" s="1064"/>
      <c r="E187" s="1058">
        <f t="shared" si="5"/>
        <v>0</v>
      </c>
      <c r="F187" s="1065"/>
      <c r="G187" s="1061">
        <f t="shared" si="4"/>
        <v>0</v>
      </c>
      <c r="H187" s="1062"/>
    </row>
    <row r="188" spans="1:8" ht="12.75" customHeight="1" hidden="1">
      <c r="A188" s="1053"/>
      <c r="B188" s="1076" t="s">
        <v>1023</v>
      </c>
      <c r="C188" s="1060">
        <f>_xlfn.IFERROR(VLOOKUP(B188,'[1]ПО КОРИСНИЦИМА'!$C$3:$J$11609,5,FALSE),"")</f>
      </c>
      <c r="D188" s="1064"/>
      <c r="E188" s="1058">
        <f t="shared" si="5"/>
        <v>0</v>
      </c>
      <c r="F188" s="1065"/>
      <c r="G188" s="1061">
        <f t="shared" si="4"/>
        <v>0</v>
      </c>
      <c r="H188" s="1062"/>
    </row>
    <row r="189" spans="1:8" ht="12.75" hidden="1">
      <c r="A189" s="1053"/>
      <c r="B189" s="1076" t="s">
        <v>1024</v>
      </c>
      <c r="C189" s="1060">
        <f>_xlfn.IFERROR(VLOOKUP(B189,'[1]ПО КОРИСНИЦИМА'!$C$3:$J$11609,5,FALSE),"")</f>
      </c>
      <c r="D189" s="1064" t="e">
        <f>SUMIF('[1]ПО КОРИСНИЦИМА'!$G$3:$G$11609,"Свега за пројекат 0401-П11:",'[1]ПО КОРИСНИЦИМА'!$H$3:$H$11609)</f>
        <v>#VALUE!</v>
      </c>
      <c r="E189" s="1058" t="e">
        <f t="shared" si="5"/>
        <v>#VALUE!</v>
      </c>
      <c r="F189" s="1065" t="e">
        <f>SUMIF('[1]ПО КОРИСНИЦИМА'!$G$3:$G$11609,"Свега за пројекат 0401-П11:",'[1]ПО КОРИСНИЦИМА'!$I$3:$I$11609)</f>
        <v>#VALUE!</v>
      </c>
      <c r="G189" s="1061" t="e">
        <f t="shared" si="4"/>
        <v>#VALUE!</v>
      </c>
      <c r="H189" s="1062"/>
    </row>
    <row r="190" spans="1:8" ht="12.75" hidden="1">
      <c r="A190" s="1053"/>
      <c r="B190" s="1076" t="s">
        <v>1025</v>
      </c>
      <c r="C190" s="1060">
        <f>_xlfn.IFERROR(VLOOKUP(B190,'[1]ПО КОРИСНИЦИМА'!$C$3:$J$11609,5,FALSE),"")</f>
      </c>
      <c r="D190" s="1064" t="e">
        <f>SUMIF('[1]ПО КОРИСНИЦИМА'!$G$3:$G$11609,"Свега за пројекат 0401-П12:",'[1]ПО КОРИСНИЦИМА'!$H$3:$H$11609)</f>
        <v>#VALUE!</v>
      </c>
      <c r="E190" s="1058" t="e">
        <f t="shared" si="5"/>
        <v>#VALUE!</v>
      </c>
      <c r="F190" s="1065" t="e">
        <f>SUMIF('[1]ПО КОРИСНИЦИМА'!$G$3:$G$11609,"Свега за пројекат 0401-П12:",'[1]ПО КОРИСНИЦИМА'!$I$3:$I$11609)</f>
        <v>#VALUE!</v>
      </c>
      <c r="G190" s="1061" t="e">
        <f t="shared" si="4"/>
        <v>#VALUE!</v>
      </c>
      <c r="H190" s="1062"/>
    </row>
    <row r="191" spans="1:8" ht="12.75" hidden="1">
      <c r="A191" s="1053"/>
      <c r="B191" s="1076" t="s">
        <v>1026</v>
      </c>
      <c r="C191" s="1060">
        <f>_xlfn.IFERROR(VLOOKUP(B191,'[1]ПО КОРИСНИЦИМА'!$C$3:$J$11609,5,FALSE),"")</f>
      </c>
      <c r="D191" s="1064" t="e">
        <f>SUMIF('[1]ПО КОРИСНИЦИМА'!$G$3:$G$11609,"Свега за пројекат 0401-П13:",'[1]ПО КОРИСНИЦИМА'!$H$3:$H$11609)</f>
        <v>#VALUE!</v>
      </c>
      <c r="E191" s="1058" t="e">
        <f t="shared" si="5"/>
        <v>#VALUE!</v>
      </c>
      <c r="F191" s="1065" t="e">
        <f>SUMIF('[1]ПО КОРИСНИЦИМА'!$G$3:$G$11609,"Свега за пројекат 0401-П13:",'[1]ПО КОРИСНИЦИМА'!$I$3:$I$11609)</f>
        <v>#VALUE!</v>
      </c>
      <c r="G191" s="1061" t="e">
        <f t="shared" si="4"/>
        <v>#VALUE!</v>
      </c>
      <c r="H191" s="1062"/>
    </row>
    <row r="192" spans="1:8" ht="12.75" hidden="1">
      <c r="A192" s="1053"/>
      <c r="B192" s="1076" t="s">
        <v>1027</v>
      </c>
      <c r="C192" s="1060">
        <f>_xlfn.IFERROR(VLOOKUP(B192,'[1]ПО КОРИСНИЦИМА'!$C$3:$J$11609,5,FALSE),"")</f>
      </c>
      <c r="D192" s="1064" t="e">
        <f>SUMIF('[1]ПО КОРИСНИЦИМА'!$G$3:$G$11609,"Свега за пројекат 0401-П14:",'[1]ПО КОРИСНИЦИМА'!$H$3:$H$11609)</f>
        <v>#VALUE!</v>
      </c>
      <c r="E192" s="1058" t="e">
        <f t="shared" si="5"/>
        <v>#VALUE!</v>
      </c>
      <c r="F192" s="1065" t="e">
        <f>SUMIF('[1]ПО КОРИСНИЦИМА'!$G$3:$G$11609,"Свега за пројекат 0401-П14:",'[1]ПО КОРИСНИЦИМА'!$I$3:$I$11609)</f>
        <v>#VALUE!</v>
      </c>
      <c r="G192" s="1061" t="e">
        <f t="shared" si="4"/>
        <v>#VALUE!</v>
      </c>
      <c r="H192" s="1062"/>
    </row>
    <row r="193" spans="1:8" ht="12.75" hidden="1">
      <c r="A193" s="1075"/>
      <c r="B193" s="1076" t="s">
        <v>1028</v>
      </c>
      <c r="C193" s="1060">
        <f>_xlfn.IFERROR(VLOOKUP(B193,'[1]ПО КОРИСНИЦИМА'!$C$3:$J$11609,5,FALSE),"")</f>
      </c>
      <c r="D193" s="1064" t="e">
        <f>SUMIF('[1]ПО КОРИСНИЦИМА'!$G$3:$G$11609,"Свега за пројекат 0401-П15:",'[1]ПО КОРИСНИЦИМА'!$H$3:$H$11609)</f>
        <v>#VALUE!</v>
      </c>
      <c r="E193" s="1058" t="e">
        <f t="shared" si="5"/>
        <v>#VALUE!</v>
      </c>
      <c r="F193" s="1065" t="e">
        <f>SUMIF('[1]ПО КОРИСНИЦИМА'!$G$3:$G$11609,"Свега за пројекат 0401-П15:",'[1]ПО КОРИСНИЦИМА'!$I$3:$I$11609)</f>
        <v>#VALUE!</v>
      </c>
      <c r="G193" s="1061" t="e">
        <f t="shared" si="4"/>
        <v>#VALUE!</v>
      </c>
      <c r="H193" s="1062"/>
    </row>
    <row r="194" spans="1:8" s="325" customFormat="1" ht="12.75">
      <c r="A194" s="1054" t="s">
        <v>324</v>
      </c>
      <c r="B194" s="1055"/>
      <c r="C194" s="1056" t="s">
        <v>1355</v>
      </c>
      <c r="D194" s="1057">
        <f>SUM(D195:D202)</f>
        <v>12190000</v>
      </c>
      <c r="E194" s="1058">
        <f t="shared" si="5"/>
        <v>0.027414403680170722</v>
      </c>
      <c r="F194" s="1057">
        <f>SUM(F195:F202)</f>
        <v>79990000</v>
      </c>
      <c r="G194" s="1077">
        <f t="shared" si="4"/>
        <v>92180000</v>
      </c>
      <c r="H194" s="1072"/>
    </row>
    <row r="195" spans="1:8" ht="12.75" hidden="1">
      <c r="A195" s="1053"/>
      <c r="B195" s="1073" t="s">
        <v>872</v>
      </c>
      <c r="C195" s="1074" t="s">
        <v>856</v>
      </c>
      <c r="D195" s="1061"/>
      <c r="E195" s="1058">
        <f t="shared" si="5"/>
        <v>0</v>
      </c>
      <c r="F195" s="1063"/>
      <c r="G195" s="1061">
        <f t="shared" si="4"/>
        <v>0</v>
      </c>
      <c r="H195" s="1062"/>
    </row>
    <row r="196" spans="1:8" ht="12.75">
      <c r="A196" s="1053"/>
      <c r="B196" s="1073" t="s">
        <v>325</v>
      </c>
      <c r="C196" s="1074" t="s">
        <v>1357</v>
      </c>
      <c r="D196" s="1061">
        <f>'Rashodi-2020'!M364</f>
        <v>12190000</v>
      </c>
      <c r="E196" s="1181">
        <f t="shared" si="5"/>
        <v>0.027414403680170722</v>
      </c>
      <c r="F196" s="1061">
        <f>'Rashodi-2020'!T364</f>
        <v>79990000</v>
      </c>
      <c r="G196" s="1061">
        <f t="shared" si="4"/>
        <v>92180000</v>
      </c>
      <c r="H196" s="1062" t="s">
        <v>1308</v>
      </c>
    </row>
    <row r="197" spans="1:8" ht="12.75" hidden="1">
      <c r="A197" s="1075"/>
      <c r="B197" s="1075" t="s">
        <v>1029</v>
      </c>
      <c r="C197" s="1060">
        <f>_xlfn.IFERROR(VLOOKUP(B197,'[1]ПО КОРИСНИЦИМА'!$C$3:$J$11609,5,FALSE),"")</f>
      </c>
      <c r="D197" s="1064"/>
      <c r="E197" s="1058">
        <f t="shared" si="5"/>
        <v>0</v>
      </c>
      <c r="F197" s="1065"/>
      <c r="G197" s="1061">
        <f aca="true" t="shared" si="6" ref="G197:G260">D197+F197</f>
        <v>0</v>
      </c>
      <c r="H197" s="1062"/>
    </row>
    <row r="198" spans="1:8" ht="12.75" hidden="1">
      <c r="A198" s="1075"/>
      <c r="B198" s="1075" t="s">
        <v>1030</v>
      </c>
      <c r="C198" s="1060">
        <f>_xlfn.IFERROR(VLOOKUP(B198,'[1]ПО КОРИСНИЦИМА'!$C$3:$J$11609,5,FALSE),"")</f>
      </c>
      <c r="D198" s="1064"/>
      <c r="E198" s="1058">
        <f aca="true" t="shared" si="7" ref="E198:E261">D198/444656763</f>
        <v>0</v>
      </c>
      <c r="F198" s="1065"/>
      <c r="G198" s="1061">
        <f t="shared" si="6"/>
        <v>0</v>
      </c>
      <c r="H198" s="1062"/>
    </row>
    <row r="199" spans="1:8" ht="12.75" hidden="1">
      <c r="A199" s="1075"/>
      <c r="B199" s="1075" t="s">
        <v>1031</v>
      </c>
      <c r="C199" s="1060">
        <f>_xlfn.IFERROR(VLOOKUP(B199,'[1]ПО КОРИСНИЦИМА'!$C$3:$J$11609,5,FALSE),"")</f>
      </c>
      <c r="D199" s="1064"/>
      <c r="E199" s="1058">
        <f t="shared" si="7"/>
        <v>0</v>
      </c>
      <c r="F199" s="1065"/>
      <c r="G199" s="1061">
        <f t="shared" si="6"/>
        <v>0</v>
      </c>
      <c r="H199" s="1062"/>
    </row>
    <row r="200" spans="1:8" ht="12.75" hidden="1">
      <c r="A200" s="1075"/>
      <c r="B200" s="1075" t="s">
        <v>1032</v>
      </c>
      <c r="C200" s="1060">
        <f>_xlfn.IFERROR(VLOOKUP(B200,'[1]ПО КОРИСНИЦИМА'!$C$3:$J$11609,5,FALSE),"")</f>
      </c>
      <c r="D200" s="1064"/>
      <c r="E200" s="1058">
        <f t="shared" si="7"/>
        <v>0</v>
      </c>
      <c r="F200" s="1065"/>
      <c r="G200" s="1061">
        <f t="shared" si="6"/>
        <v>0</v>
      </c>
      <c r="H200" s="1062"/>
    </row>
    <row r="201" spans="1:8" ht="12.75" hidden="1">
      <c r="A201" s="1075"/>
      <c r="B201" s="1075" t="s">
        <v>1033</v>
      </c>
      <c r="C201" s="1060">
        <f>_xlfn.IFERROR(VLOOKUP(B201,'[1]ПО КОРИСНИЦИМА'!$C$3:$J$11609,5,FALSE),"")</f>
      </c>
      <c r="D201" s="1064"/>
      <c r="E201" s="1058">
        <f t="shared" si="7"/>
        <v>0</v>
      </c>
      <c r="F201" s="1065"/>
      <c r="G201" s="1061">
        <f t="shared" si="6"/>
        <v>0</v>
      </c>
      <c r="H201" s="1062"/>
    </row>
    <row r="202" spans="1:8" ht="12.75" hidden="1">
      <c r="A202" s="1075"/>
      <c r="B202" s="1075" t="s">
        <v>1034</v>
      </c>
      <c r="C202" s="1060">
        <f>_xlfn.IFERROR(VLOOKUP(B202,'[1]ПО КОРИСНИЦИМА'!$C$3:$J$11609,5,FALSE),"")</f>
      </c>
      <c r="D202" s="1064"/>
      <c r="E202" s="1058">
        <f t="shared" si="7"/>
        <v>0</v>
      </c>
      <c r="F202" s="1065"/>
      <c r="G202" s="1061">
        <f t="shared" si="6"/>
        <v>0</v>
      </c>
      <c r="H202" s="1062"/>
    </row>
    <row r="203" spans="1:8" ht="12.75" hidden="1">
      <c r="A203" s="1075"/>
      <c r="B203" s="1075" t="s">
        <v>1035</v>
      </c>
      <c r="C203" s="1060">
        <f>_xlfn.IFERROR(VLOOKUP(B203,'[1]ПО КОРИСНИЦИМА'!$C$3:$J$11609,5,FALSE),"")</f>
      </c>
      <c r="D203" s="1064" t="e">
        <f>SUMIF('[1]ПО КОРИСНИЦИМА'!$G$3:$G$11609,"Свега за пројекат 0701-П7:",'[1]ПО КОРИСНИЦИМА'!$H$3:$H$11609)</f>
        <v>#VALUE!</v>
      </c>
      <c r="E203" s="1058" t="e">
        <f t="shared" si="7"/>
        <v>#VALUE!</v>
      </c>
      <c r="F203" s="1065"/>
      <c r="G203" s="1061" t="e">
        <f t="shared" si="6"/>
        <v>#VALUE!</v>
      </c>
      <c r="H203" s="1062"/>
    </row>
    <row r="204" spans="1:8" ht="12.75" hidden="1">
      <c r="A204" s="1075"/>
      <c r="B204" s="1075" t="s">
        <v>1036</v>
      </c>
      <c r="C204" s="1060">
        <f>_xlfn.IFERROR(VLOOKUP(B204,'[1]ПО КОРИСНИЦИМА'!$C$3:$J$11609,5,FALSE),"")</f>
      </c>
      <c r="D204" s="1064" t="e">
        <f>SUMIF('[1]ПО КОРИСНИЦИМА'!$G$3:$G$11609,"Свега за пројекат 0701-П8:",'[1]ПО КОРИСНИЦИМА'!$H$3:$H$11609)</f>
        <v>#VALUE!</v>
      </c>
      <c r="E204" s="1058" t="e">
        <f t="shared" si="7"/>
        <v>#VALUE!</v>
      </c>
      <c r="F204" s="1065"/>
      <c r="G204" s="1061" t="e">
        <f t="shared" si="6"/>
        <v>#VALUE!</v>
      </c>
      <c r="H204" s="1062"/>
    </row>
    <row r="205" spans="1:8" ht="12.75" hidden="1">
      <c r="A205" s="1075"/>
      <c r="B205" s="1075" t="s">
        <v>1037</v>
      </c>
      <c r="C205" s="1060">
        <f>_xlfn.IFERROR(VLOOKUP(B205,'[1]ПО КОРИСНИЦИМА'!$C$3:$J$11609,5,FALSE),"")</f>
      </c>
      <c r="D205" s="1064" t="e">
        <f>SUMIF('[1]ПО КОРИСНИЦИМА'!$G$3:$G$11609,"Свега за пројекат 0701-П9:",'[1]ПО КОРИСНИЦИМА'!$H$3:$H$11609)</f>
        <v>#VALUE!</v>
      </c>
      <c r="E205" s="1058" t="e">
        <f t="shared" si="7"/>
        <v>#VALUE!</v>
      </c>
      <c r="F205" s="1065"/>
      <c r="G205" s="1061" t="e">
        <f t="shared" si="6"/>
        <v>#VALUE!</v>
      </c>
      <c r="H205" s="1062"/>
    </row>
    <row r="206" spans="1:8" ht="12.75" hidden="1">
      <c r="A206" s="1075"/>
      <c r="B206" s="1075" t="s">
        <v>1038</v>
      </c>
      <c r="C206" s="1060">
        <f>_xlfn.IFERROR(VLOOKUP(B206,'[1]ПО КОРИСНИЦИМА'!$C$3:$J$11609,5,FALSE),"")</f>
      </c>
      <c r="D206" s="1064" t="e">
        <f>SUMIF('[1]ПО КОРИСНИЦИМА'!$G$3:$G$11609,"Свега за пројекат 0701-П10:",'[1]ПО КОРИСНИЦИМА'!$H$3:$H$11609)</f>
        <v>#VALUE!</v>
      </c>
      <c r="E206" s="1058" t="e">
        <f t="shared" si="7"/>
        <v>#VALUE!</v>
      </c>
      <c r="F206" s="1065"/>
      <c r="G206" s="1061" t="e">
        <f t="shared" si="6"/>
        <v>#VALUE!</v>
      </c>
      <c r="H206" s="1062"/>
    </row>
    <row r="207" spans="1:8" ht="12.75" hidden="1">
      <c r="A207" s="1075"/>
      <c r="B207" s="1075" t="s">
        <v>1039</v>
      </c>
      <c r="C207" s="1060">
        <f>_xlfn.IFERROR(VLOOKUP(B207,'[1]ПО КОРИСНИЦИМА'!$C$3:$J$11609,5,FALSE),"")</f>
      </c>
      <c r="D207" s="1064" t="e">
        <f>SUMIF('[1]ПО КОРИСНИЦИМА'!$G$3:$G$11609,"Свега за пројекат 0701-П11:",'[1]ПО КОРИСНИЦИМА'!$H$3:$H$11609)</f>
        <v>#VALUE!</v>
      </c>
      <c r="E207" s="1058" t="e">
        <f t="shared" si="7"/>
        <v>#VALUE!</v>
      </c>
      <c r="F207" s="1065"/>
      <c r="G207" s="1061" t="e">
        <f t="shared" si="6"/>
        <v>#VALUE!</v>
      </c>
      <c r="H207" s="1062"/>
    </row>
    <row r="208" spans="1:8" ht="12.75" hidden="1">
      <c r="A208" s="1075"/>
      <c r="B208" s="1075" t="s">
        <v>1040</v>
      </c>
      <c r="C208" s="1060">
        <f>_xlfn.IFERROR(VLOOKUP(B208,'[1]ПО КОРИСНИЦИМА'!$C$3:$J$11609,5,FALSE),"")</f>
      </c>
      <c r="D208" s="1064" t="e">
        <f>SUMIF('[1]ПО КОРИСНИЦИМА'!$G$3:$G$11609,"Свега за пројекат 0701-П12:",'[1]ПО КОРИСНИЦИМА'!$H$3:$H$11609)</f>
        <v>#VALUE!</v>
      </c>
      <c r="E208" s="1058" t="e">
        <f t="shared" si="7"/>
        <v>#VALUE!</v>
      </c>
      <c r="F208" s="1065"/>
      <c r="G208" s="1061" t="e">
        <f t="shared" si="6"/>
        <v>#VALUE!</v>
      </c>
      <c r="H208" s="1062"/>
    </row>
    <row r="209" spans="1:8" ht="12.75" hidden="1">
      <c r="A209" s="1075"/>
      <c r="B209" s="1075" t="s">
        <v>1041</v>
      </c>
      <c r="C209" s="1060">
        <f>_xlfn.IFERROR(VLOOKUP(B209,'[1]ПО КОРИСНИЦИМА'!$C$3:$J$11609,5,FALSE),"")</f>
      </c>
      <c r="D209" s="1064" t="e">
        <f>SUMIF('[1]ПО КОРИСНИЦИМА'!$G$3:$G$11609,"Свега за пројекат 0701-П13:",'[1]ПО КОРИСНИЦИМА'!$H$3:$H$11609)</f>
        <v>#VALUE!</v>
      </c>
      <c r="E209" s="1058" t="e">
        <f t="shared" si="7"/>
        <v>#VALUE!</v>
      </c>
      <c r="F209" s="1065"/>
      <c r="G209" s="1061" t="e">
        <f t="shared" si="6"/>
        <v>#VALUE!</v>
      </c>
      <c r="H209" s="1062"/>
    </row>
    <row r="210" spans="1:8" ht="12.75" hidden="1">
      <c r="A210" s="1075"/>
      <c r="B210" s="1075" t="s">
        <v>1042</v>
      </c>
      <c r="C210" s="1060">
        <f>_xlfn.IFERROR(VLOOKUP(B210,'[1]ПО КОРИСНИЦИМА'!$C$3:$J$11609,5,FALSE),"")</f>
      </c>
      <c r="D210" s="1064" t="e">
        <f>SUMIF('[1]ПО КОРИСНИЦИМА'!$G$3:$G$11609,"Свега за пројекат 0701-П14:",'[1]ПО КОРИСНИЦИМА'!$H$3:$H$11609)</f>
        <v>#VALUE!</v>
      </c>
      <c r="E210" s="1058" t="e">
        <f t="shared" si="7"/>
        <v>#VALUE!</v>
      </c>
      <c r="F210" s="1065"/>
      <c r="G210" s="1061" t="e">
        <f t="shared" si="6"/>
        <v>#VALUE!</v>
      </c>
      <c r="H210" s="1062"/>
    </row>
    <row r="211" spans="1:8" ht="12.75" hidden="1">
      <c r="A211" s="1075"/>
      <c r="B211" s="1075" t="s">
        <v>1043</v>
      </c>
      <c r="C211" s="1060">
        <f>_xlfn.IFERROR(VLOOKUP(B211,'[1]ПО КОРИСНИЦИМА'!$C$3:$J$11609,5,FALSE),"")</f>
      </c>
      <c r="D211" s="1064" t="e">
        <f>SUMIF('[1]ПО КОРИСНИЦИМА'!$G$3:$G$11609,"Свега за пројекат 0701-П15:",'[1]ПО КОРИСНИЦИМА'!$H$3:$H$11609)</f>
        <v>#VALUE!</v>
      </c>
      <c r="E211" s="1058" t="e">
        <f t="shared" si="7"/>
        <v>#VALUE!</v>
      </c>
      <c r="F211" s="1065"/>
      <c r="G211" s="1061" t="e">
        <f t="shared" si="6"/>
        <v>#VALUE!</v>
      </c>
      <c r="H211" s="1062"/>
    </row>
    <row r="212" spans="1:8" ht="12.75" hidden="1">
      <c r="A212" s="1075"/>
      <c r="B212" s="1075" t="s">
        <v>1044</v>
      </c>
      <c r="C212" s="1060">
        <f>_xlfn.IFERROR(VLOOKUP(B212,'[1]ПО КОРИСНИЦИМА'!$C$3:$J$11609,5,FALSE),"")</f>
      </c>
      <c r="D212" s="1064" t="e">
        <f>SUMIF('[1]ПО КОРИСНИЦИМА'!$G$3:$G$11609,"Свега за пројекат 0701-П16:",'[1]ПО КОРИСНИЦИМА'!$H$3:$H$11609)</f>
        <v>#VALUE!</v>
      </c>
      <c r="E212" s="1058" t="e">
        <f t="shared" si="7"/>
        <v>#VALUE!</v>
      </c>
      <c r="F212" s="1065"/>
      <c r="G212" s="1061" t="e">
        <f t="shared" si="6"/>
        <v>#VALUE!</v>
      </c>
      <c r="H212" s="1062"/>
    </row>
    <row r="213" spans="1:8" ht="12.75" hidden="1">
      <c r="A213" s="1075"/>
      <c r="B213" s="1075" t="s">
        <v>1045</v>
      </c>
      <c r="C213" s="1060">
        <f>_xlfn.IFERROR(VLOOKUP(B213,'[1]ПО КОРИСНИЦИМА'!$C$3:$J$11609,5,FALSE),"")</f>
      </c>
      <c r="D213" s="1064" t="e">
        <f>SUMIF('[1]ПО КОРИСНИЦИМА'!$G$3:$G$11609,"Свега за пројекат 0701-П17:",'[1]ПО КОРИСНИЦИМА'!$H$3:$H$11609)</f>
        <v>#VALUE!</v>
      </c>
      <c r="E213" s="1058" t="e">
        <f t="shared" si="7"/>
        <v>#VALUE!</v>
      </c>
      <c r="F213" s="1065"/>
      <c r="G213" s="1061" t="e">
        <f t="shared" si="6"/>
        <v>#VALUE!</v>
      </c>
      <c r="H213" s="1062"/>
    </row>
    <row r="214" spans="1:8" ht="12.75" hidden="1">
      <c r="A214" s="1075"/>
      <c r="B214" s="1075" t="s">
        <v>1046</v>
      </c>
      <c r="C214" s="1060">
        <f>_xlfn.IFERROR(VLOOKUP(B214,'[1]ПО КОРИСНИЦИМА'!$C$3:$J$11609,5,FALSE),"")</f>
      </c>
      <c r="D214" s="1064" t="e">
        <f>SUMIF('[1]ПО КОРИСНИЦИМА'!$G$3:$G$11609,"Свега за пројекат 0701-П18:",'[1]ПО КОРИСНИЦИМА'!$H$3:$H$11609)</f>
        <v>#VALUE!</v>
      </c>
      <c r="E214" s="1058" t="e">
        <f t="shared" si="7"/>
        <v>#VALUE!</v>
      </c>
      <c r="F214" s="1065"/>
      <c r="G214" s="1061" t="e">
        <f t="shared" si="6"/>
        <v>#VALUE!</v>
      </c>
      <c r="H214" s="1062"/>
    </row>
    <row r="215" spans="1:8" ht="12.75" hidden="1">
      <c r="A215" s="1075"/>
      <c r="B215" s="1075" t="s">
        <v>1047</v>
      </c>
      <c r="C215" s="1060">
        <f>_xlfn.IFERROR(VLOOKUP(B215,'[1]ПО КОРИСНИЦИМА'!$C$3:$J$11609,5,FALSE),"")</f>
      </c>
      <c r="D215" s="1064" t="e">
        <f>SUMIF('[1]ПО КОРИСНИЦИМА'!$G$3:$G$11609,"Свега за пројекат 0701-П19:",'[1]ПО КОРИСНИЦИМА'!$H$3:$H$11609)</f>
        <v>#VALUE!</v>
      </c>
      <c r="E215" s="1058" t="e">
        <f t="shared" si="7"/>
        <v>#VALUE!</v>
      </c>
      <c r="F215" s="1065"/>
      <c r="G215" s="1061" t="e">
        <f t="shared" si="6"/>
        <v>#VALUE!</v>
      </c>
      <c r="H215" s="1062"/>
    </row>
    <row r="216" spans="1:8" ht="12.75" hidden="1">
      <c r="A216" s="1075"/>
      <c r="B216" s="1075" t="s">
        <v>1048</v>
      </c>
      <c r="C216" s="1060">
        <f>_xlfn.IFERROR(VLOOKUP(B216,'[1]ПО КОРИСНИЦИМА'!$C$3:$J$11609,5,FALSE),"")</f>
      </c>
      <c r="D216" s="1064" t="e">
        <f>SUMIF('[1]ПО КОРИСНИЦИМА'!$G$3:$G$11609,"Свега за пројекат 0701-П20:",'[1]ПО КОРИСНИЦИМА'!$H$3:$H$11609)</f>
        <v>#VALUE!</v>
      </c>
      <c r="E216" s="1058" t="e">
        <f t="shared" si="7"/>
        <v>#VALUE!</v>
      </c>
      <c r="F216" s="1065"/>
      <c r="G216" s="1061" t="e">
        <f t="shared" si="6"/>
        <v>#VALUE!</v>
      </c>
      <c r="H216" s="1062"/>
    </row>
    <row r="217" spans="1:8" ht="12.75" hidden="1">
      <c r="A217" s="1075"/>
      <c r="B217" s="1075" t="s">
        <v>1049</v>
      </c>
      <c r="C217" s="1060">
        <f>_xlfn.IFERROR(VLOOKUP(B217,'[1]ПО КОРИСНИЦИМА'!$C$3:$J$11609,5,FALSE),"")</f>
      </c>
      <c r="D217" s="1064" t="e">
        <f>SUMIF('[1]ПО КОРИСНИЦИМА'!$G$3:$G$11609,"Свега за пројекат 0701-П21:",'[1]ПО КОРИСНИЦИМА'!$H$3:$H$11609)</f>
        <v>#VALUE!</v>
      </c>
      <c r="E217" s="1058" t="e">
        <f t="shared" si="7"/>
        <v>#VALUE!</v>
      </c>
      <c r="F217" s="1065"/>
      <c r="G217" s="1061" t="e">
        <f t="shared" si="6"/>
        <v>#VALUE!</v>
      </c>
      <c r="H217" s="1062"/>
    </row>
    <row r="218" spans="1:8" ht="12.75" hidden="1">
      <c r="A218" s="1075"/>
      <c r="B218" s="1075" t="s">
        <v>1050</v>
      </c>
      <c r="C218" s="1060">
        <f>_xlfn.IFERROR(VLOOKUP(B218,'[1]ПО КОРИСНИЦИМА'!$C$3:$J$11609,5,FALSE),"")</f>
      </c>
      <c r="D218" s="1064" t="e">
        <f>SUMIF('[1]ПО КОРИСНИЦИМА'!$G$3:$G$11609,"Свега за пројекат 0701-П22:",'[1]ПО КОРИСНИЦИМА'!$H$3:$H$11609)</f>
        <v>#VALUE!</v>
      </c>
      <c r="E218" s="1058" t="e">
        <f t="shared" si="7"/>
        <v>#VALUE!</v>
      </c>
      <c r="F218" s="1065"/>
      <c r="G218" s="1061" t="e">
        <f t="shared" si="6"/>
        <v>#VALUE!</v>
      </c>
      <c r="H218" s="1062"/>
    </row>
    <row r="219" spans="1:8" ht="12.75" hidden="1">
      <c r="A219" s="1075"/>
      <c r="B219" s="1075" t="s">
        <v>1051</v>
      </c>
      <c r="C219" s="1060">
        <f>_xlfn.IFERROR(VLOOKUP(B219,'[1]ПО КОРИСНИЦИМА'!$C$3:$J$11609,5,FALSE),"")</f>
      </c>
      <c r="D219" s="1064" t="e">
        <f>SUMIF('[1]ПО КОРИСНИЦИМА'!$G$3:$G$11609,"Свега за пројекат 0701-П23:",'[1]ПО КОРИСНИЦИМА'!$H$3:$H$11609)</f>
        <v>#VALUE!</v>
      </c>
      <c r="E219" s="1058" t="e">
        <f t="shared" si="7"/>
        <v>#VALUE!</v>
      </c>
      <c r="F219" s="1065"/>
      <c r="G219" s="1061" t="e">
        <f t="shared" si="6"/>
        <v>#VALUE!</v>
      </c>
      <c r="H219" s="1062"/>
    </row>
    <row r="220" spans="1:8" ht="12.75" hidden="1">
      <c r="A220" s="1075"/>
      <c r="B220" s="1075" t="s">
        <v>1052</v>
      </c>
      <c r="C220" s="1060">
        <f>_xlfn.IFERROR(VLOOKUP(B220,'[1]ПО КОРИСНИЦИМА'!$C$3:$J$11609,5,FALSE),"")</f>
      </c>
      <c r="D220" s="1064" t="e">
        <f>SUMIF('[1]ПО КОРИСНИЦИМА'!$G$3:$G$11609,"Свега за пројекат 0701-П24:",'[1]ПО КОРИСНИЦИМА'!$H$3:$H$11609)</f>
        <v>#VALUE!</v>
      </c>
      <c r="E220" s="1058" t="e">
        <f t="shared" si="7"/>
        <v>#VALUE!</v>
      </c>
      <c r="F220" s="1065"/>
      <c r="G220" s="1061" t="e">
        <f t="shared" si="6"/>
        <v>#VALUE!</v>
      </c>
      <c r="H220" s="1062"/>
    </row>
    <row r="221" spans="1:8" ht="12.75" hidden="1">
      <c r="A221" s="1075"/>
      <c r="B221" s="1075" t="s">
        <v>1053</v>
      </c>
      <c r="C221" s="1060">
        <f>_xlfn.IFERROR(VLOOKUP(B221,'[1]ПО КОРИСНИЦИМА'!$C$3:$J$11609,5,FALSE),"")</f>
      </c>
      <c r="D221" s="1064" t="e">
        <f>SUMIF('[1]ПО КОРИСНИЦИМА'!$G$3:$G$11609,"Свега за пројекат 0701-П25:",'[1]ПО КОРИСНИЦИМА'!$H$3:$H$11609)</f>
        <v>#VALUE!</v>
      </c>
      <c r="E221" s="1058" t="e">
        <f t="shared" si="7"/>
        <v>#VALUE!</v>
      </c>
      <c r="F221" s="1065"/>
      <c r="G221" s="1061" t="e">
        <f t="shared" si="6"/>
        <v>#VALUE!</v>
      </c>
      <c r="H221" s="1062"/>
    </row>
    <row r="222" spans="1:8" ht="12.75" hidden="1">
      <c r="A222" s="1075"/>
      <c r="B222" s="1075" t="s">
        <v>1054</v>
      </c>
      <c r="C222" s="1060">
        <f>_xlfn.IFERROR(VLOOKUP(B222,'[1]ПО КОРИСНИЦИМА'!$C$3:$J$11609,5,FALSE),"")</f>
      </c>
      <c r="D222" s="1064" t="e">
        <f>SUMIF('[1]ПО КОРИСНИЦИМА'!$G$3:$G$11609,"Свега за пројекат 0701-П26:",'[1]ПО КОРИСНИЦИМА'!$H$3:$H$11609)</f>
        <v>#VALUE!</v>
      </c>
      <c r="E222" s="1058" t="e">
        <f t="shared" si="7"/>
        <v>#VALUE!</v>
      </c>
      <c r="F222" s="1065"/>
      <c r="G222" s="1061" t="e">
        <f t="shared" si="6"/>
        <v>#VALUE!</v>
      </c>
      <c r="H222" s="1062"/>
    </row>
    <row r="223" spans="1:8" ht="12.75" hidden="1">
      <c r="A223" s="1075"/>
      <c r="B223" s="1075" t="s">
        <v>1055</v>
      </c>
      <c r="C223" s="1060">
        <f>_xlfn.IFERROR(VLOOKUP(B223,'[1]ПО КОРИСНИЦИМА'!$C$3:$J$11609,5,FALSE),"")</f>
      </c>
      <c r="D223" s="1064" t="e">
        <f>SUMIF('[1]ПО КОРИСНИЦИМА'!$G$3:$G$11609,"Свега за пројекат 0701-П27:",'[1]ПО КОРИСНИЦИМА'!$H$3:$H$11609)</f>
        <v>#VALUE!</v>
      </c>
      <c r="E223" s="1058" t="e">
        <f t="shared" si="7"/>
        <v>#VALUE!</v>
      </c>
      <c r="F223" s="1065"/>
      <c r="G223" s="1061" t="e">
        <f t="shared" si="6"/>
        <v>#VALUE!</v>
      </c>
      <c r="H223" s="1062"/>
    </row>
    <row r="224" spans="1:8" ht="12.75" hidden="1">
      <c r="A224" s="1075"/>
      <c r="B224" s="1075" t="s">
        <v>1056</v>
      </c>
      <c r="C224" s="1060">
        <f>_xlfn.IFERROR(VLOOKUP(B224,'[1]ПО КОРИСНИЦИМА'!$C$3:$J$11609,5,FALSE),"")</f>
      </c>
      <c r="D224" s="1064" t="e">
        <f>SUMIF('[1]ПО КОРИСНИЦИМА'!$G$3:$G$11609,"Свега за пројекат 0701-П28:",'[1]ПО КОРИСНИЦИМА'!$H$3:$H$11609)</f>
        <v>#VALUE!</v>
      </c>
      <c r="E224" s="1058" t="e">
        <f t="shared" si="7"/>
        <v>#VALUE!</v>
      </c>
      <c r="F224" s="1065"/>
      <c r="G224" s="1061" t="e">
        <f t="shared" si="6"/>
        <v>#VALUE!</v>
      </c>
      <c r="H224" s="1062"/>
    </row>
    <row r="225" spans="1:8" ht="12.75" hidden="1">
      <c r="A225" s="1075"/>
      <c r="B225" s="1075" t="s">
        <v>1057</v>
      </c>
      <c r="C225" s="1060">
        <f>_xlfn.IFERROR(VLOOKUP(B225,'[1]ПО КОРИСНИЦИМА'!$C$3:$J$11609,5,FALSE),"")</f>
      </c>
      <c r="D225" s="1064" t="e">
        <f>SUMIF('[1]ПО КОРИСНИЦИМА'!$G$3:$G$11609,"Свега за пројекат 0701-П29:",'[1]ПО КОРИСНИЦИМА'!$H$3:$H$11609)</f>
        <v>#VALUE!</v>
      </c>
      <c r="E225" s="1058" t="e">
        <f t="shared" si="7"/>
        <v>#VALUE!</v>
      </c>
      <c r="F225" s="1065"/>
      <c r="G225" s="1061" t="e">
        <f t="shared" si="6"/>
        <v>#VALUE!</v>
      </c>
      <c r="H225" s="1062"/>
    </row>
    <row r="226" spans="1:8" ht="12.75" hidden="1">
      <c r="A226" s="1075"/>
      <c r="B226" s="1075" t="s">
        <v>1058</v>
      </c>
      <c r="C226" s="1060">
        <f>_xlfn.IFERROR(VLOOKUP(B226,'[1]ПО КОРИСНИЦИМА'!$C$3:$J$11609,5,FALSE),"")</f>
      </c>
      <c r="D226" s="1064" t="e">
        <f>SUMIF('[1]ПО КОРИСНИЦИМА'!$G$3:$G$11609,"Свега за пројекат 0701-П30:",'[1]ПО КОРИСНИЦИМА'!$H$3:$H$11609)</f>
        <v>#VALUE!</v>
      </c>
      <c r="E226" s="1058" t="e">
        <f t="shared" si="7"/>
        <v>#VALUE!</v>
      </c>
      <c r="F226" s="1065"/>
      <c r="G226" s="1061" t="e">
        <f t="shared" si="6"/>
        <v>#VALUE!</v>
      </c>
      <c r="H226" s="1062"/>
    </row>
    <row r="227" spans="1:8" ht="12.75" hidden="1">
      <c r="A227" s="1075"/>
      <c r="B227" s="1075" t="s">
        <v>1059</v>
      </c>
      <c r="C227" s="1060">
        <f>_xlfn.IFERROR(VLOOKUP(B227,'[1]ПО КОРИСНИЦИМА'!$C$3:$J$11609,5,FALSE),"")</f>
      </c>
      <c r="D227" s="1064" t="e">
        <f>SUMIF('[1]ПО КОРИСНИЦИМА'!$G$3:$G$11609,"Свега за пројекат 0701-П31:",'[1]ПО КОРИСНИЦИМА'!$H$3:$H$11609)</f>
        <v>#VALUE!</v>
      </c>
      <c r="E227" s="1058" t="e">
        <f t="shared" si="7"/>
        <v>#VALUE!</v>
      </c>
      <c r="F227" s="1065"/>
      <c r="G227" s="1061" t="e">
        <f t="shared" si="6"/>
        <v>#VALUE!</v>
      </c>
      <c r="H227" s="1062"/>
    </row>
    <row r="228" spans="1:8" ht="12.75" hidden="1">
      <c r="A228" s="1075"/>
      <c r="B228" s="1075" t="s">
        <v>1060</v>
      </c>
      <c r="C228" s="1060">
        <f>_xlfn.IFERROR(VLOOKUP(B228,'[1]ПО КОРИСНИЦИМА'!$C$3:$J$11609,5,FALSE),"")</f>
      </c>
      <c r="D228" s="1064" t="e">
        <f>SUMIF('[1]ПО КОРИСНИЦИМА'!$G$3:$G$11609,"Свега за пројекат 0701-П32:",'[1]ПО КОРИСНИЦИМА'!$H$3:$H$11609)</f>
        <v>#VALUE!</v>
      </c>
      <c r="E228" s="1058" t="e">
        <f t="shared" si="7"/>
        <v>#VALUE!</v>
      </c>
      <c r="F228" s="1065"/>
      <c r="G228" s="1061" t="e">
        <f t="shared" si="6"/>
        <v>#VALUE!</v>
      </c>
      <c r="H228" s="1062"/>
    </row>
    <row r="229" spans="1:8" ht="12.75" hidden="1">
      <c r="A229" s="1075"/>
      <c r="B229" s="1075" t="s">
        <v>1061</v>
      </c>
      <c r="C229" s="1060">
        <f>_xlfn.IFERROR(VLOOKUP(B229,'[1]ПО КОРИСНИЦИМА'!$C$3:$J$11609,5,FALSE),"")</f>
      </c>
      <c r="D229" s="1064" t="e">
        <f>SUMIF('[1]ПО КОРИСНИЦИМА'!$G$3:$G$11609,"Свега за пројекат 0701-П33:",'[1]ПО КОРИСНИЦИМА'!$H$3:$H$11609)</f>
        <v>#VALUE!</v>
      </c>
      <c r="E229" s="1058" t="e">
        <f t="shared" si="7"/>
        <v>#VALUE!</v>
      </c>
      <c r="F229" s="1065"/>
      <c r="G229" s="1061" t="e">
        <f t="shared" si="6"/>
        <v>#VALUE!</v>
      </c>
      <c r="H229" s="1062"/>
    </row>
    <row r="230" spans="1:8" ht="12.75" hidden="1">
      <c r="A230" s="1075"/>
      <c r="B230" s="1075" t="s">
        <v>1062</v>
      </c>
      <c r="C230" s="1060">
        <f>_xlfn.IFERROR(VLOOKUP(B230,'[1]ПО КОРИСНИЦИМА'!$C$3:$J$11609,5,FALSE),"")</f>
      </c>
      <c r="D230" s="1064" t="e">
        <f>SUMIF('[1]ПО КОРИСНИЦИМА'!$G$3:$G$11609,"Свега за пројекат 0701-П34:",'[1]ПО КОРИСНИЦИМА'!$H$3:$H$11609)</f>
        <v>#VALUE!</v>
      </c>
      <c r="E230" s="1058" t="e">
        <f t="shared" si="7"/>
        <v>#VALUE!</v>
      </c>
      <c r="F230" s="1065"/>
      <c r="G230" s="1061" t="e">
        <f t="shared" si="6"/>
        <v>#VALUE!</v>
      </c>
      <c r="H230" s="1062"/>
    </row>
    <row r="231" spans="1:8" ht="12.75" hidden="1">
      <c r="A231" s="1075"/>
      <c r="B231" s="1075" t="s">
        <v>1063</v>
      </c>
      <c r="C231" s="1060">
        <f>_xlfn.IFERROR(VLOOKUP(B231,'[1]ПО КОРИСНИЦИМА'!$C$3:$J$11609,5,FALSE),"")</f>
      </c>
      <c r="D231" s="1064" t="e">
        <f>SUMIF('[1]ПО КОРИСНИЦИМА'!$G$3:$G$11609,"Свега за пројекат 0701-П35:",'[1]ПО КОРИСНИЦИМА'!$H$3:$H$11609)</f>
        <v>#VALUE!</v>
      </c>
      <c r="E231" s="1058" t="e">
        <f t="shared" si="7"/>
        <v>#VALUE!</v>
      </c>
      <c r="F231" s="1065"/>
      <c r="G231" s="1061" t="e">
        <f t="shared" si="6"/>
        <v>#VALUE!</v>
      </c>
      <c r="H231" s="1062"/>
    </row>
    <row r="232" spans="1:8" ht="12.75" hidden="1">
      <c r="A232" s="1075"/>
      <c r="B232" s="1075" t="s">
        <v>1064</v>
      </c>
      <c r="C232" s="1060">
        <f>_xlfn.IFERROR(VLOOKUP(B232,'[1]ПО КОРИСНИЦИМА'!$C$3:$J$11609,5,FALSE),"")</f>
      </c>
      <c r="D232" s="1064" t="e">
        <f>SUMIF('[1]ПО КОРИСНИЦИМА'!$G$3:$G$11609,"Свега за пројекат 0701-П36:",'[1]ПО КОРИСНИЦИМА'!$H$3:$H$11609)</f>
        <v>#VALUE!</v>
      </c>
      <c r="E232" s="1058" t="e">
        <f t="shared" si="7"/>
        <v>#VALUE!</v>
      </c>
      <c r="F232" s="1065"/>
      <c r="G232" s="1061" t="e">
        <f t="shared" si="6"/>
        <v>#VALUE!</v>
      </c>
      <c r="H232" s="1062"/>
    </row>
    <row r="233" spans="1:8" ht="12.75" hidden="1">
      <c r="A233" s="1075"/>
      <c r="B233" s="1075" t="s">
        <v>1065</v>
      </c>
      <c r="C233" s="1060">
        <f>_xlfn.IFERROR(VLOOKUP(B233,'[1]ПО КОРИСНИЦИМА'!$C$3:$J$11609,5,FALSE),"")</f>
      </c>
      <c r="D233" s="1064" t="e">
        <f>SUMIF('[1]ПО КОРИСНИЦИМА'!$G$3:$G$11609,"Свега за пројекат 0701-П37:",'[1]ПО КОРИСНИЦИМА'!$H$3:$H$11609)</f>
        <v>#VALUE!</v>
      </c>
      <c r="E233" s="1058" t="e">
        <f t="shared" si="7"/>
        <v>#VALUE!</v>
      </c>
      <c r="F233" s="1065"/>
      <c r="G233" s="1061" t="e">
        <f t="shared" si="6"/>
        <v>#VALUE!</v>
      </c>
      <c r="H233" s="1062"/>
    </row>
    <row r="234" spans="1:8" ht="12.75" hidden="1">
      <c r="A234" s="1075"/>
      <c r="B234" s="1075" t="s">
        <v>1066</v>
      </c>
      <c r="C234" s="1060">
        <f>_xlfn.IFERROR(VLOOKUP(B234,'[1]ПО КОРИСНИЦИМА'!$C$3:$J$11609,5,FALSE),"")</f>
      </c>
      <c r="D234" s="1064" t="e">
        <f>SUMIF('[1]ПО КОРИСНИЦИМА'!$G$3:$G$11609,"Свега за пројекат 0701-П38:",'[1]ПО КОРИСНИЦИМА'!$H$3:$H$11609)</f>
        <v>#VALUE!</v>
      </c>
      <c r="E234" s="1058" t="e">
        <f t="shared" si="7"/>
        <v>#VALUE!</v>
      </c>
      <c r="F234" s="1065"/>
      <c r="G234" s="1061" t="e">
        <f t="shared" si="6"/>
        <v>#VALUE!</v>
      </c>
      <c r="H234" s="1062"/>
    </row>
    <row r="235" spans="1:8" ht="12.75" hidden="1">
      <c r="A235" s="1075"/>
      <c r="B235" s="1075" t="s">
        <v>1067</v>
      </c>
      <c r="C235" s="1060">
        <f>_xlfn.IFERROR(VLOOKUP(B235,'[1]ПО КОРИСНИЦИМА'!$C$3:$J$11609,5,FALSE),"")</f>
      </c>
      <c r="D235" s="1064" t="e">
        <f>SUMIF('[1]ПО КОРИСНИЦИМА'!$G$3:$G$11609,"Свега за пројекат 0701-П39:",'[1]ПО КОРИСНИЦИМА'!$H$3:$H$11609)</f>
        <v>#VALUE!</v>
      </c>
      <c r="E235" s="1058" t="e">
        <f t="shared" si="7"/>
        <v>#VALUE!</v>
      </c>
      <c r="F235" s="1065"/>
      <c r="G235" s="1061" t="e">
        <f t="shared" si="6"/>
        <v>#VALUE!</v>
      </c>
      <c r="H235" s="1062"/>
    </row>
    <row r="236" spans="1:8" ht="12.75" hidden="1">
      <c r="A236" s="1075"/>
      <c r="B236" s="1075" t="s">
        <v>1068</v>
      </c>
      <c r="C236" s="1060">
        <f>_xlfn.IFERROR(VLOOKUP(B236,'[1]ПО КОРИСНИЦИМА'!$C$3:$J$11609,5,FALSE),"")</f>
      </c>
      <c r="D236" s="1064" t="e">
        <f>SUMIF('[1]ПО КОРИСНИЦИМА'!$G$3:$G$11609,"Свега за пројекат 0701-П40:",'[1]ПО КОРИСНИЦИМА'!$H$3:$H$11609)</f>
        <v>#VALUE!</v>
      </c>
      <c r="E236" s="1058" t="e">
        <f t="shared" si="7"/>
        <v>#VALUE!</v>
      </c>
      <c r="F236" s="1065"/>
      <c r="G236" s="1061" t="e">
        <f t="shared" si="6"/>
        <v>#VALUE!</v>
      </c>
      <c r="H236" s="1062"/>
    </row>
    <row r="237" spans="1:8" ht="12.75" hidden="1">
      <c r="A237" s="1075"/>
      <c r="B237" s="1075" t="s">
        <v>1069</v>
      </c>
      <c r="C237" s="1060">
        <f>_xlfn.IFERROR(VLOOKUP(B237,'[1]ПО КОРИСНИЦИМА'!$C$3:$J$11609,5,FALSE),"")</f>
      </c>
      <c r="D237" s="1064" t="e">
        <f>SUMIF('[1]ПО КОРИСНИЦИМА'!$G$3:$G$11609,"Свега за пројекат 0701-П41:",'[1]ПО КОРИСНИЦИМА'!$H$3:$H$11609)</f>
        <v>#VALUE!</v>
      </c>
      <c r="E237" s="1058" t="e">
        <f t="shared" si="7"/>
        <v>#VALUE!</v>
      </c>
      <c r="F237" s="1065"/>
      <c r="G237" s="1061" t="e">
        <f t="shared" si="6"/>
        <v>#VALUE!</v>
      </c>
      <c r="H237" s="1062"/>
    </row>
    <row r="238" spans="1:8" ht="12.75" hidden="1">
      <c r="A238" s="1075"/>
      <c r="B238" s="1075" t="s">
        <v>1070</v>
      </c>
      <c r="C238" s="1060">
        <f>_xlfn.IFERROR(VLOOKUP(B238,'[1]ПО КОРИСНИЦИМА'!$C$3:$J$11609,5,FALSE),"")</f>
      </c>
      <c r="D238" s="1064" t="e">
        <f>SUMIF('[1]ПО КОРИСНИЦИМА'!$G$3:$G$11609,"Свега за пројекат 0701-П42:",'[1]ПО КОРИСНИЦИМА'!$H$3:$H$11609)</f>
        <v>#VALUE!</v>
      </c>
      <c r="E238" s="1058" t="e">
        <f t="shared" si="7"/>
        <v>#VALUE!</v>
      </c>
      <c r="F238" s="1065"/>
      <c r="G238" s="1061" t="e">
        <f t="shared" si="6"/>
        <v>#VALUE!</v>
      </c>
      <c r="H238" s="1062"/>
    </row>
    <row r="239" spans="1:8" ht="12.75" hidden="1">
      <c r="A239" s="1075"/>
      <c r="B239" s="1075" t="s">
        <v>1071</v>
      </c>
      <c r="C239" s="1060">
        <f>_xlfn.IFERROR(VLOOKUP(B239,'[1]ПО КОРИСНИЦИМА'!$C$3:$J$11609,5,FALSE),"")</f>
      </c>
      <c r="D239" s="1064" t="e">
        <f>SUMIF('[1]ПО КОРИСНИЦИМА'!$G$3:$G$11609,"Свега за пројекат 0701-П43:",'[1]ПО КОРИСНИЦИМА'!$H$3:$H$11609)</f>
        <v>#VALUE!</v>
      </c>
      <c r="E239" s="1058" t="e">
        <f t="shared" si="7"/>
        <v>#VALUE!</v>
      </c>
      <c r="F239" s="1065"/>
      <c r="G239" s="1061" t="e">
        <f t="shared" si="6"/>
        <v>#VALUE!</v>
      </c>
      <c r="H239" s="1062"/>
    </row>
    <row r="240" spans="1:8" ht="12.75" hidden="1">
      <c r="A240" s="1075"/>
      <c r="B240" s="1075" t="s">
        <v>1072</v>
      </c>
      <c r="C240" s="1060">
        <f>_xlfn.IFERROR(VLOOKUP(B240,'[1]ПО КОРИСНИЦИМА'!$C$3:$J$11609,5,FALSE),"")</f>
      </c>
      <c r="D240" s="1064" t="e">
        <f>SUMIF('[1]ПО КОРИСНИЦИМА'!$G$3:$G$11609,"Свега за пројекат 0701-П44:",'[1]ПО КОРИСНИЦИМА'!$H$3:$H$11609)</f>
        <v>#VALUE!</v>
      </c>
      <c r="E240" s="1058" t="e">
        <f t="shared" si="7"/>
        <v>#VALUE!</v>
      </c>
      <c r="F240" s="1065"/>
      <c r="G240" s="1061" t="e">
        <f t="shared" si="6"/>
        <v>#VALUE!</v>
      </c>
      <c r="H240" s="1062"/>
    </row>
    <row r="241" spans="1:8" ht="12.75" hidden="1">
      <c r="A241" s="1075"/>
      <c r="B241" s="1075" t="s">
        <v>1073</v>
      </c>
      <c r="C241" s="1060">
        <f>_xlfn.IFERROR(VLOOKUP(B241,'[1]ПО КОРИСНИЦИМА'!$C$3:$J$11609,5,FALSE),"")</f>
      </c>
      <c r="D241" s="1064" t="e">
        <f>SUMIF('[1]ПО КОРИСНИЦИМА'!$G$3:$G$11609,"Свега за пројекат 0701-П45:",'[1]ПО КОРИСНИЦИМА'!$H$3:$H$11609)</f>
        <v>#VALUE!</v>
      </c>
      <c r="E241" s="1058" t="e">
        <f t="shared" si="7"/>
        <v>#VALUE!</v>
      </c>
      <c r="F241" s="1065"/>
      <c r="G241" s="1061" t="e">
        <f t="shared" si="6"/>
        <v>#VALUE!</v>
      </c>
      <c r="H241" s="1062"/>
    </row>
    <row r="242" spans="1:8" ht="12.75" hidden="1">
      <c r="A242" s="1075"/>
      <c r="B242" s="1075" t="s">
        <v>1074</v>
      </c>
      <c r="C242" s="1060">
        <f>_xlfn.IFERROR(VLOOKUP(B242,'[1]ПО КОРИСНИЦИМА'!$C$3:$J$11609,5,FALSE),"")</f>
      </c>
      <c r="D242" s="1064" t="e">
        <f>SUMIF('[1]ПО КОРИСНИЦИМА'!$G$3:$G$11609,"Свега за пројекат 0701-П46:",'[1]ПО КОРИСНИЦИМА'!$H$3:$H$11609)</f>
        <v>#VALUE!</v>
      </c>
      <c r="E242" s="1058" t="e">
        <f t="shared" si="7"/>
        <v>#VALUE!</v>
      </c>
      <c r="F242" s="1065"/>
      <c r="G242" s="1061" t="e">
        <f t="shared" si="6"/>
        <v>#VALUE!</v>
      </c>
      <c r="H242" s="1062"/>
    </row>
    <row r="243" spans="1:8" ht="12.75" hidden="1">
      <c r="A243" s="1075"/>
      <c r="B243" s="1075" t="s">
        <v>1075</v>
      </c>
      <c r="C243" s="1060">
        <f>_xlfn.IFERROR(VLOOKUP(B243,'[1]ПО КОРИСНИЦИМА'!$C$3:$J$11609,5,FALSE),"")</f>
      </c>
      <c r="D243" s="1064" t="e">
        <f>SUMIF('[1]ПО КОРИСНИЦИМА'!$G$3:$G$11609,"Свега за пројекат 0701-П47:",'[1]ПО КОРИСНИЦИМА'!$H$3:$H$11609)</f>
        <v>#VALUE!</v>
      </c>
      <c r="E243" s="1058" t="e">
        <f t="shared" si="7"/>
        <v>#VALUE!</v>
      </c>
      <c r="F243" s="1065"/>
      <c r="G243" s="1061" t="e">
        <f t="shared" si="6"/>
        <v>#VALUE!</v>
      </c>
      <c r="H243" s="1062"/>
    </row>
    <row r="244" spans="1:8" ht="12.75" hidden="1">
      <c r="A244" s="1075"/>
      <c r="B244" s="1075" t="s">
        <v>1076</v>
      </c>
      <c r="C244" s="1060">
        <f>_xlfn.IFERROR(VLOOKUP(B244,'[1]ПО КОРИСНИЦИМА'!$C$3:$J$11609,5,FALSE),"")</f>
      </c>
      <c r="D244" s="1064" t="e">
        <f>SUMIF('[1]ПО КОРИСНИЦИМА'!$G$3:$G$11609,"Свега за пројекат 0701-П48:",'[1]ПО КОРИСНИЦИМА'!$H$3:$H$11609)</f>
        <v>#VALUE!</v>
      </c>
      <c r="E244" s="1058" t="e">
        <f t="shared" si="7"/>
        <v>#VALUE!</v>
      </c>
      <c r="F244" s="1065"/>
      <c r="G244" s="1061" t="e">
        <f t="shared" si="6"/>
        <v>#VALUE!</v>
      </c>
      <c r="H244" s="1062"/>
    </row>
    <row r="245" spans="1:8" ht="12.75" hidden="1">
      <c r="A245" s="1075"/>
      <c r="B245" s="1075" t="s">
        <v>1077</v>
      </c>
      <c r="C245" s="1060">
        <f>_xlfn.IFERROR(VLOOKUP(B245,'[1]ПО КОРИСНИЦИМА'!$C$3:$J$11609,5,FALSE),"")</f>
      </c>
      <c r="D245" s="1064" t="e">
        <f>SUMIF('[1]ПО КОРИСНИЦИМА'!$G$3:$G$11609,"Свега за пројекат 0701-П49:",'[1]ПО КОРИСНИЦИМА'!$H$3:$H$11609)</f>
        <v>#VALUE!</v>
      </c>
      <c r="E245" s="1058" t="e">
        <f t="shared" si="7"/>
        <v>#VALUE!</v>
      </c>
      <c r="F245" s="1065"/>
      <c r="G245" s="1061" t="e">
        <f t="shared" si="6"/>
        <v>#VALUE!</v>
      </c>
      <c r="H245" s="1078"/>
    </row>
    <row r="246" spans="1:8" ht="12.75" hidden="1">
      <c r="A246" s="1075"/>
      <c r="B246" s="1075" t="s">
        <v>1078</v>
      </c>
      <c r="C246" s="1060">
        <f>_xlfn.IFERROR(VLOOKUP(B246,'[1]ПО КОРИСНИЦИМА'!$C$3:$J$11609,5,FALSE),"")</f>
      </c>
      <c r="D246" s="1064" t="e">
        <f>SUMIF('[1]ПО КОРИСНИЦИМА'!$G$3:$G$11609,"Свега за пројекат 0701-П50:",'[1]ПО КОРИСНИЦИМА'!$H$3:$H$11609)</f>
        <v>#VALUE!</v>
      </c>
      <c r="E246" s="1058" t="e">
        <f t="shared" si="7"/>
        <v>#VALUE!</v>
      </c>
      <c r="F246" s="1065"/>
      <c r="G246" s="1061" t="e">
        <f t="shared" si="6"/>
        <v>#VALUE!</v>
      </c>
      <c r="H246" s="1078"/>
    </row>
    <row r="247" spans="1:8" s="325" customFormat="1" ht="12.75">
      <c r="A247" s="1054" t="s">
        <v>298</v>
      </c>
      <c r="B247" s="1055"/>
      <c r="C247" s="1056" t="s">
        <v>3</v>
      </c>
      <c r="D247" s="1057">
        <f>SUM(D248:D255)</f>
        <v>57491686</v>
      </c>
      <c r="E247" s="1058">
        <f t="shared" si="7"/>
        <v>0.12929452733860702</v>
      </c>
      <c r="F247" s="1057">
        <f>SUM(F248:F255)</f>
        <v>7315130</v>
      </c>
      <c r="G247" s="1057">
        <f t="shared" si="6"/>
        <v>64806816</v>
      </c>
      <c r="H247" s="1072"/>
    </row>
    <row r="248" spans="1:8" ht="12.75">
      <c r="A248" s="1053"/>
      <c r="B248" s="1075" t="s">
        <v>294</v>
      </c>
      <c r="C248" s="1074" t="s">
        <v>1359</v>
      </c>
      <c r="D248" s="1061">
        <f>'Rashodi-2020'!M378</f>
        <v>57491686</v>
      </c>
      <c r="E248" s="1181">
        <f t="shared" si="7"/>
        <v>0.12929452733860702</v>
      </c>
      <c r="F248" s="1061">
        <f>'Rashodi-2020'!T378</f>
        <v>7315130</v>
      </c>
      <c r="G248" s="1061">
        <f t="shared" si="6"/>
        <v>64806816</v>
      </c>
      <c r="H248" s="1079" t="s">
        <v>1228</v>
      </c>
    </row>
    <row r="249" spans="1:8" ht="12.75" hidden="1">
      <c r="A249" s="1075"/>
      <c r="B249" s="1075" t="s">
        <v>1079</v>
      </c>
      <c r="C249" s="1060">
        <f>_xlfn.IFERROR(VLOOKUP(B249,'[1]ПО КОРИСНИЦИМА'!$C$3:$J$11609,5,FALSE),"")</f>
      </c>
      <c r="D249" s="1064"/>
      <c r="E249" s="1058">
        <f t="shared" si="7"/>
        <v>0</v>
      </c>
      <c r="F249" s="1065"/>
      <c r="G249" s="1061">
        <f t="shared" si="6"/>
        <v>0</v>
      </c>
      <c r="H249" s="1079"/>
    </row>
    <row r="250" spans="1:8" ht="12.75" hidden="1">
      <c r="A250" s="1075"/>
      <c r="B250" s="1075" t="s">
        <v>1080</v>
      </c>
      <c r="C250" s="1060">
        <f>_xlfn.IFERROR(VLOOKUP(B250,'[1]ПО КОРИСНИЦИМА'!$C$3:$J$11609,5,FALSE),"")</f>
      </c>
      <c r="D250" s="1064"/>
      <c r="E250" s="1058">
        <f t="shared" si="7"/>
        <v>0</v>
      </c>
      <c r="F250" s="1065"/>
      <c r="G250" s="1061">
        <f t="shared" si="6"/>
        <v>0</v>
      </c>
      <c r="H250" s="1079"/>
    </row>
    <row r="251" spans="1:8" ht="12.75" hidden="1">
      <c r="A251" s="1075"/>
      <c r="B251" s="1075" t="s">
        <v>1081</v>
      </c>
      <c r="C251" s="1060">
        <f>_xlfn.IFERROR(VLOOKUP(B251,'[1]ПО КОРИСНИЦИМА'!$C$3:$J$11609,5,FALSE),"")</f>
      </c>
      <c r="D251" s="1064"/>
      <c r="E251" s="1058">
        <f t="shared" si="7"/>
        <v>0</v>
      </c>
      <c r="F251" s="1065"/>
      <c r="G251" s="1061">
        <f t="shared" si="6"/>
        <v>0</v>
      </c>
      <c r="H251" s="1079"/>
    </row>
    <row r="252" spans="1:8" ht="12.75" hidden="1">
      <c r="A252" s="1075"/>
      <c r="B252" s="1075" t="s">
        <v>1082</v>
      </c>
      <c r="C252" s="1060">
        <f>_xlfn.IFERROR(VLOOKUP(B252,'[1]ПО КОРИСНИЦИМА'!$C$3:$J$11609,5,FALSE),"")</f>
      </c>
      <c r="D252" s="1064"/>
      <c r="E252" s="1058">
        <f t="shared" si="7"/>
        <v>0</v>
      </c>
      <c r="F252" s="1065"/>
      <c r="G252" s="1061">
        <f t="shared" si="6"/>
        <v>0</v>
      </c>
      <c r="H252" s="1079"/>
    </row>
    <row r="253" spans="1:8" ht="12.75" hidden="1">
      <c r="A253" s="1075"/>
      <c r="B253" s="1075" t="s">
        <v>1083</v>
      </c>
      <c r="C253" s="1060">
        <f>_xlfn.IFERROR(VLOOKUP(B253,'[1]ПО КОРИСНИЦИМА'!$C$3:$J$11609,5,FALSE),"")</f>
      </c>
      <c r="D253" s="1064"/>
      <c r="E253" s="1058">
        <f t="shared" si="7"/>
        <v>0</v>
      </c>
      <c r="F253" s="1065"/>
      <c r="G253" s="1061">
        <f t="shared" si="6"/>
        <v>0</v>
      </c>
      <c r="H253" s="1079"/>
    </row>
    <row r="254" spans="1:8" ht="12.75" hidden="1">
      <c r="A254" s="1075"/>
      <c r="B254" s="1075" t="s">
        <v>1084</v>
      </c>
      <c r="C254" s="1060">
        <f>_xlfn.IFERROR(VLOOKUP(B254,'[1]ПО КОРИСНИЦИМА'!$C$3:$J$11609,5,FALSE),"")</f>
      </c>
      <c r="D254" s="1064"/>
      <c r="E254" s="1058">
        <f t="shared" si="7"/>
        <v>0</v>
      </c>
      <c r="F254" s="1065"/>
      <c r="G254" s="1061">
        <f t="shared" si="6"/>
        <v>0</v>
      </c>
      <c r="H254" s="1079"/>
    </row>
    <row r="255" spans="1:8" ht="12.75" hidden="1">
      <c r="A255" s="1075"/>
      <c r="B255" s="1075" t="s">
        <v>1085</v>
      </c>
      <c r="C255" s="1060">
        <f>_xlfn.IFERROR(VLOOKUP(B255,'[1]ПО КОРИСНИЦИМА'!$C$3:$J$11609,5,FALSE),"")</f>
      </c>
      <c r="D255" s="1064"/>
      <c r="E255" s="1058">
        <f t="shared" si="7"/>
        <v>0</v>
      </c>
      <c r="F255" s="1065"/>
      <c r="G255" s="1061">
        <f t="shared" si="6"/>
        <v>0</v>
      </c>
      <c r="H255" s="1079"/>
    </row>
    <row r="256" spans="1:8" ht="12.75" hidden="1">
      <c r="A256" s="1075"/>
      <c r="B256" s="1075" t="s">
        <v>1086</v>
      </c>
      <c r="C256" s="1060">
        <f>_xlfn.IFERROR(VLOOKUP(B256,'[1]ПО КОРИСНИЦИМА'!$C$3:$J$11609,5,FALSE),"")</f>
      </c>
      <c r="D256" s="1064" t="e">
        <f>SUMIF('[1]ПО КОРИСНИЦИМА'!$G$3:$G$11609,"Свега за пројекат 2001-П8:",'[1]ПО КОРИСНИЦИМА'!$H$3:$H$11609)</f>
        <v>#VALUE!</v>
      </c>
      <c r="E256" s="1058" t="e">
        <f t="shared" si="7"/>
        <v>#VALUE!</v>
      </c>
      <c r="F256" s="1065" t="e">
        <f>SUMIF('[1]ПО КОРИСНИЦИМА'!$G$3:$G$11609,"Свега за пројекат 2001-П8:",'[1]ПО КОРИСНИЦИМА'!$I$3:$I$11609)</f>
        <v>#VALUE!</v>
      </c>
      <c r="G256" s="1061" t="e">
        <f t="shared" si="6"/>
        <v>#VALUE!</v>
      </c>
      <c r="H256" s="1079"/>
    </row>
    <row r="257" spans="1:8" ht="12.75" hidden="1">
      <c r="A257" s="1075"/>
      <c r="B257" s="1075" t="s">
        <v>1087</v>
      </c>
      <c r="C257" s="1060">
        <f>_xlfn.IFERROR(VLOOKUP(B257,'[1]ПО КОРИСНИЦИМА'!$C$3:$J$11609,5,FALSE),"")</f>
      </c>
      <c r="D257" s="1064" t="e">
        <f>SUMIF('[1]ПО КОРИСНИЦИМА'!$G$3:$G$11609,"Свега за пројекат 2001-П9:",'[1]ПО КОРИСНИЦИМА'!$H$3:$H$11609)</f>
        <v>#VALUE!</v>
      </c>
      <c r="E257" s="1058" t="e">
        <f t="shared" si="7"/>
        <v>#VALUE!</v>
      </c>
      <c r="F257" s="1065" t="e">
        <f>SUMIF('[1]ПО КОРИСНИЦИМА'!$G$3:$G$11609,"Свега за пројекат 2001-П9:",'[1]ПО КОРИСНИЦИМА'!$I$3:$I$11609)</f>
        <v>#VALUE!</v>
      </c>
      <c r="G257" s="1061" t="e">
        <f t="shared" si="6"/>
        <v>#VALUE!</v>
      </c>
      <c r="H257" s="1079"/>
    </row>
    <row r="258" spans="1:8" ht="12.75" hidden="1">
      <c r="A258" s="1075"/>
      <c r="B258" s="1075" t="s">
        <v>1088</v>
      </c>
      <c r="C258" s="1060">
        <f>_xlfn.IFERROR(VLOOKUP(B258,'[1]ПО КОРИСНИЦИМА'!$C$3:$J$11609,5,FALSE),"")</f>
      </c>
      <c r="D258" s="1064" t="e">
        <f>SUMIF('[1]ПО КОРИСНИЦИМА'!$G$3:$G$11609,"Свега за пројекат 2001-П10:",'[1]ПО КОРИСНИЦИМА'!$H$3:$H$11609)</f>
        <v>#VALUE!</v>
      </c>
      <c r="E258" s="1058" t="e">
        <f t="shared" si="7"/>
        <v>#VALUE!</v>
      </c>
      <c r="F258" s="1065" t="e">
        <f>SUMIF('[1]ПО КОРИСНИЦИМА'!$G$3:$G$11609,"Свега за пројекат 2001-П10:",'[1]ПО КОРИСНИЦИМА'!$I$3:$I$11609)</f>
        <v>#VALUE!</v>
      </c>
      <c r="G258" s="1061" t="e">
        <f t="shared" si="6"/>
        <v>#VALUE!</v>
      </c>
      <c r="H258" s="1079"/>
    </row>
    <row r="259" spans="1:8" ht="12.75" hidden="1">
      <c r="A259" s="1075"/>
      <c r="B259" s="1075" t="s">
        <v>1089</v>
      </c>
      <c r="C259" s="1060">
        <f>_xlfn.IFERROR(VLOOKUP(B259,'[1]ПО КОРИСНИЦИМА'!$C$3:$J$11609,5,FALSE),"")</f>
      </c>
      <c r="D259" s="1064" t="e">
        <f>SUMIF('[1]ПО КОРИСНИЦИМА'!$G$3:$G$11609,"Свега за пројекат 2001-П11:",'[1]ПО КОРИСНИЦИМА'!$H$3:$H$11609)</f>
        <v>#VALUE!</v>
      </c>
      <c r="E259" s="1058" t="e">
        <f t="shared" si="7"/>
        <v>#VALUE!</v>
      </c>
      <c r="F259" s="1065" t="e">
        <f>SUMIF('[1]ПО КОРИСНИЦИМА'!$G$3:$G$11609,"Свега за пројекат 2001-П11:",'[1]ПО КОРИСНИЦИМА'!$I$3:$I$11609)</f>
        <v>#VALUE!</v>
      </c>
      <c r="G259" s="1061" t="e">
        <f t="shared" si="6"/>
        <v>#VALUE!</v>
      </c>
      <c r="H259" s="1079"/>
    </row>
    <row r="260" spans="1:8" ht="12.75" hidden="1">
      <c r="A260" s="1075"/>
      <c r="B260" s="1075" t="s">
        <v>1090</v>
      </c>
      <c r="C260" s="1060">
        <f>_xlfn.IFERROR(VLOOKUP(B260,'[1]ПО КОРИСНИЦИМА'!$C$3:$J$11609,5,FALSE),"")</f>
      </c>
      <c r="D260" s="1064" t="e">
        <f>SUMIF('[1]ПО КОРИСНИЦИМА'!$G$3:$G$11609,"Свега за пројекат 2001-П12:",'[1]ПО КОРИСНИЦИМА'!$H$3:$H$11609)</f>
        <v>#VALUE!</v>
      </c>
      <c r="E260" s="1058" t="e">
        <f t="shared" si="7"/>
        <v>#VALUE!</v>
      </c>
      <c r="F260" s="1065" t="e">
        <f>SUMIF('[1]ПО КОРИСНИЦИМА'!$G$3:$G$11609,"Свега за пројекат 2001-П12:",'[1]ПО КОРИСНИЦИМА'!$I$3:$I$11609)</f>
        <v>#VALUE!</v>
      </c>
      <c r="G260" s="1061" t="e">
        <f t="shared" si="6"/>
        <v>#VALUE!</v>
      </c>
      <c r="H260" s="1079"/>
    </row>
    <row r="261" spans="1:8" ht="12.75" hidden="1">
      <c r="A261" s="1075"/>
      <c r="B261" s="1075" t="s">
        <v>1091</v>
      </c>
      <c r="C261" s="1060">
        <f>_xlfn.IFERROR(VLOOKUP(B261,'[1]ПО КОРИСНИЦИМА'!$C$3:$J$11609,5,FALSE),"")</f>
      </c>
      <c r="D261" s="1064" t="e">
        <f>SUMIF('[1]ПО КОРИСНИЦИМА'!$G$3:$G$11609,"Свега за пројекат 2001-П13:",'[1]ПО КОРИСНИЦИМА'!$H$3:$H$11609)</f>
        <v>#VALUE!</v>
      </c>
      <c r="E261" s="1058" t="e">
        <f t="shared" si="7"/>
        <v>#VALUE!</v>
      </c>
      <c r="F261" s="1065" t="e">
        <f>SUMIF('[1]ПО КОРИСНИЦИМА'!$G$3:$G$11609,"Свега за пројекат 2001-П13:",'[1]ПО КОРИСНИЦИМА'!$I$3:$I$11609)</f>
        <v>#VALUE!</v>
      </c>
      <c r="G261" s="1061" t="e">
        <f aca="true" t="shared" si="8" ref="G261:G324">D261+F261</f>
        <v>#VALUE!</v>
      </c>
      <c r="H261" s="1079"/>
    </row>
    <row r="262" spans="1:8" ht="12.75" hidden="1">
      <c r="A262" s="1075"/>
      <c r="B262" s="1075" t="s">
        <v>1092</v>
      </c>
      <c r="C262" s="1060">
        <f>_xlfn.IFERROR(VLOOKUP(B262,'[1]ПО КОРИСНИЦИМА'!$C$3:$J$11609,5,FALSE),"")</f>
      </c>
      <c r="D262" s="1064" t="e">
        <f>SUMIF('[1]ПО КОРИСНИЦИМА'!$G$3:$G$11609,"Свега за пројекат 2001-П14:",'[1]ПО КОРИСНИЦИМА'!$H$3:$H$11609)</f>
        <v>#VALUE!</v>
      </c>
      <c r="E262" s="1058" t="e">
        <f aca="true" t="shared" si="9" ref="E262:E325">D262/444656763</f>
        <v>#VALUE!</v>
      </c>
      <c r="F262" s="1065" t="e">
        <f>SUMIF('[1]ПО КОРИСНИЦИМА'!$G$3:$G$11609,"Свега за пројекат 2001-П14:",'[1]ПО КОРИСНИЦИМА'!$I$3:$I$11609)</f>
        <v>#VALUE!</v>
      </c>
      <c r="G262" s="1061" t="e">
        <f t="shared" si="8"/>
        <v>#VALUE!</v>
      </c>
      <c r="H262" s="1079"/>
    </row>
    <row r="263" spans="1:8" ht="12.75" hidden="1">
      <c r="A263" s="1075"/>
      <c r="B263" s="1075" t="s">
        <v>1093</v>
      </c>
      <c r="C263" s="1060">
        <f>_xlfn.IFERROR(VLOOKUP(B263,'[1]ПО КОРИСНИЦИМА'!$C$3:$J$11609,5,FALSE),"")</f>
      </c>
      <c r="D263" s="1064" t="e">
        <f>SUMIF('[1]ПО КОРИСНИЦИМА'!$G$3:$G$11609,"Свега за пројекат 2001-П15:",'[1]ПО КОРИСНИЦИМА'!$H$3:$H$11609)</f>
        <v>#VALUE!</v>
      </c>
      <c r="E263" s="1058" t="e">
        <f t="shared" si="9"/>
        <v>#VALUE!</v>
      </c>
      <c r="F263" s="1065" t="e">
        <f>SUMIF('[1]ПО КОРИСНИЦИМА'!$G$3:$G$11609,"Свега за пројекат 2001-П15:",'[1]ПО КОРИСНИЦИМА'!$I$3:$I$11609)</f>
        <v>#VALUE!</v>
      </c>
      <c r="G263" s="1061" t="e">
        <f t="shared" si="8"/>
        <v>#VALUE!</v>
      </c>
      <c r="H263" s="1079"/>
    </row>
    <row r="264" spans="1:8" ht="12.75" hidden="1">
      <c r="A264" s="1075"/>
      <c r="B264" s="1075" t="s">
        <v>1094</v>
      </c>
      <c r="C264" s="1060">
        <f>_xlfn.IFERROR(VLOOKUP(B264,'[1]ПО КОРИСНИЦИМА'!$C$3:$J$11609,5,FALSE),"")</f>
      </c>
      <c r="D264" s="1064" t="e">
        <f>SUMIF('[1]ПО КОРИСНИЦИМА'!$G$3:$G$11609,"Свега за пројекат 2001-П16:",'[1]ПО КОРИСНИЦИМА'!$H$3:$H$11609)</f>
        <v>#VALUE!</v>
      </c>
      <c r="E264" s="1058" t="e">
        <f t="shared" si="9"/>
        <v>#VALUE!</v>
      </c>
      <c r="F264" s="1065" t="e">
        <f>SUMIF('[1]ПО КОРИСНИЦИМА'!$G$3:$G$11609,"Свега за пројекат 2001-П16:",'[1]ПО КОРИСНИЦИМА'!$I$3:$I$11609)</f>
        <v>#VALUE!</v>
      </c>
      <c r="G264" s="1061" t="e">
        <f t="shared" si="8"/>
        <v>#VALUE!</v>
      </c>
      <c r="H264" s="1079"/>
    </row>
    <row r="265" spans="1:8" ht="12.75" hidden="1">
      <c r="A265" s="1075"/>
      <c r="B265" s="1075" t="s">
        <v>1095</v>
      </c>
      <c r="C265" s="1060">
        <f>_xlfn.IFERROR(VLOOKUP(B265,'[1]ПО КОРИСНИЦИМА'!$C$3:$J$11609,5,FALSE),"")</f>
      </c>
      <c r="D265" s="1064" t="e">
        <f>SUMIF('[1]ПО КОРИСНИЦИМА'!$G$3:$G$11609,"Свега за пројекат 2001-П17:",'[1]ПО КОРИСНИЦИМА'!$H$3:$H$11609)</f>
        <v>#VALUE!</v>
      </c>
      <c r="E265" s="1058" t="e">
        <f t="shared" si="9"/>
        <v>#VALUE!</v>
      </c>
      <c r="F265" s="1065" t="e">
        <f>SUMIF('[1]ПО КОРИСНИЦИМА'!$G$3:$G$11609,"Свега за пројекат 2001-П17:",'[1]ПО КОРИСНИЦИМА'!$I$3:$I$11609)</f>
        <v>#VALUE!</v>
      </c>
      <c r="G265" s="1061" t="e">
        <f t="shared" si="8"/>
        <v>#VALUE!</v>
      </c>
      <c r="H265" s="1079"/>
    </row>
    <row r="266" spans="1:8" ht="12.75" hidden="1">
      <c r="A266" s="1075"/>
      <c r="B266" s="1075" t="s">
        <v>1096</v>
      </c>
      <c r="C266" s="1060">
        <f>_xlfn.IFERROR(VLOOKUP(B266,'[1]ПО КОРИСНИЦИМА'!$C$3:$J$11609,5,FALSE),"")</f>
      </c>
      <c r="D266" s="1064" t="e">
        <f>SUMIF('[1]ПО КОРИСНИЦИМА'!$G$3:$G$11609,"Свега за пројекат 2001-П18:",'[1]ПО КОРИСНИЦИМА'!$H$3:$H$11609)</f>
        <v>#VALUE!</v>
      </c>
      <c r="E266" s="1058" t="e">
        <f t="shared" si="9"/>
        <v>#VALUE!</v>
      </c>
      <c r="F266" s="1065" t="e">
        <f>SUMIF('[1]ПО КОРИСНИЦИМА'!$G$3:$G$11609,"Свега за пројекат 2001-П18:",'[1]ПО КОРИСНИЦИМА'!$I$3:$I$11609)</f>
        <v>#VALUE!</v>
      </c>
      <c r="G266" s="1061" t="e">
        <f t="shared" si="8"/>
        <v>#VALUE!</v>
      </c>
      <c r="H266" s="1079"/>
    </row>
    <row r="267" spans="1:8" ht="12.75" hidden="1">
      <c r="A267" s="1075"/>
      <c r="B267" s="1075" t="s">
        <v>1097</v>
      </c>
      <c r="C267" s="1060">
        <f>_xlfn.IFERROR(VLOOKUP(B267,'[1]ПО КОРИСНИЦИМА'!$C$3:$J$11609,5,FALSE),"")</f>
      </c>
      <c r="D267" s="1064" t="e">
        <f>SUMIF('[1]ПО КОРИСНИЦИМА'!$G$3:$G$11609,"Свега за пројекат 2001-П19:",'[1]ПО КОРИСНИЦИМА'!$H$3:$H$11609)</f>
        <v>#VALUE!</v>
      </c>
      <c r="E267" s="1058" t="e">
        <f t="shared" si="9"/>
        <v>#VALUE!</v>
      </c>
      <c r="F267" s="1065" t="e">
        <f>SUMIF('[1]ПО КОРИСНИЦИМА'!$G$3:$G$11609,"Свега за пројекат 2001-П19:",'[1]ПО КОРИСНИЦИМА'!$I$3:$I$11609)</f>
        <v>#VALUE!</v>
      </c>
      <c r="G267" s="1061" t="e">
        <f t="shared" si="8"/>
        <v>#VALUE!</v>
      </c>
      <c r="H267" s="1079"/>
    </row>
    <row r="268" spans="1:8" ht="12.75" hidden="1">
      <c r="A268" s="1075"/>
      <c r="B268" s="1075" t="s">
        <v>1098</v>
      </c>
      <c r="C268" s="1060">
        <f>_xlfn.IFERROR(VLOOKUP(B268,'[1]ПО КОРИСНИЦИМА'!$C$3:$J$11609,5,FALSE),"")</f>
      </c>
      <c r="D268" s="1064" t="e">
        <f>SUMIF('[1]ПО КОРИСНИЦИМА'!$G$3:$G$11609,"Свега за пројекат 2001-П20:",'[1]ПО КОРИСНИЦИМА'!$H$3:$H$11609)</f>
        <v>#VALUE!</v>
      </c>
      <c r="E268" s="1058" t="e">
        <f t="shared" si="9"/>
        <v>#VALUE!</v>
      </c>
      <c r="F268" s="1065" t="e">
        <f>SUMIF('[1]ПО КОРИСНИЦИМА'!$G$3:$G$11609,"Свега за пројекат 2001-П20:",'[1]ПО КОРИСНИЦИМА'!$I$3:$I$11609)</f>
        <v>#VALUE!</v>
      </c>
      <c r="G268" s="1061" t="e">
        <f t="shared" si="8"/>
        <v>#VALUE!</v>
      </c>
      <c r="H268" s="1079"/>
    </row>
    <row r="269" spans="1:8" ht="12.75" hidden="1">
      <c r="A269" s="1075"/>
      <c r="B269" s="1075" t="s">
        <v>1099</v>
      </c>
      <c r="C269" s="1060">
        <f>_xlfn.IFERROR(VLOOKUP(B269,'[1]ПО КОРИСНИЦИМА'!$C$3:$J$11609,5,FALSE),"")</f>
      </c>
      <c r="D269" s="1064" t="e">
        <f>SUMIF('[1]ПО КОРИСНИЦИМА'!$G$3:$G$11609,"Свега за пројекат 2001-П21:",'[1]ПО КОРИСНИЦИМА'!$H$3:$H$11609)</f>
        <v>#VALUE!</v>
      </c>
      <c r="E269" s="1058" t="e">
        <f t="shared" si="9"/>
        <v>#VALUE!</v>
      </c>
      <c r="F269" s="1065" t="e">
        <f>SUMIF('[1]ПО КОРИСНИЦИМА'!$G$3:$G$11609,"Свега за пројекат 2001-П21:",'[1]ПО КОРИСНИЦИМА'!$I$3:$I$11609)</f>
        <v>#VALUE!</v>
      </c>
      <c r="G269" s="1061" t="e">
        <f t="shared" si="8"/>
        <v>#VALUE!</v>
      </c>
      <c r="H269" s="1079"/>
    </row>
    <row r="270" spans="1:8" ht="12.75" hidden="1">
      <c r="A270" s="1075"/>
      <c r="B270" s="1075" t="s">
        <v>1100</v>
      </c>
      <c r="C270" s="1060">
        <f>_xlfn.IFERROR(VLOOKUP(B270,'[1]ПО КОРИСНИЦИМА'!$C$3:$J$11609,5,FALSE),"")</f>
      </c>
      <c r="D270" s="1064" t="e">
        <f>SUMIF('[1]ПО КОРИСНИЦИМА'!$G$3:$G$11609,"Свега за пројекат 2001-П22:",'[1]ПО КОРИСНИЦИМА'!$H$3:$H$11609)</f>
        <v>#VALUE!</v>
      </c>
      <c r="E270" s="1058" t="e">
        <f t="shared" si="9"/>
        <v>#VALUE!</v>
      </c>
      <c r="F270" s="1065" t="e">
        <f>SUMIF('[1]ПО КОРИСНИЦИМА'!$G$3:$G$11609,"Свега за пројекат 2001-П22:",'[1]ПО КОРИСНИЦИМА'!$I$3:$I$11609)</f>
        <v>#VALUE!</v>
      </c>
      <c r="G270" s="1061" t="e">
        <f t="shared" si="8"/>
        <v>#VALUE!</v>
      </c>
      <c r="H270" s="1079"/>
    </row>
    <row r="271" spans="1:8" ht="12.75" hidden="1">
      <c r="A271" s="1075"/>
      <c r="B271" s="1075" t="s">
        <v>1101</v>
      </c>
      <c r="C271" s="1060">
        <f>_xlfn.IFERROR(VLOOKUP(B271,'[1]ПО КОРИСНИЦИМА'!$C$3:$J$11609,5,FALSE),"")</f>
      </c>
      <c r="D271" s="1064" t="e">
        <f>SUMIF('[1]ПО КОРИСНИЦИМА'!$G$3:$G$11609,"Свега за пројекат 2001-П23:",'[1]ПО КОРИСНИЦИМА'!$H$3:$H$11609)</f>
        <v>#VALUE!</v>
      </c>
      <c r="E271" s="1058" t="e">
        <f t="shared" si="9"/>
        <v>#VALUE!</v>
      </c>
      <c r="F271" s="1065" t="e">
        <f>SUMIF('[1]ПО КОРИСНИЦИМА'!$G$3:$G$11609,"Свега за пројекат 2001-П23:",'[1]ПО КОРИСНИЦИМА'!$I$3:$I$11609)</f>
        <v>#VALUE!</v>
      </c>
      <c r="G271" s="1061" t="e">
        <f t="shared" si="8"/>
        <v>#VALUE!</v>
      </c>
      <c r="H271" s="1079"/>
    </row>
    <row r="272" spans="1:8" ht="12.75" hidden="1">
      <c r="A272" s="1075"/>
      <c r="B272" s="1075" t="s">
        <v>1102</v>
      </c>
      <c r="C272" s="1060">
        <f>_xlfn.IFERROR(VLOOKUP(B272,'[1]ПО КОРИСНИЦИМА'!$C$3:$J$11609,5,FALSE),"")</f>
      </c>
      <c r="D272" s="1064" t="e">
        <f>SUMIF('[1]ПО КОРИСНИЦИМА'!$G$3:$G$11609,"Свега за пројекат 2001-П24:",'[1]ПО КОРИСНИЦИМА'!$H$3:$H$11609)</f>
        <v>#VALUE!</v>
      </c>
      <c r="E272" s="1058" t="e">
        <f t="shared" si="9"/>
        <v>#VALUE!</v>
      </c>
      <c r="F272" s="1065" t="e">
        <f>SUMIF('[1]ПО КОРИСНИЦИМА'!$G$3:$G$11609,"Свега за пројекат 2001-П24:",'[1]ПО КОРИСНИЦИМА'!$I$3:$I$11609)</f>
        <v>#VALUE!</v>
      </c>
      <c r="G272" s="1061" t="e">
        <f t="shared" si="8"/>
        <v>#VALUE!</v>
      </c>
      <c r="H272" s="1079"/>
    </row>
    <row r="273" spans="1:8" ht="12.75" hidden="1">
      <c r="A273" s="1075"/>
      <c r="B273" s="1075" t="s">
        <v>1103</v>
      </c>
      <c r="C273" s="1060">
        <f>_xlfn.IFERROR(VLOOKUP(B273,'[1]ПО КОРИСНИЦИМА'!$C$3:$J$11609,5,FALSE),"")</f>
      </c>
      <c r="D273" s="1064" t="e">
        <f>SUMIF('[1]ПО КОРИСНИЦИМА'!$G$3:$G$11609,"Свега за пројекат 2001-П25:",'[1]ПО КОРИСНИЦИМА'!$H$3:$H$11609)</f>
        <v>#VALUE!</v>
      </c>
      <c r="E273" s="1058" t="e">
        <f t="shared" si="9"/>
        <v>#VALUE!</v>
      </c>
      <c r="F273" s="1065" t="e">
        <f>SUMIF('[1]ПО КОРИСНИЦИМА'!$G$3:$G$11609,"Свега за пројекат 2001-П25:",'[1]ПО КОРИСНИЦИМА'!$I$3:$I$11609)</f>
        <v>#VALUE!</v>
      </c>
      <c r="G273" s="1061" t="e">
        <f t="shared" si="8"/>
        <v>#VALUE!</v>
      </c>
      <c r="H273" s="1079"/>
    </row>
    <row r="274" spans="1:8" ht="12.75" hidden="1">
      <c r="A274" s="1075"/>
      <c r="B274" s="1075" t="s">
        <v>1104</v>
      </c>
      <c r="C274" s="1060">
        <f>_xlfn.IFERROR(VLOOKUP(B274,'[1]ПО КОРИСНИЦИМА'!$C$3:$J$11609,5,FALSE),"")</f>
      </c>
      <c r="D274" s="1064" t="e">
        <f>SUMIF('[1]ПО КОРИСНИЦИМА'!$G$3:$G$11609,"Свега за пројекат 2001-П26:",'[1]ПО КОРИСНИЦИМА'!$H$3:$H$11609)</f>
        <v>#VALUE!</v>
      </c>
      <c r="E274" s="1058" t="e">
        <f t="shared" si="9"/>
        <v>#VALUE!</v>
      </c>
      <c r="F274" s="1065" t="e">
        <f>SUMIF('[1]ПО КОРИСНИЦИМА'!$G$3:$G$11609,"Свега за пројекат 2001-П26:",'[1]ПО КОРИСНИЦИМА'!$I$3:$I$11609)</f>
        <v>#VALUE!</v>
      </c>
      <c r="G274" s="1061" t="e">
        <f t="shared" si="8"/>
        <v>#VALUE!</v>
      </c>
      <c r="H274" s="1079"/>
    </row>
    <row r="275" spans="1:8" ht="12.75" hidden="1">
      <c r="A275" s="1075"/>
      <c r="B275" s="1075" t="s">
        <v>1105</v>
      </c>
      <c r="C275" s="1060">
        <f>_xlfn.IFERROR(VLOOKUP(B275,'[1]ПО КОРИСНИЦИМА'!$C$3:$J$11609,5,FALSE),"")</f>
      </c>
      <c r="D275" s="1064" t="e">
        <f>SUMIF('[1]ПО КОРИСНИЦИМА'!$G$3:$G$11609,"Свега за пројекат 2001-П27:",'[1]ПО КОРИСНИЦИМА'!$H$3:$H$11609)</f>
        <v>#VALUE!</v>
      </c>
      <c r="E275" s="1058" t="e">
        <f t="shared" si="9"/>
        <v>#VALUE!</v>
      </c>
      <c r="F275" s="1065" t="e">
        <f>SUMIF('[1]ПО КОРИСНИЦИМА'!$G$3:$G$11609,"Свега за пројекат 2001-П27:",'[1]ПО КОРИСНИЦИМА'!$I$3:$I$11609)</f>
        <v>#VALUE!</v>
      </c>
      <c r="G275" s="1061" t="e">
        <f t="shared" si="8"/>
        <v>#VALUE!</v>
      </c>
      <c r="H275" s="1079"/>
    </row>
    <row r="276" spans="1:8" ht="12.75" hidden="1">
      <c r="A276" s="1075"/>
      <c r="B276" s="1075" t="s">
        <v>1106</v>
      </c>
      <c r="C276" s="1060">
        <f>_xlfn.IFERROR(VLOOKUP(B276,'[1]ПО КОРИСНИЦИМА'!$C$3:$J$11609,5,FALSE),"")</f>
      </c>
      <c r="D276" s="1064" t="e">
        <f>SUMIF('[1]ПО КОРИСНИЦИМА'!$G$3:$G$11609,"Свега за пројекат 2001-П28:",'[1]ПО КОРИСНИЦИМА'!$H$3:$H$11609)</f>
        <v>#VALUE!</v>
      </c>
      <c r="E276" s="1058" t="e">
        <f t="shared" si="9"/>
        <v>#VALUE!</v>
      </c>
      <c r="F276" s="1065" t="e">
        <f>SUMIF('[1]ПО КОРИСНИЦИМА'!$G$3:$G$11609,"Свега за пројекат 2001-П28:",'[1]ПО КОРИСНИЦИМА'!$I$3:$I$11609)</f>
        <v>#VALUE!</v>
      </c>
      <c r="G276" s="1061" t="e">
        <f t="shared" si="8"/>
        <v>#VALUE!</v>
      </c>
      <c r="H276" s="1078"/>
    </row>
    <row r="277" spans="1:8" ht="12.75" hidden="1">
      <c r="A277" s="1075"/>
      <c r="B277" s="1075" t="s">
        <v>1107</v>
      </c>
      <c r="C277" s="1060">
        <f>_xlfn.IFERROR(VLOOKUP(B277,'[1]ПО КОРИСНИЦИМА'!$C$3:$J$11609,5,FALSE),"")</f>
      </c>
      <c r="D277" s="1064" t="e">
        <f>SUMIF('[1]ПО КОРИСНИЦИМА'!$G$3:$G$11609,"Свега за пројекат 2001-П29:",'[1]ПО КОРИСНИЦИМА'!$H$3:$H$11609)</f>
        <v>#VALUE!</v>
      </c>
      <c r="E277" s="1058" t="e">
        <f t="shared" si="9"/>
        <v>#VALUE!</v>
      </c>
      <c r="F277" s="1065" t="e">
        <f>SUMIF('[1]ПО КОРИСНИЦИМА'!$G$3:$G$11609,"Свега за пројекат 2001-П29:",'[1]ПО КОРИСНИЦИМА'!$I$3:$I$11609)</f>
        <v>#VALUE!</v>
      </c>
      <c r="G277" s="1061" t="e">
        <f t="shared" si="8"/>
        <v>#VALUE!</v>
      </c>
      <c r="H277" s="1078"/>
    </row>
    <row r="278" spans="1:8" ht="12.75" hidden="1">
      <c r="A278" s="1075"/>
      <c r="B278" s="1075" t="s">
        <v>600</v>
      </c>
      <c r="C278" s="1060">
        <f>_xlfn.IFERROR(VLOOKUP(B278,'[1]ПО КОРИСНИЦИМА'!$C$3:$J$11609,5,FALSE),"")</f>
      </c>
      <c r="D278" s="1064" t="e">
        <f>SUMIF('[1]ПО КОРИСНИЦИМА'!$G$3:$G$11609,"Свега за пројекат 2001-П30:",'[1]ПО КОРИСНИЦИМА'!$H$3:$H$11609)</f>
        <v>#VALUE!</v>
      </c>
      <c r="E278" s="1058" t="e">
        <f t="shared" si="9"/>
        <v>#VALUE!</v>
      </c>
      <c r="F278" s="1065" t="e">
        <f>SUMIF('[1]ПО КОРИСНИЦИМА'!$G$3:$G$11609,"Свега за пројекат 2001-П30:",'[1]ПО КОРИСНИЦИМА'!$I$3:$I$11609)</f>
        <v>#VALUE!</v>
      </c>
      <c r="G278" s="1061" t="e">
        <f t="shared" si="8"/>
        <v>#VALUE!</v>
      </c>
      <c r="H278" s="1062"/>
    </row>
    <row r="279" spans="1:8" s="325" customFormat="1" ht="12.75">
      <c r="A279" s="1054" t="s">
        <v>297</v>
      </c>
      <c r="B279" s="1055"/>
      <c r="C279" s="1056" t="s">
        <v>1290</v>
      </c>
      <c r="D279" s="1057">
        <f>SUM(D280:D287)</f>
        <v>33132772</v>
      </c>
      <c r="E279" s="1058">
        <f t="shared" si="9"/>
        <v>0.07451314082453302</v>
      </c>
      <c r="F279" s="1057">
        <f>SUM(F280:F287)</f>
        <v>0</v>
      </c>
      <c r="G279" s="1057">
        <f t="shared" si="8"/>
        <v>33132772</v>
      </c>
      <c r="H279" s="1072"/>
    </row>
    <row r="280" spans="1:8" ht="42" customHeight="1">
      <c r="A280" s="1080"/>
      <c r="B280" s="1073" t="s">
        <v>295</v>
      </c>
      <c r="C280" s="1081" t="s">
        <v>328</v>
      </c>
      <c r="D280" s="1061">
        <f>'Rashodi-2020'!M152+'Rashodi-2020'!M168+'Rashodi-2020'!M183</f>
        <v>33132772</v>
      </c>
      <c r="E280" s="1181">
        <f t="shared" si="9"/>
        <v>0.07451314082453302</v>
      </c>
      <c r="F280" s="1061">
        <f>'Rashodi-2020'!T152+'Rashodi-2020'!T168+'Rashodi-2020'!T183</f>
        <v>0</v>
      </c>
      <c r="G280" s="1061">
        <f t="shared" si="8"/>
        <v>33132772</v>
      </c>
      <c r="H280" s="1082" t="s">
        <v>1300</v>
      </c>
    </row>
    <row r="281" spans="1:8" ht="12.75" hidden="1">
      <c r="A281" s="1053"/>
      <c r="B281" s="1075" t="s">
        <v>1108</v>
      </c>
      <c r="C281" s="1060">
        <f>_xlfn.IFERROR(VLOOKUP(B281,'[1]ПО КОРИСНИЦИМА'!$C$3:$J$11609,5,FALSE),"")</f>
      </c>
      <c r="D281" s="1064"/>
      <c r="E281" s="1058">
        <f t="shared" si="9"/>
        <v>0</v>
      </c>
      <c r="F281" s="1065"/>
      <c r="G281" s="1061">
        <f t="shared" si="8"/>
        <v>0</v>
      </c>
      <c r="H281" s="1062"/>
    </row>
    <row r="282" spans="1:8" ht="12.75" hidden="1">
      <c r="A282" s="1053"/>
      <c r="B282" s="1075" t="s">
        <v>1109</v>
      </c>
      <c r="C282" s="1060">
        <f>_xlfn.IFERROR(VLOOKUP(B282,'[1]ПО КОРИСНИЦИМА'!$C$3:$J$11609,5,FALSE),"")</f>
      </c>
      <c r="D282" s="1064"/>
      <c r="E282" s="1058">
        <f t="shared" si="9"/>
        <v>0</v>
      </c>
      <c r="F282" s="1065"/>
      <c r="G282" s="1061">
        <f t="shared" si="8"/>
        <v>0</v>
      </c>
      <c r="H282" s="1062"/>
    </row>
    <row r="283" spans="1:8" ht="12.75" hidden="1">
      <c r="A283" s="1053"/>
      <c r="B283" s="1075" t="s">
        <v>1110</v>
      </c>
      <c r="C283" s="1060">
        <f>_xlfn.IFERROR(VLOOKUP(B283,'[1]ПО КОРИСНИЦИМА'!$C$3:$J$11609,5,FALSE),"")</f>
      </c>
      <c r="D283" s="1064"/>
      <c r="E283" s="1058">
        <f t="shared" si="9"/>
        <v>0</v>
      </c>
      <c r="F283" s="1065"/>
      <c r="G283" s="1061">
        <f t="shared" si="8"/>
        <v>0</v>
      </c>
      <c r="H283" s="1062"/>
    </row>
    <row r="284" spans="1:8" ht="12.75" hidden="1">
      <c r="A284" s="1053"/>
      <c r="B284" s="1075" t="s">
        <v>1111</v>
      </c>
      <c r="C284" s="1060">
        <f>_xlfn.IFERROR(VLOOKUP(B284,'[1]ПО КОРИСНИЦИМА'!$C$3:$J$11609,5,FALSE),"")</f>
      </c>
      <c r="D284" s="1064"/>
      <c r="E284" s="1058">
        <f t="shared" si="9"/>
        <v>0</v>
      </c>
      <c r="F284" s="1065"/>
      <c r="G284" s="1061">
        <f t="shared" si="8"/>
        <v>0</v>
      </c>
      <c r="H284" s="1062"/>
    </row>
    <row r="285" spans="1:8" ht="12.75" hidden="1">
      <c r="A285" s="1053"/>
      <c r="B285" s="1075" t="s">
        <v>1112</v>
      </c>
      <c r="C285" s="1060">
        <f>_xlfn.IFERROR(VLOOKUP(B285,'[1]ПО КОРИСНИЦИМА'!$C$3:$J$11609,5,FALSE),"")</f>
      </c>
      <c r="D285" s="1064"/>
      <c r="E285" s="1058">
        <f t="shared" si="9"/>
        <v>0</v>
      </c>
      <c r="F285" s="1065"/>
      <c r="G285" s="1061">
        <f t="shared" si="8"/>
        <v>0</v>
      </c>
      <c r="H285" s="1062"/>
    </row>
    <row r="286" spans="1:8" ht="12.75" hidden="1">
      <c r="A286" s="1053"/>
      <c r="B286" s="1075" t="s">
        <v>1113</v>
      </c>
      <c r="C286" s="1060">
        <f>_xlfn.IFERROR(VLOOKUP(B286,'[1]ПО КОРИСНИЦИМА'!$C$3:$J$11609,5,FALSE),"")</f>
      </c>
      <c r="D286" s="1064"/>
      <c r="E286" s="1058">
        <f t="shared" si="9"/>
        <v>0</v>
      </c>
      <c r="F286" s="1065"/>
      <c r="G286" s="1061">
        <f t="shared" si="8"/>
        <v>0</v>
      </c>
      <c r="H286" s="1062"/>
    </row>
    <row r="287" spans="1:8" ht="12.75" hidden="1">
      <c r="A287" s="1053"/>
      <c r="B287" s="1075" t="s">
        <v>1114</v>
      </c>
      <c r="C287" s="1060">
        <f>_xlfn.IFERROR(VLOOKUP(B287,'[1]ПО КОРИСНИЦИМА'!$C$3:$J$11609,5,FALSE),"")</f>
      </c>
      <c r="D287" s="1064"/>
      <c r="E287" s="1058">
        <f t="shared" si="9"/>
        <v>0</v>
      </c>
      <c r="F287" s="1065"/>
      <c r="G287" s="1061">
        <f t="shared" si="8"/>
        <v>0</v>
      </c>
      <c r="H287" s="1062"/>
    </row>
    <row r="288" spans="1:8" ht="12.75" hidden="1">
      <c r="A288" s="1053"/>
      <c r="B288" s="1075" t="s">
        <v>1115</v>
      </c>
      <c r="C288" s="1060">
        <f>_xlfn.IFERROR(VLOOKUP(B288,'[1]ПО КОРИСНИЦИМА'!$C$3:$J$11609,5,FALSE),"")</f>
      </c>
      <c r="D288" s="1064" t="e">
        <f>SUMIF('[1]ПО КОРИСНИЦИМА'!$G$3:$G$11609,"Свега за пројекат 2002-П8:",'[1]ПО КОРИСНИЦИМА'!$H$3:$H$11609)</f>
        <v>#VALUE!</v>
      </c>
      <c r="E288" s="1058" t="e">
        <f t="shared" si="9"/>
        <v>#VALUE!</v>
      </c>
      <c r="F288" s="1065" t="e">
        <f>SUMIF('[1]ПО КОРИСНИЦИМА'!$G$3:$G$11609,"Свега за пројекат 2002-П8:",'[1]ПО КОРИСНИЦИМА'!$I$3:$I$11609)</f>
        <v>#VALUE!</v>
      </c>
      <c r="G288" s="1061" t="e">
        <f t="shared" si="8"/>
        <v>#VALUE!</v>
      </c>
      <c r="H288" s="1062"/>
    </row>
    <row r="289" spans="1:8" ht="12.75" hidden="1">
      <c r="A289" s="1053"/>
      <c r="B289" s="1075" t="s">
        <v>1116</v>
      </c>
      <c r="C289" s="1060">
        <f>_xlfn.IFERROR(VLOOKUP(B289,'[1]ПО КОРИСНИЦИМА'!$C$3:$J$11609,5,FALSE),"")</f>
      </c>
      <c r="D289" s="1064" t="e">
        <f>SUMIF('[1]ПО КОРИСНИЦИМА'!$G$3:$G$11609,"Свега за пројекат 2002-П9:",'[1]ПО КОРИСНИЦИМА'!$H$3:$H$11609)</f>
        <v>#VALUE!</v>
      </c>
      <c r="E289" s="1058" t="e">
        <f t="shared" si="9"/>
        <v>#VALUE!</v>
      </c>
      <c r="F289" s="1065" t="e">
        <f>SUMIF('[1]ПО КОРИСНИЦИМА'!$G$3:$G$11609,"Свега за пројекат 2002-П9:",'[1]ПО КОРИСНИЦИМА'!$I$3:$I$11609)</f>
        <v>#VALUE!</v>
      </c>
      <c r="G289" s="1061" t="e">
        <f t="shared" si="8"/>
        <v>#VALUE!</v>
      </c>
      <c r="H289" s="1062"/>
    </row>
    <row r="290" spans="1:8" ht="12.75" hidden="1">
      <c r="A290" s="1053"/>
      <c r="B290" s="1075" t="s">
        <v>1117</v>
      </c>
      <c r="C290" s="1060">
        <f>_xlfn.IFERROR(VLOOKUP(B290,'[1]ПО КОРИСНИЦИМА'!$C$3:$J$11609,5,FALSE),"")</f>
      </c>
      <c r="D290" s="1064" t="e">
        <f>SUMIF('[1]ПО КОРИСНИЦИМА'!$G$3:$G$11609,"Свега за пројекат 2002-П10:",'[1]ПО КОРИСНИЦИМА'!$H$3:$H$11609)</f>
        <v>#VALUE!</v>
      </c>
      <c r="E290" s="1058" t="e">
        <f t="shared" si="9"/>
        <v>#VALUE!</v>
      </c>
      <c r="F290" s="1065" t="e">
        <f>SUMIF('[1]ПО КОРИСНИЦИМА'!$G$3:$G$11609,"Свега за пројекат 2002-П10:",'[1]ПО КОРИСНИЦИМА'!$I$3:$I$11609)</f>
        <v>#VALUE!</v>
      </c>
      <c r="G290" s="1061" t="e">
        <f t="shared" si="8"/>
        <v>#VALUE!</v>
      </c>
      <c r="H290" s="1062"/>
    </row>
    <row r="291" spans="1:8" ht="12.75" hidden="1">
      <c r="A291" s="1053"/>
      <c r="B291" s="1075" t="s">
        <v>1118</v>
      </c>
      <c r="C291" s="1060">
        <f>_xlfn.IFERROR(VLOOKUP(B291,'[1]ПО КОРИСНИЦИМА'!$C$3:$J$11609,5,FALSE),"")</f>
      </c>
      <c r="D291" s="1064" t="e">
        <f>SUMIF('[1]ПО КОРИСНИЦИМА'!$G$3:$G$11609,"Свега за пројекат 2002-П11:",'[1]ПО КОРИСНИЦИМА'!$H$3:$H$11609)</f>
        <v>#VALUE!</v>
      </c>
      <c r="E291" s="1058" t="e">
        <f t="shared" si="9"/>
        <v>#VALUE!</v>
      </c>
      <c r="F291" s="1065" t="e">
        <f>SUMIF('[1]ПО КОРИСНИЦИМА'!$G$3:$G$11609,"Свега за пројекат 2002-П11:",'[1]ПО КОРИСНИЦИМА'!$I$3:$I$11609)</f>
        <v>#VALUE!</v>
      </c>
      <c r="G291" s="1061" t="e">
        <f t="shared" si="8"/>
        <v>#VALUE!</v>
      </c>
      <c r="H291" s="1062"/>
    </row>
    <row r="292" spans="1:8" ht="12.75" hidden="1">
      <c r="A292" s="1053"/>
      <c r="B292" s="1075" t="s">
        <v>1119</v>
      </c>
      <c r="C292" s="1060">
        <f>_xlfn.IFERROR(VLOOKUP(B292,'[1]ПО КОРИСНИЦИМА'!$C$3:$J$11609,5,FALSE),"")</f>
      </c>
      <c r="D292" s="1064" t="e">
        <f>SUMIF('[1]ПО КОРИСНИЦИМА'!$G$3:$G$11609,"Свега за пројекат 2002-П12:",'[1]ПО КОРИСНИЦИМА'!$H$3:$H$11609)</f>
        <v>#VALUE!</v>
      </c>
      <c r="E292" s="1058" t="e">
        <f t="shared" si="9"/>
        <v>#VALUE!</v>
      </c>
      <c r="F292" s="1065" t="e">
        <f>SUMIF('[1]ПО КОРИСНИЦИМА'!$G$3:$G$11609,"Свега за пројекат 2002-П12:",'[1]ПО КОРИСНИЦИМА'!$I$3:$I$11609)</f>
        <v>#VALUE!</v>
      </c>
      <c r="G292" s="1061" t="e">
        <f t="shared" si="8"/>
        <v>#VALUE!</v>
      </c>
      <c r="H292" s="1062"/>
    </row>
    <row r="293" spans="1:8" ht="12.75" hidden="1">
      <c r="A293" s="1053"/>
      <c r="B293" s="1075" t="s">
        <v>1120</v>
      </c>
      <c r="C293" s="1060">
        <f>_xlfn.IFERROR(VLOOKUP(B293,'[1]ПО КОРИСНИЦИМА'!$C$3:$J$11609,5,FALSE),"")</f>
      </c>
      <c r="D293" s="1064" t="e">
        <f>SUMIF('[1]ПО КОРИСНИЦИМА'!$G$3:$G$11609,"Свега за пројекат 2002-П13:",'[1]ПО КОРИСНИЦИМА'!$H$3:$H$11609)</f>
        <v>#VALUE!</v>
      </c>
      <c r="E293" s="1058" t="e">
        <f t="shared" si="9"/>
        <v>#VALUE!</v>
      </c>
      <c r="F293" s="1065" t="e">
        <f>SUMIF('[1]ПО КОРИСНИЦИМА'!$G$3:$G$11609,"Свега за пројекат 2002-П13:",'[1]ПО КОРИСНИЦИМА'!$I$3:$I$11609)</f>
        <v>#VALUE!</v>
      </c>
      <c r="G293" s="1061" t="e">
        <f t="shared" si="8"/>
        <v>#VALUE!</v>
      </c>
      <c r="H293" s="1062"/>
    </row>
    <row r="294" spans="1:8" ht="12.75" hidden="1">
      <c r="A294" s="1053"/>
      <c r="B294" s="1075" t="s">
        <v>1121</v>
      </c>
      <c r="C294" s="1060">
        <f>_xlfn.IFERROR(VLOOKUP(B294,'[1]ПО КОРИСНИЦИМА'!$C$3:$J$11609,5,FALSE),"")</f>
      </c>
      <c r="D294" s="1064" t="e">
        <f>SUMIF('[1]ПО КОРИСНИЦИМА'!$G$3:$G$11609,"Свега за пројекат 2002-П14:",'[1]ПО КОРИСНИЦИМА'!$H$3:$H$11609)</f>
        <v>#VALUE!</v>
      </c>
      <c r="E294" s="1058" t="e">
        <f t="shared" si="9"/>
        <v>#VALUE!</v>
      </c>
      <c r="F294" s="1065" t="e">
        <f>SUMIF('[1]ПО КОРИСНИЦИМА'!$G$3:$G$11609,"Свега за пројекат 2002-П14:",'[1]ПО КОРИСНИЦИМА'!$I$3:$I$11609)</f>
        <v>#VALUE!</v>
      </c>
      <c r="G294" s="1061" t="e">
        <f t="shared" si="8"/>
        <v>#VALUE!</v>
      </c>
      <c r="H294" s="1062"/>
    </row>
    <row r="295" spans="1:8" ht="12.75" hidden="1">
      <c r="A295" s="1053"/>
      <c r="B295" s="1075" t="s">
        <v>1122</v>
      </c>
      <c r="C295" s="1060">
        <f>_xlfn.IFERROR(VLOOKUP(B295,'[1]ПО КОРИСНИЦИМА'!$C$3:$J$11609,5,FALSE),"")</f>
      </c>
      <c r="D295" s="1064" t="e">
        <f>SUMIF('[1]ПО КОРИСНИЦИМА'!$G$3:$G$11609,"Свега за пројекат 2002-П15:",'[1]ПО КОРИСНИЦИМА'!$H$3:$H$11609)</f>
        <v>#VALUE!</v>
      </c>
      <c r="E295" s="1058" t="e">
        <f t="shared" si="9"/>
        <v>#VALUE!</v>
      </c>
      <c r="F295" s="1065" t="e">
        <f>SUMIF('[1]ПО КОРИСНИЦИМА'!$G$3:$G$11609,"Свега за пројекат 2002-П15:",'[1]ПО КОРИСНИЦИМА'!$I$3:$I$11609)</f>
        <v>#VALUE!</v>
      </c>
      <c r="G295" s="1061" t="e">
        <f t="shared" si="8"/>
        <v>#VALUE!</v>
      </c>
      <c r="H295" s="1062"/>
    </row>
    <row r="296" spans="1:8" ht="12.75" hidden="1">
      <c r="A296" s="1053"/>
      <c r="B296" s="1075" t="s">
        <v>1123</v>
      </c>
      <c r="C296" s="1060">
        <f>_xlfn.IFERROR(VLOOKUP(B296,'[1]ПО КОРИСНИЦИМА'!$C$3:$J$11609,5,FALSE),"")</f>
      </c>
      <c r="D296" s="1064" t="e">
        <f>SUMIF('[1]ПО КОРИСНИЦИМА'!$G$3:$G$11609,"Свега за пројекат 2002-П16:",'[1]ПО КОРИСНИЦИМА'!$H$3:$H$11609)</f>
        <v>#VALUE!</v>
      </c>
      <c r="E296" s="1058" t="e">
        <f t="shared" si="9"/>
        <v>#VALUE!</v>
      </c>
      <c r="F296" s="1065" t="e">
        <f>SUMIF('[1]ПО КОРИСНИЦИМА'!$G$3:$G$11609,"Свега за пројекат 2002-П16:",'[1]ПО КОРИСНИЦИМА'!$I$3:$I$11609)</f>
        <v>#VALUE!</v>
      </c>
      <c r="G296" s="1061" t="e">
        <f t="shared" si="8"/>
        <v>#VALUE!</v>
      </c>
      <c r="H296" s="1062"/>
    </row>
    <row r="297" spans="1:8" ht="12.75" hidden="1">
      <c r="A297" s="1053"/>
      <c r="B297" s="1075" t="s">
        <v>1124</v>
      </c>
      <c r="C297" s="1060">
        <f>_xlfn.IFERROR(VLOOKUP(B297,'[1]ПО КОРИСНИЦИМА'!$C$3:$J$11609,5,FALSE),"")</f>
      </c>
      <c r="D297" s="1064" t="e">
        <f>SUMIF('[1]ПО КОРИСНИЦИМА'!$G$3:$G$11609,"Свега за пројекат 2002-П17:",'[1]ПО КОРИСНИЦИМА'!$H$3:$H$11609)</f>
        <v>#VALUE!</v>
      </c>
      <c r="E297" s="1058" t="e">
        <f t="shared" si="9"/>
        <v>#VALUE!</v>
      </c>
      <c r="F297" s="1065" t="e">
        <f>SUMIF('[1]ПО КОРИСНИЦИМА'!$G$3:$G$11609,"Свега за пројекат 2002-П17:",'[1]ПО КОРИСНИЦИМА'!$I$3:$I$11609)</f>
        <v>#VALUE!</v>
      </c>
      <c r="G297" s="1061" t="e">
        <f t="shared" si="8"/>
        <v>#VALUE!</v>
      </c>
      <c r="H297" s="1062"/>
    </row>
    <row r="298" spans="1:8" ht="12.75" hidden="1">
      <c r="A298" s="1053"/>
      <c r="B298" s="1075" t="s">
        <v>1125</v>
      </c>
      <c r="C298" s="1060">
        <f>_xlfn.IFERROR(VLOOKUP(B298,'[1]ПО КОРИСНИЦИМА'!$C$3:$J$11609,5,FALSE),"")</f>
      </c>
      <c r="D298" s="1064" t="e">
        <f>SUMIF('[1]ПО КОРИСНИЦИМА'!$G$3:$G$11609,"Свега за пројекат 2002-П18:",'[1]ПО КОРИСНИЦИМА'!$H$3:$H$11609)</f>
        <v>#VALUE!</v>
      </c>
      <c r="E298" s="1058" t="e">
        <f t="shared" si="9"/>
        <v>#VALUE!</v>
      </c>
      <c r="F298" s="1065" t="e">
        <f>SUMIF('[1]ПО КОРИСНИЦИМА'!$G$3:$G$11609,"Свега за пројекат 2002-П18:",'[1]ПО КОРИСНИЦИМА'!$I$3:$I$11609)</f>
        <v>#VALUE!</v>
      </c>
      <c r="G298" s="1061" t="e">
        <f t="shared" si="8"/>
        <v>#VALUE!</v>
      </c>
      <c r="H298" s="1062"/>
    </row>
    <row r="299" spans="1:8" ht="12.75" hidden="1">
      <c r="A299" s="1053"/>
      <c r="B299" s="1075" t="s">
        <v>1126</v>
      </c>
      <c r="C299" s="1060">
        <f>_xlfn.IFERROR(VLOOKUP(B299,'[1]ПО КОРИСНИЦИМА'!$C$3:$J$11609,5,FALSE),"")</f>
      </c>
      <c r="D299" s="1064" t="e">
        <f>SUMIF('[1]ПО КОРИСНИЦИМА'!$G$3:$G$11609,"Свега за пројекат 2002-П19:",'[1]ПО КОРИСНИЦИМА'!$H$3:$H$11609)</f>
        <v>#VALUE!</v>
      </c>
      <c r="E299" s="1058" t="e">
        <f t="shared" si="9"/>
        <v>#VALUE!</v>
      </c>
      <c r="F299" s="1065" t="e">
        <f>SUMIF('[1]ПО КОРИСНИЦИМА'!$G$3:$G$11609,"Свега за пројекат 2002-П19:",'[1]ПО КОРИСНИЦИМА'!$I$3:$I$11609)</f>
        <v>#VALUE!</v>
      </c>
      <c r="G299" s="1061" t="e">
        <f t="shared" si="8"/>
        <v>#VALUE!</v>
      </c>
      <c r="H299" s="1062"/>
    </row>
    <row r="300" spans="1:8" ht="12.75" hidden="1">
      <c r="A300" s="1053"/>
      <c r="B300" s="1075" t="s">
        <v>1127</v>
      </c>
      <c r="C300" s="1060">
        <f>_xlfn.IFERROR(VLOOKUP(B300,'[1]ПО КОРИСНИЦИМА'!$C$3:$J$11609,5,FALSE),"")</f>
      </c>
      <c r="D300" s="1064" t="e">
        <f>SUMIF('[1]ПО КОРИСНИЦИМА'!$G$3:$G$11609,"Свега за пројекат 2002-П20:",'[1]ПО КОРИСНИЦИМА'!$H$3:$H$11609)</f>
        <v>#VALUE!</v>
      </c>
      <c r="E300" s="1058" t="e">
        <f t="shared" si="9"/>
        <v>#VALUE!</v>
      </c>
      <c r="F300" s="1065" t="e">
        <f>SUMIF('[1]ПО КОРИСНИЦИМА'!$G$3:$G$11609,"Свега за пројекат 2002-П20:",'[1]ПО КОРИСНИЦИМА'!$I$3:$I$11609)</f>
        <v>#VALUE!</v>
      </c>
      <c r="G300" s="1061" t="e">
        <f t="shared" si="8"/>
        <v>#VALUE!</v>
      </c>
      <c r="H300" s="1062"/>
    </row>
    <row r="301" spans="1:8" ht="12.75" hidden="1">
      <c r="A301" s="1053"/>
      <c r="B301" s="1075" t="s">
        <v>1128</v>
      </c>
      <c r="C301" s="1060">
        <f>_xlfn.IFERROR(VLOOKUP(B301,'[1]ПО КОРИСНИЦИМА'!$C$3:$J$11609,5,FALSE),"")</f>
      </c>
      <c r="D301" s="1064" t="e">
        <f>SUMIF('[1]ПО КОРИСНИЦИМА'!$G$3:$G$11609,"Свега за пројекат 2002-П21:",'[1]ПО КОРИСНИЦИМА'!$H$3:$H$11609)</f>
        <v>#VALUE!</v>
      </c>
      <c r="E301" s="1058" t="e">
        <f t="shared" si="9"/>
        <v>#VALUE!</v>
      </c>
      <c r="F301" s="1065" t="e">
        <f>SUMIF('[1]ПО КОРИСНИЦИМА'!$G$3:$G$11609,"Свега за пројекат 2002-П21:",'[1]ПО КОРИСНИЦИМА'!$I$3:$I$11609)</f>
        <v>#VALUE!</v>
      </c>
      <c r="G301" s="1061" t="e">
        <f t="shared" si="8"/>
        <v>#VALUE!</v>
      </c>
      <c r="H301" s="1062"/>
    </row>
    <row r="302" spans="1:8" ht="12.75" hidden="1">
      <c r="A302" s="1053"/>
      <c r="B302" s="1075" t="s">
        <v>1129</v>
      </c>
      <c r="C302" s="1060">
        <f>_xlfn.IFERROR(VLOOKUP(B302,'[1]ПО КОРИСНИЦИМА'!$C$3:$J$11609,5,FALSE),"")</f>
      </c>
      <c r="D302" s="1064" t="e">
        <f>SUMIF('[1]ПО КОРИСНИЦИМА'!$G$3:$G$11609,"Свега за пројекат 2002-П22:",'[1]ПО КОРИСНИЦИМА'!$H$3:$H$11609)</f>
        <v>#VALUE!</v>
      </c>
      <c r="E302" s="1058" t="e">
        <f t="shared" si="9"/>
        <v>#VALUE!</v>
      </c>
      <c r="F302" s="1065" t="e">
        <f>SUMIF('[1]ПО КОРИСНИЦИМА'!$G$3:$G$11609,"Свега за пројекат 2002-П22:",'[1]ПО КОРИСНИЦИМА'!$I$3:$I$11609)</f>
        <v>#VALUE!</v>
      </c>
      <c r="G302" s="1061" t="e">
        <f t="shared" si="8"/>
        <v>#VALUE!</v>
      </c>
      <c r="H302" s="1062"/>
    </row>
    <row r="303" spans="1:8" ht="12.75" hidden="1">
      <c r="A303" s="1053"/>
      <c r="B303" s="1075" t="s">
        <v>1130</v>
      </c>
      <c r="C303" s="1060">
        <f>_xlfn.IFERROR(VLOOKUP(B303,'[1]ПО КОРИСНИЦИМА'!$C$3:$J$11609,5,FALSE),"")</f>
      </c>
      <c r="D303" s="1064" t="e">
        <f>SUMIF('[1]ПО КОРИСНИЦИМА'!$G$3:$G$11609,"Свега за пројекат 2002-П23:",'[1]ПО КОРИСНИЦИМА'!$H$3:$H$11609)</f>
        <v>#VALUE!</v>
      </c>
      <c r="E303" s="1058" t="e">
        <f t="shared" si="9"/>
        <v>#VALUE!</v>
      </c>
      <c r="F303" s="1065" t="e">
        <f>SUMIF('[1]ПО КОРИСНИЦИМА'!$G$3:$G$11609,"Свега за пројекат 2002-П23:",'[1]ПО КОРИСНИЦИМА'!$I$3:$I$11609)</f>
        <v>#VALUE!</v>
      </c>
      <c r="G303" s="1061" t="e">
        <f t="shared" si="8"/>
        <v>#VALUE!</v>
      </c>
      <c r="H303" s="1062"/>
    </row>
    <row r="304" spans="1:8" ht="12.75" hidden="1">
      <c r="A304" s="1053"/>
      <c r="B304" s="1075" t="s">
        <v>1131</v>
      </c>
      <c r="C304" s="1060">
        <f>_xlfn.IFERROR(VLOOKUP(B304,'[1]ПО КОРИСНИЦИМА'!$C$3:$J$11609,5,FALSE),"")</f>
      </c>
      <c r="D304" s="1064" t="e">
        <f>SUMIF('[1]ПО КОРИСНИЦИМА'!$G$3:$G$11609,"Свега за пројекат 2002-П24:",'[1]ПО КОРИСНИЦИМА'!$H$3:$H$11609)</f>
        <v>#VALUE!</v>
      </c>
      <c r="E304" s="1058" t="e">
        <f t="shared" si="9"/>
        <v>#VALUE!</v>
      </c>
      <c r="F304" s="1065" t="e">
        <f>SUMIF('[1]ПО КОРИСНИЦИМА'!$G$3:$G$11609,"Свега за пројекат 2002-П24:",'[1]ПО КОРИСНИЦИМА'!$I$3:$I$11609)</f>
        <v>#VALUE!</v>
      </c>
      <c r="G304" s="1061" t="e">
        <f t="shared" si="8"/>
        <v>#VALUE!</v>
      </c>
      <c r="H304" s="1062"/>
    </row>
    <row r="305" spans="1:8" ht="12.75" hidden="1">
      <c r="A305" s="1053"/>
      <c r="B305" s="1075" t="s">
        <v>1132</v>
      </c>
      <c r="C305" s="1060">
        <f>_xlfn.IFERROR(VLOOKUP(B305,'[1]ПО КОРИСНИЦИМА'!$C$3:$J$11609,5,FALSE),"")</f>
      </c>
      <c r="D305" s="1064" t="e">
        <f>SUMIF('[1]ПО КОРИСНИЦИМА'!$G$3:$G$11609,"Свега за пројекат 2002-П25:",'[1]ПО КОРИСНИЦИМА'!$H$3:$H$11609)</f>
        <v>#VALUE!</v>
      </c>
      <c r="E305" s="1058" t="e">
        <f t="shared" si="9"/>
        <v>#VALUE!</v>
      </c>
      <c r="F305" s="1065" t="e">
        <f>SUMIF('[1]ПО КОРИСНИЦИМА'!$G$3:$G$11609,"Свега за пројекат 2002-П25:",'[1]ПО КОРИСНИЦИМА'!$I$3:$I$11609)</f>
        <v>#VALUE!</v>
      </c>
      <c r="G305" s="1061" t="e">
        <f t="shared" si="8"/>
        <v>#VALUE!</v>
      </c>
      <c r="H305" s="1062"/>
    </row>
    <row r="306" spans="1:8" ht="12.75" hidden="1">
      <c r="A306" s="1075"/>
      <c r="B306" s="1075" t="s">
        <v>1133</v>
      </c>
      <c r="C306" s="1060">
        <f>_xlfn.IFERROR(VLOOKUP(B306,'[1]ПО КОРИСНИЦИМА'!$C$3:$J$11609,5,FALSE),"")</f>
      </c>
      <c r="D306" s="1064" t="e">
        <f>SUMIF('[1]ПО КОРИСНИЦИМА'!$G$3:$G$11609,"Свега за пројекат 2002-П26:",'[1]ПО КОРИСНИЦИМА'!$H$3:$H$11609)</f>
        <v>#VALUE!</v>
      </c>
      <c r="E306" s="1058" t="e">
        <f t="shared" si="9"/>
        <v>#VALUE!</v>
      </c>
      <c r="F306" s="1065" t="e">
        <f>SUMIF('[1]ПО КОРИСНИЦИМА'!$G$3:$G$11609,"Свега за пројекат 2002-П26:",'[1]ПО КОРИСНИЦИМА'!$I$3:$I$11609)</f>
        <v>#VALUE!</v>
      </c>
      <c r="G306" s="1061" t="e">
        <f t="shared" si="8"/>
        <v>#VALUE!</v>
      </c>
      <c r="H306" s="1062"/>
    </row>
    <row r="307" spans="1:8" ht="12.75" hidden="1">
      <c r="A307" s="1075"/>
      <c r="B307" s="1075" t="s">
        <v>1134</v>
      </c>
      <c r="C307" s="1060">
        <f>_xlfn.IFERROR(VLOOKUP(B307,'[1]ПО КОРИСНИЦИМА'!$C$3:$J$11609,5,FALSE),"")</f>
      </c>
      <c r="D307" s="1064" t="e">
        <f>SUMIF('[1]ПО КОРИСНИЦИМА'!$G$3:$G$11609,"Свега за пројекат 2002-П27:",'[1]ПО КОРИСНИЦИМА'!$H$3:$H$11609)</f>
        <v>#VALUE!</v>
      </c>
      <c r="E307" s="1058" t="e">
        <f t="shared" si="9"/>
        <v>#VALUE!</v>
      </c>
      <c r="F307" s="1065" t="e">
        <f>SUMIF('[1]ПО КОРИСНИЦИМА'!$G$3:$G$11609,"Свега за пројекат 2002-П27:",'[1]ПО КОРИСНИЦИМА'!$I$3:$I$11609)</f>
        <v>#VALUE!</v>
      </c>
      <c r="G307" s="1061" t="e">
        <f t="shared" si="8"/>
        <v>#VALUE!</v>
      </c>
      <c r="H307" s="1062"/>
    </row>
    <row r="308" spans="1:8" ht="12.75" hidden="1">
      <c r="A308" s="1075"/>
      <c r="B308" s="1075" t="s">
        <v>1135</v>
      </c>
      <c r="C308" s="1060">
        <f>_xlfn.IFERROR(VLOOKUP(B308,'[1]ПО КОРИСНИЦИМА'!$C$3:$J$11609,5,FALSE),"")</f>
      </c>
      <c r="D308" s="1064" t="e">
        <f>SUMIF('[1]ПО КОРИСНИЦИМА'!$G$3:$G$11609,"Свега за пројекат 2002-П28:",'[1]ПО КОРИСНИЦИМА'!$H$3:$H$11609)</f>
        <v>#VALUE!</v>
      </c>
      <c r="E308" s="1058" t="e">
        <f t="shared" si="9"/>
        <v>#VALUE!</v>
      </c>
      <c r="F308" s="1065" t="e">
        <f>SUMIF('[1]ПО КОРИСНИЦИМА'!$G$3:$G$11609,"Свега за пројекат 2002-П28:",'[1]ПО КОРИСНИЦИМА'!$I$3:$I$11609)</f>
        <v>#VALUE!</v>
      </c>
      <c r="G308" s="1061" t="e">
        <f t="shared" si="8"/>
        <v>#VALUE!</v>
      </c>
      <c r="H308" s="1062"/>
    </row>
    <row r="309" spans="1:8" ht="12.75" hidden="1">
      <c r="A309" s="1075"/>
      <c r="B309" s="1075" t="s">
        <v>1136</v>
      </c>
      <c r="C309" s="1060">
        <f>_xlfn.IFERROR(VLOOKUP(B309,'[1]ПО КОРИСНИЦИМА'!$C$3:$J$11609,5,FALSE),"")</f>
      </c>
      <c r="D309" s="1064" t="e">
        <f>SUMIF('[1]ПО КОРИСНИЦИМА'!$G$3:$G$11609,"Свега за пројекат 2002-П29:",'[1]ПО КОРИСНИЦИМА'!$H$3:$H$11609)</f>
        <v>#VALUE!</v>
      </c>
      <c r="E309" s="1058" t="e">
        <f t="shared" si="9"/>
        <v>#VALUE!</v>
      </c>
      <c r="F309" s="1065" t="e">
        <f>SUMIF('[1]ПО КОРИСНИЦИМА'!$G$3:$G$11609,"Свега за пројекат 2002-П29:",'[1]ПО КОРИСНИЦИМА'!$I$3:$I$11609)</f>
        <v>#VALUE!</v>
      </c>
      <c r="G309" s="1061" t="e">
        <f t="shared" si="8"/>
        <v>#VALUE!</v>
      </c>
      <c r="H309" s="1062"/>
    </row>
    <row r="310" spans="1:8" ht="12.75" hidden="1">
      <c r="A310" s="1075"/>
      <c r="B310" s="1075" t="s">
        <v>1137</v>
      </c>
      <c r="C310" s="1060">
        <f>_xlfn.IFERROR(VLOOKUP(B310,'[1]ПО КОРИСНИЦИМА'!$C$3:$J$11609,5,FALSE),"")</f>
      </c>
      <c r="D310" s="1064" t="e">
        <f>SUMIF('[1]ПО КОРИСНИЦИМА'!$G$3:$G$11609,"Свега за пројекат 2002-П30:",'[1]ПО КОРИСНИЦИМА'!$H$3:$H$11609)</f>
        <v>#VALUE!</v>
      </c>
      <c r="E310" s="1058" t="e">
        <f t="shared" si="9"/>
        <v>#VALUE!</v>
      </c>
      <c r="F310" s="1065" t="e">
        <f>SUMIF('[1]ПО КОРИСНИЦИМА'!$G$3:$G$11609,"Свега за пројекат 2002-П30:",'[1]ПО КОРИСНИЦИМА'!$I$3:$I$11609)</f>
        <v>#VALUE!</v>
      </c>
      <c r="G310" s="1061" t="e">
        <f t="shared" si="8"/>
        <v>#VALUE!</v>
      </c>
      <c r="H310" s="1062"/>
    </row>
    <row r="311" spans="1:8" s="325" customFormat="1" ht="12.75">
      <c r="A311" s="1054" t="s">
        <v>296</v>
      </c>
      <c r="B311" s="1055"/>
      <c r="C311" s="1056" t="s">
        <v>1291</v>
      </c>
      <c r="D311" s="1057">
        <f>SUM(D312:D322)</f>
        <v>5437550</v>
      </c>
      <c r="E311" s="1058">
        <f t="shared" si="9"/>
        <v>0.012228645671133085</v>
      </c>
      <c r="F311" s="1057">
        <f>SUM(F312:F322)</f>
        <v>0</v>
      </c>
      <c r="G311" s="1057">
        <f t="shared" si="8"/>
        <v>5437550</v>
      </c>
      <c r="H311" s="1072"/>
    </row>
    <row r="312" spans="1:8" ht="12.75">
      <c r="A312" s="1083"/>
      <c r="B312" s="1075" t="s">
        <v>299</v>
      </c>
      <c r="C312" s="1074" t="s">
        <v>329</v>
      </c>
      <c r="D312" s="1061">
        <f>'Rashodi-2020'!M199</f>
        <v>5437550</v>
      </c>
      <c r="E312" s="1181">
        <f t="shared" si="9"/>
        <v>0.012228645671133085</v>
      </c>
      <c r="F312" s="1063">
        <f>'Rashodi-2020'!T199</f>
        <v>0</v>
      </c>
      <c r="G312" s="1061">
        <f t="shared" si="8"/>
        <v>5437550</v>
      </c>
      <c r="H312" s="1062" t="s">
        <v>1314</v>
      </c>
    </row>
    <row r="313" spans="1:8" ht="12.75" hidden="1">
      <c r="A313" s="1075"/>
      <c r="B313" s="1075" t="s">
        <v>1138</v>
      </c>
      <c r="C313" s="1060">
        <f>_xlfn.IFERROR(VLOOKUP(B313,'[1]ПО КОРИСНИЦИМА'!$C$3:$J$11609,5,FALSE),"")</f>
      </c>
      <c r="D313" s="1064"/>
      <c r="E313" s="1058">
        <f t="shared" si="9"/>
        <v>0</v>
      </c>
      <c r="F313" s="1065"/>
      <c r="G313" s="1061">
        <f t="shared" si="8"/>
        <v>0</v>
      </c>
      <c r="H313" s="1062"/>
    </row>
    <row r="314" spans="1:8" ht="12.75" hidden="1">
      <c r="A314" s="1075"/>
      <c r="B314" s="1075" t="s">
        <v>1139</v>
      </c>
      <c r="C314" s="1060">
        <f>_xlfn.IFERROR(VLOOKUP(B314,'[1]ПО КОРИСНИЦИМА'!$C$3:$J$11609,5,FALSE),"")</f>
      </c>
      <c r="D314" s="1064"/>
      <c r="E314" s="1058">
        <f t="shared" si="9"/>
        <v>0</v>
      </c>
      <c r="F314" s="1065"/>
      <c r="G314" s="1061">
        <f t="shared" si="8"/>
        <v>0</v>
      </c>
      <c r="H314" s="1062"/>
    </row>
    <row r="315" spans="1:8" ht="12.75" hidden="1">
      <c r="A315" s="1075"/>
      <c r="B315" s="1075" t="s">
        <v>1140</v>
      </c>
      <c r="C315" s="1060">
        <f>_xlfn.IFERROR(VLOOKUP(B315,'[1]ПО КОРИСНИЦИМА'!$C$3:$J$11609,5,FALSE),"")</f>
      </c>
      <c r="D315" s="1064"/>
      <c r="E315" s="1058">
        <f t="shared" si="9"/>
        <v>0</v>
      </c>
      <c r="F315" s="1065"/>
      <c r="G315" s="1061">
        <f t="shared" si="8"/>
        <v>0</v>
      </c>
      <c r="H315" s="1062"/>
    </row>
    <row r="316" spans="1:8" ht="12.75" hidden="1">
      <c r="A316" s="1075"/>
      <c r="B316" s="1075" t="s">
        <v>1141</v>
      </c>
      <c r="C316" s="1060">
        <f>_xlfn.IFERROR(VLOOKUP(B316,'[1]ПО КОРИСНИЦИМА'!$C$3:$J$11609,5,FALSE),"")</f>
      </c>
      <c r="D316" s="1064"/>
      <c r="E316" s="1058">
        <f t="shared" si="9"/>
        <v>0</v>
      </c>
      <c r="F316" s="1065"/>
      <c r="G316" s="1061">
        <f t="shared" si="8"/>
        <v>0</v>
      </c>
      <c r="H316" s="1062"/>
    </row>
    <row r="317" spans="1:8" ht="12.75" hidden="1">
      <c r="A317" s="1075"/>
      <c r="B317" s="1075" t="s">
        <v>1142</v>
      </c>
      <c r="C317" s="1060">
        <f>_xlfn.IFERROR(VLOOKUP(B317,'[1]ПО КОРИСНИЦИМА'!$C$3:$J$11609,5,FALSE),"")</f>
      </c>
      <c r="D317" s="1064"/>
      <c r="E317" s="1058">
        <f t="shared" si="9"/>
        <v>0</v>
      </c>
      <c r="F317" s="1065"/>
      <c r="G317" s="1061">
        <f t="shared" si="8"/>
        <v>0</v>
      </c>
      <c r="H317" s="1062"/>
    </row>
    <row r="318" spans="1:8" ht="12.75" hidden="1">
      <c r="A318" s="1075"/>
      <c r="B318" s="1075" t="s">
        <v>1143</v>
      </c>
      <c r="C318" s="1060">
        <f>_xlfn.IFERROR(VLOOKUP(B318,'[1]ПО КОРИСНИЦИМА'!$C$3:$J$11609,5,FALSE),"")</f>
      </c>
      <c r="D318" s="1064"/>
      <c r="E318" s="1058">
        <f t="shared" si="9"/>
        <v>0</v>
      </c>
      <c r="F318" s="1065"/>
      <c r="G318" s="1061">
        <f t="shared" si="8"/>
        <v>0</v>
      </c>
      <c r="H318" s="1062"/>
    </row>
    <row r="319" spans="1:8" ht="12.75" hidden="1">
      <c r="A319" s="1075"/>
      <c r="B319" s="1075" t="s">
        <v>1144</v>
      </c>
      <c r="C319" s="1060">
        <f>_xlfn.IFERROR(VLOOKUP(B319,'[1]ПО КОРИСНИЦИМА'!$C$3:$J$11609,5,FALSE),"")</f>
      </c>
      <c r="D319" s="1064"/>
      <c r="E319" s="1058">
        <f t="shared" si="9"/>
        <v>0</v>
      </c>
      <c r="F319" s="1065"/>
      <c r="G319" s="1061">
        <f t="shared" si="8"/>
        <v>0</v>
      </c>
      <c r="H319" s="1062"/>
    </row>
    <row r="320" spans="1:8" ht="12.75" hidden="1">
      <c r="A320" s="1075"/>
      <c r="B320" s="1075" t="s">
        <v>1145</v>
      </c>
      <c r="C320" s="1060">
        <f>_xlfn.IFERROR(VLOOKUP(B320,'[1]ПО КОРИСНИЦИМА'!$C$3:$J$11609,5,FALSE),"")</f>
      </c>
      <c r="D320" s="1064"/>
      <c r="E320" s="1058">
        <f t="shared" si="9"/>
        <v>0</v>
      </c>
      <c r="F320" s="1065"/>
      <c r="G320" s="1061">
        <f t="shared" si="8"/>
        <v>0</v>
      </c>
      <c r="H320" s="1062"/>
    </row>
    <row r="321" spans="1:8" ht="12.75" hidden="1">
      <c r="A321" s="1075"/>
      <c r="B321" s="1075" t="s">
        <v>1146</v>
      </c>
      <c r="C321" s="1060">
        <f>_xlfn.IFERROR(VLOOKUP(B321,'[1]ПО КОРИСНИЦИМА'!$C$3:$J$11609,5,FALSE),"")</f>
      </c>
      <c r="D321" s="1064"/>
      <c r="E321" s="1058">
        <f t="shared" si="9"/>
        <v>0</v>
      </c>
      <c r="F321" s="1065"/>
      <c r="G321" s="1061">
        <f t="shared" si="8"/>
        <v>0</v>
      </c>
      <c r="H321" s="1062"/>
    </row>
    <row r="322" spans="1:8" ht="12.75" hidden="1">
      <c r="A322" s="1075"/>
      <c r="B322" s="1075" t="s">
        <v>1147</v>
      </c>
      <c r="C322" s="1060">
        <f>_xlfn.IFERROR(VLOOKUP(B322,'[1]ПО КОРИСНИЦИМА'!$C$3:$J$11609,5,FALSE),"")</f>
      </c>
      <c r="D322" s="1064"/>
      <c r="E322" s="1058">
        <f t="shared" si="9"/>
        <v>0</v>
      </c>
      <c r="F322" s="1065"/>
      <c r="G322" s="1061">
        <f t="shared" si="8"/>
        <v>0</v>
      </c>
      <c r="H322" s="1062"/>
    </row>
    <row r="323" spans="1:8" ht="12.75" hidden="1">
      <c r="A323" s="1075"/>
      <c r="B323" s="1075" t="s">
        <v>1148</v>
      </c>
      <c r="C323" s="1060">
        <f>_xlfn.IFERROR(VLOOKUP(B323,'[1]ПО КОРИСНИЦИМА'!$C$3:$J$11609,5,FALSE),"")</f>
      </c>
      <c r="D323" s="1064" t="e">
        <f>SUMIF('[1]ПО КОРИСНИЦИМА'!$G$3:$G$11609,"Свега за пројекат 2003-П11:",'[1]ПО КОРИСНИЦИМА'!$H$3:$H$11609)</f>
        <v>#VALUE!</v>
      </c>
      <c r="E323" s="1058" t="e">
        <f t="shared" si="9"/>
        <v>#VALUE!</v>
      </c>
      <c r="F323" s="1065" t="e">
        <f>SUMIF('[1]ПО КОРИСНИЦИМА'!$G$3:$G$11609,"Свега за пројекат 2003-П11:",'[1]ПО КОРИСНИЦИМА'!$I$3:$I$11609)</f>
        <v>#VALUE!</v>
      </c>
      <c r="G323" s="1061" t="e">
        <f t="shared" si="8"/>
        <v>#VALUE!</v>
      </c>
      <c r="H323" s="1062"/>
    </row>
    <row r="324" spans="1:8" ht="12.75" hidden="1">
      <c r="A324" s="1075"/>
      <c r="B324" s="1075" t="s">
        <v>1149</v>
      </c>
      <c r="C324" s="1060">
        <f>_xlfn.IFERROR(VLOOKUP(B324,'[1]ПО КОРИСНИЦИМА'!$C$3:$J$11609,5,FALSE),"")</f>
      </c>
      <c r="D324" s="1064" t="e">
        <f>SUMIF('[1]ПО КОРИСНИЦИМА'!$G$3:$G$11609,"Свега за пројекат 2003-П12:",'[1]ПО КОРИСНИЦИМА'!$H$3:$H$11609)</f>
        <v>#VALUE!</v>
      </c>
      <c r="E324" s="1058" t="e">
        <f t="shared" si="9"/>
        <v>#VALUE!</v>
      </c>
      <c r="F324" s="1065" t="e">
        <f>SUMIF('[1]ПО КОРИСНИЦИМА'!$G$3:$G$11609,"Свега за пројекат 2003-П12:",'[1]ПО КОРИСНИЦИМА'!$I$3:$I$11609)</f>
        <v>#VALUE!</v>
      </c>
      <c r="G324" s="1061" t="e">
        <f t="shared" si="8"/>
        <v>#VALUE!</v>
      </c>
      <c r="H324" s="1062"/>
    </row>
    <row r="325" spans="1:8" ht="12.75" hidden="1">
      <c r="A325" s="1075"/>
      <c r="B325" s="1075" t="s">
        <v>1150</v>
      </c>
      <c r="C325" s="1060">
        <f>_xlfn.IFERROR(VLOOKUP(B325,'[1]ПО КОРИСНИЦИМА'!$C$3:$J$11609,5,FALSE),"")</f>
      </c>
      <c r="D325" s="1064" t="e">
        <f>SUMIF('[1]ПО КОРИСНИЦИМА'!$G$3:$G$11609,"Свега за пројекат 2003-П13:",'[1]ПО КОРИСНИЦИМА'!$H$3:$H$11609)</f>
        <v>#VALUE!</v>
      </c>
      <c r="E325" s="1058" t="e">
        <f t="shared" si="9"/>
        <v>#VALUE!</v>
      </c>
      <c r="F325" s="1065" t="e">
        <f>SUMIF('[1]ПО КОРИСНИЦИМА'!$G$3:$G$11609,"Свега за пројекат 2003-П13:",'[1]ПО КОРИСНИЦИМА'!$I$3:$I$11609)</f>
        <v>#VALUE!</v>
      </c>
      <c r="G325" s="1061" t="e">
        <f aca="true" t="shared" si="10" ref="G325:G389">D325+F325</f>
        <v>#VALUE!</v>
      </c>
      <c r="H325" s="1062"/>
    </row>
    <row r="326" spans="1:8" ht="12.75" hidden="1">
      <c r="A326" s="1075"/>
      <c r="B326" s="1075" t="s">
        <v>1151</v>
      </c>
      <c r="C326" s="1060">
        <f>_xlfn.IFERROR(VLOOKUP(B326,'[1]ПО КОРИСНИЦИМА'!$C$3:$J$11609,5,FALSE),"")</f>
      </c>
      <c r="D326" s="1064" t="e">
        <f>SUMIF('[1]ПО КОРИСНИЦИМА'!$G$3:$G$11609,"Свега за пројекат 2003-П14:",'[1]ПО КОРИСНИЦИМА'!$H$3:$H$11609)</f>
        <v>#VALUE!</v>
      </c>
      <c r="E326" s="1058" t="e">
        <f aca="true" t="shared" si="11" ref="E326:E389">D326/444656763</f>
        <v>#VALUE!</v>
      </c>
      <c r="F326" s="1065" t="e">
        <f>SUMIF('[1]ПО КОРИСНИЦИМА'!$G$3:$G$11609,"Свега за пројекат 2003-П14:",'[1]ПО КОРИСНИЦИМА'!$I$3:$I$11609)</f>
        <v>#VALUE!</v>
      </c>
      <c r="G326" s="1061" t="e">
        <f t="shared" si="10"/>
        <v>#VALUE!</v>
      </c>
      <c r="H326" s="1062"/>
    </row>
    <row r="327" spans="1:8" ht="12.75" hidden="1">
      <c r="A327" s="1075"/>
      <c r="B327" s="1075" t="s">
        <v>1152</v>
      </c>
      <c r="C327" s="1060">
        <f>_xlfn.IFERROR(VLOOKUP(B327,'[1]ПО КОРИСНИЦИМА'!$C$3:$J$11609,5,FALSE),"")</f>
      </c>
      <c r="D327" s="1064" t="e">
        <f>SUMIF('[1]ПО КОРИСНИЦИМА'!$G$3:$G$11609,"Свега за пројекат 2003-П15:",'[1]ПО КОРИСНИЦИМА'!$H$3:$H$11609)</f>
        <v>#VALUE!</v>
      </c>
      <c r="E327" s="1058" t="e">
        <f t="shared" si="11"/>
        <v>#VALUE!</v>
      </c>
      <c r="F327" s="1065" t="e">
        <f>SUMIF('[1]ПО КОРИСНИЦИМА'!$G$3:$G$11609,"Свега за пројекат 2003-П15:",'[1]ПО КОРИСНИЦИМА'!$I$3:$I$11609)</f>
        <v>#VALUE!</v>
      </c>
      <c r="G327" s="1061" t="e">
        <f t="shared" si="10"/>
        <v>#VALUE!</v>
      </c>
      <c r="H327" s="1062"/>
    </row>
    <row r="328" spans="1:8" ht="12.75" hidden="1">
      <c r="A328" s="1075"/>
      <c r="B328" s="1075" t="s">
        <v>1153</v>
      </c>
      <c r="C328" s="1060">
        <f>_xlfn.IFERROR(VLOOKUP(B328,'[1]ПО КОРИСНИЦИМА'!$C$3:$J$11609,5,FALSE),"")</f>
      </c>
      <c r="D328" s="1064" t="e">
        <f>SUMIF('[1]ПО КОРИСНИЦИМА'!$G$3:$G$11609,"Свега за пројекат 2003-П16:",'[1]ПО КОРИСНИЦИМА'!$H$3:$H$11609)</f>
        <v>#VALUE!</v>
      </c>
      <c r="E328" s="1058" t="e">
        <f t="shared" si="11"/>
        <v>#VALUE!</v>
      </c>
      <c r="F328" s="1065" t="e">
        <f>SUMIF('[1]ПО КОРИСНИЦИМА'!$G$3:$G$11609,"Свега за пројекат 2003-П16:",'[1]ПО КОРИСНИЦИМА'!$I$3:$I$11609)</f>
        <v>#VALUE!</v>
      </c>
      <c r="G328" s="1061" t="e">
        <f t="shared" si="10"/>
        <v>#VALUE!</v>
      </c>
      <c r="H328" s="1062"/>
    </row>
    <row r="329" spans="1:8" ht="12.75" hidden="1">
      <c r="A329" s="1075"/>
      <c r="B329" s="1075" t="s">
        <v>1154</v>
      </c>
      <c r="C329" s="1060">
        <f>_xlfn.IFERROR(VLOOKUP(B329,'[1]ПО КОРИСНИЦИМА'!$C$3:$J$11609,5,FALSE),"")</f>
      </c>
      <c r="D329" s="1064" t="e">
        <f>SUMIF('[1]ПО КОРИСНИЦИМА'!$G$3:$G$11609,"Свега за пројекат 2003-П17:",'[1]ПО КОРИСНИЦИМА'!$H$3:$H$11609)</f>
        <v>#VALUE!</v>
      </c>
      <c r="E329" s="1058" t="e">
        <f t="shared" si="11"/>
        <v>#VALUE!</v>
      </c>
      <c r="F329" s="1065" t="e">
        <f>SUMIF('[1]ПО КОРИСНИЦИМА'!$G$3:$G$11609,"Свега за пројекат 2003-П17:",'[1]ПО КОРИСНИЦИМА'!$I$3:$I$11609)</f>
        <v>#VALUE!</v>
      </c>
      <c r="G329" s="1061" t="e">
        <f t="shared" si="10"/>
        <v>#VALUE!</v>
      </c>
      <c r="H329" s="1062"/>
    </row>
    <row r="330" spans="1:8" ht="12.75" hidden="1">
      <c r="A330" s="1075"/>
      <c r="B330" s="1075" t="s">
        <v>1155</v>
      </c>
      <c r="C330" s="1060">
        <f>_xlfn.IFERROR(VLOOKUP(B330,'[1]ПО КОРИСНИЦИМА'!$C$3:$J$11609,5,FALSE),"")</f>
      </c>
      <c r="D330" s="1064" t="e">
        <f>SUMIF('[1]ПО КОРИСНИЦИМА'!$G$3:$G$11609,"Свега за пројекат 2003-П18:",'[1]ПО КОРИСНИЦИМА'!$H$3:$H$11609)</f>
        <v>#VALUE!</v>
      </c>
      <c r="E330" s="1058" t="e">
        <f t="shared" si="11"/>
        <v>#VALUE!</v>
      </c>
      <c r="F330" s="1065" t="e">
        <f>SUMIF('[1]ПО КОРИСНИЦИМА'!$G$3:$G$11609,"Свега за пројекат 2003-П18:",'[1]ПО КОРИСНИЦИМА'!$I$3:$I$11609)</f>
        <v>#VALUE!</v>
      </c>
      <c r="G330" s="1061" t="e">
        <f t="shared" si="10"/>
        <v>#VALUE!</v>
      </c>
      <c r="H330" s="1062"/>
    </row>
    <row r="331" spans="1:8" ht="12.75" hidden="1">
      <c r="A331" s="1075"/>
      <c r="B331" s="1075" t="s">
        <v>1156</v>
      </c>
      <c r="C331" s="1060">
        <f>_xlfn.IFERROR(VLOOKUP(B331,'[1]ПО КОРИСНИЦИМА'!$C$3:$J$11609,5,FALSE),"")</f>
      </c>
      <c r="D331" s="1064" t="e">
        <f>SUMIF('[1]ПО КОРИСНИЦИМА'!$G$3:$G$11609,"Свега за пројекат 2003-П19:",'[1]ПО КОРИСНИЦИМА'!$H$3:$H$11609)</f>
        <v>#VALUE!</v>
      </c>
      <c r="E331" s="1058" t="e">
        <f t="shared" si="11"/>
        <v>#VALUE!</v>
      </c>
      <c r="F331" s="1065" t="e">
        <f>SUMIF('[1]ПО КОРИСНИЦИМА'!$G$3:$G$11609,"Свега за пројекат 2003-П19:",'[1]ПО КОРИСНИЦИМА'!$I$3:$I$11609)</f>
        <v>#VALUE!</v>
      </c>
      <c r="G331" s="1061" t="e">
        <f t="shared" si="10"/>
        <v>#VALUE!</v>
      </c>
      <c r="H331" s="1062"/>
    </row>
    <row r="332" spans="1:8" ht="12.75" hidden="1">
      <c r="A332" s="1075"/>
      <c r="B332" s="1075" t="s">
        <v>1157</v>
      </c>
      <c r="C332" s="1060">
        <f>_xlfn.IFERROR(VLOOKUP(B332,'[1]ПО КОРИСНИЦИМА'!$C$3:$J$11609,5,FALSE),"")</f>
      </c>
      <c r="D332" s="1064" t="e">
        <f>SUMIF('[1]ПО КОРИСНИЦИМА'!$G$3:$G$11609,"Свега за пројекат 2003-П20:",'[1]ПО КОРИСНИЦИМА'!$H$3:$H$11609)</f>
        <v>#VALUE!</v>
      </c>
      <c r="E332" s="1058" t="e">
        <f t="shared" si="11"/>
        <v>#VALUE!</v>
      </c>
      <c r="F332" s="1065" t="e">
        <f>SUMIF('[1]ПО КОРИСНИЦИМА'!$G$3:$G$11609,"Свега за пројекат 2003-П20:",'[1]ПО КОРИСНИЦИМА'!$I$3:$I$11609)</f>
        <v>#VALUE!</v>
      </c>
      <c r="G332" s="1061" t="e">
        <f t="shared" si="10"/>
        <v>#VALUE!</v>
      </c>
      <c r="H332" s="1062"/>
    </row>
    <row r="333" spans="1:8" ht="12.75" hidden="1">
      <c r="A333" s="1075"/>
      <c r="B333" s="1075" t="s">
        <v>1158</v>
      </c>
      <c r="C333" s="1060">
        <f>_xlfn.IFERROR(VLOOKUP(B333,'[1]ПО КОРИСНИЦИМА'!$C$3:$J$11609,5,FALSE),"")</f>
      </c>
      <c r="D333" s="1064" t="e">
        <f>SUMIF('[1]ПО КОРИСНИЦИМА'!$G$3:$G$11609,"Свега за пројекат 2003-П21:",'[1]ПО КОРИСНИЦИМА'!$H$3:$H$11609)</f>
        <v>#VALUE!</v>
      </c>
      <c r="E333" s="1058" t="e">
        <f t="shared" si="11"/>
        <v>#VALUE!</v>
      </c>
      <c r="F333" s="1065" t="e">
        <f>SUMIF('[1]ПО КОРИСНИЦИМА'!$G$3:$G$11609,"Свега за пројекат 2003-П21:",'[1]ПО КОРИСНИЦИМА'!$I$3:$I$11609)</f>
        <v>#VALUE!</v>
      </c>
      <c r="G333" s="1061" t="e">
        <f t="shared" si="10"/>
        <v>#VALUE!</v>
      </c>
      <c r="H333" s="1062"/>
    </row>
    <row r="334" spans="1:8" ht="12.75" hidden="1">
      <c r="A334" s="1075"/>
      <c r="B334" s="1075" t="s">
        <v>1159</v>
      </c>
      <c r="C334" s="1060">
        <f>_xlfn.IFERROR(VLOOKUP(B334,'[1]ПО КОРИСНИЦИМА'!$C$3:$J$11609,5,FALSE),"")</f>
      </c>
      <c r="D334" s="1064" t="e">
        <f>SUMIF('[1]ПО КОРИСНИЦИМА'!$G$3:$G$11609,"Свега за пројекат 2003-П22:",'[1]ПО КОРИСНИЦИМА'!$H$3:$H$11609)</f>
        <v>#VALUE!</v>
      </c>
      <c r="E334" s="1058" t="e">
        <f t="shared" si="11"/>
        <v>#VALUE!</v>
      </c>
      <c r="F334" s="1065" t="e">
        <f>SUMIF('[1]ПО КОРИСНИЦИМА'!$G$3:$G$11609,"Свега за пројекат 2003-П22:",'[1]ПО КОРИСНИЦИМА'!$I$3:$I$11609)</f>
        <v>#VALUE!</v>
      </c>
      <c r="G334" s="1061" t="e">
        <f t="shared" si="10"/>
        <v>#VALUE!</v>
      </c>
      <c r="H334" s="1062"/>
    </row>
    <row r="335" spans="1:8" ht="12.75" hidden="1">
      <c r="A335" s="1075"/>
      <c r="B335" s="1075" t="s">
        <v>1160</v>
      </c>
      <c r="C335" s="1060">
        <f>_xlfn.IFERROR(VLOOKUP(B335,'[1]ПО КОРИСНИЦИМА'!$C$3:$J$11609,5,FALSE),"")</f>
      </c>
      <c r="D335" s="1064" t="e">
        <f>SUMIF('[1]ПО КОРИСНИЦИМА'!$G$3:$G$11609,"Свега за пројекат 2003-П23:",'[1]ПО КОРИСНИЦИМА'!$H$3:$H$11609)</f>
        <v>#VALUE!</v>
      </c>
      <c r="E335" s="1058" t="e">
        <f t="shared" si="11"/>
        <v>#VALUE!</v>
      </c>
      <c r="F335" s="1065" t="e">
        <f>SUMIF('[1]ПО КОРИСНИЦИМА'!$G$3:$G$11609,"Свега за пројекат 2003-П23:",'[1]ПО КОРИСНИЦИМА'!$I$3:$I$11609)</f>
        <v>#VALUE!</v>
      </c>
      <c r="G335" s="1061" t="e">
        <f t="shared" si="10"/>
        <v>#VALUE!</v>
      </c>
      <c r="H335" s="1062"/>
    </row>
    <row r="336" spans="1:8" ht="12.75" hidden="1">
      <c r="A336" s="1075"/>
      <c r="B336" s="1075" t="s">
        <v>1161</v>
      </c>
      <c r="C336" s="1060">
        <f>_xlfn.IFERROR(VLOOKUP(B336,'[1]ПО КОРИСНИЦИМА'!$C$3:$J$11609,5,FALSE),"")</f>
      </c>
      <c r="D336" s="1064" t="e">
        <f>SUMIF('[1]ПО КОРИСНИЦИМА'!$G$3:$G$11609,"Свега за пројекат 2003-П24:",'[1]ПО КОРИСНИЦИМА'!$H$3:$H$11609)</f>
        <v>#VALUE!</v>
      </c>
      <c r="E336" s="1058" t="e">
        <f t="shared" si="11"/>
        <v>#VALUE!</v>
      </c>
      <c r="F336" s="1065" t="e">
        <f>SUMIF('[1]ПО КОРИСНИЦИМА'!$G$3:$G$11609,"Свега за пројекат 2003-П24:",'[1]ПО КОРИСНИЦИМА'!$I$3:$I$11609)</f>
        <v>#VALUE!</v>
      </c>
      <c r="G336" s="1061" t="e">
        <f t="shared" si="10"/>
        <v>#VALUE!</v>
      </c>
      <c r="H336" s="1062"/>
    </row>
    <row r="337" spans="1:8" ht="12.75" hidden="1">
      <c r="A337" s="1075"/>
      <c r="B337" s="1075" t="s">
        <v>1162</v>
      </c>
      <c r="C337" s="1060">
        <f>_xlfn.IFERROR(VLOOKUP(B337,'[1]ПО КОРИСНИЦИМА'!$C$3:$J$11609,5,FALSE),"")</f>
      </c>
      <c r="D337" s="1064" t="e">
        <f>SUMIF('[1]ПО КОРИСНИЦИМА'!$G$3:$G$11609,"Свега за пројекат 2003-П25:",'[1]ПО КОРИСНИЦИМА'!$H$3:$H$11609)</f>
        <v>#VALUE!</v>
      </c>
      <c r="E337" s="1058" t="e">
        <f t="shared" si="11"/>
        <v>#VALUE!</v>
      </c>
      <c r="F337" s="1065" t="e">
        <f>SUMIF('[1]ПО КОРИСНИЦИМА'!$G$3:$G$11609,"Свега за пројекат 2003-П25:",'[1]ПО КОРИСНИЦИМА'!$I$3:$I$11609)</f>
        <v>#VALUE!</v>
      </c>
      <c r="G337" s="1061" t="e">
        <f t="shared" si="10"/>
        <v>#VALUE!</v>
      </c>
      <c r="H337" s="1062"/>
    </row>
    <row r="338" spans="1:8" ht="12.75" hidden="1">
      <c r="A338" s="1075"/>
      <c r="B338" s="1075" t="s">
        <v>1163</v>
      </c>
      <c r="C338" s="1060">
        <f>_xlfn.IFERROR(VLOOKUP(B338,'[1]ПО КОРИСНИЦИМА'!$C$3:$J$11609,5,FALSE),"")</f>
      </c>
      <c r="D338" s="1064" t="e">
        <f>SUMIF('[1]ПО КОРИСНИЦИМА'!$G$3:$G$11609,"Свега за пројекат 2003-П26:",'[1]ПО КОРИСНИЦИМА'!$H$3:$H$11609)</f>
        <v>#VALUE!</v>
      </c>
      <c r="E338" s="1058" t="e">
        <f t="shared" si="11"/>
        <v>#VALUE!</v>
      </c>
      <c r="F338" s="1065" t="e">
        <f>SUMIF('[1]ПО КОРИСНИЦИМА'!$G$3:$G$11609,"Свега за пројекат 2003-П26:",'[1]ПО КОРИСНИЦИМА'!$I$3:$I$11609)</f>
        <v>#VALUE!</v>
      </c>
      <c r="G338" s="1061" t="e">
        <f t="shared" si="10"/>
        <v>#VALUE!</v>
      </c>
      <c r="H338" s="1062"/>
    </row>
    <row r="339" spans="1:8" ht="12.75" hidden="1">
      <c r="A339" s="1075"/>
      <c r="B339" s="1075" t="s">
        <v>1164</v>
      </c>
      <c r="C339" s="1060">
        <f>_xlfn.IFERROR(VLOOKUP(B339,'[1]ПО КОРИСНИЦИМА'!$C$3:$J$11609,5,FALSE),"")</f>
      </c>
      <c r="D339" s="1064" t="e">
        <f>SUMIF('[1]ПО КОРИСНИЦИМА'!$G$3:$G$11609,"Свега за пројекат 2003-П27:",'[1]ПО КОРИСНИЦИМА'!$H$3:$H$11609)</f>
        <v>#VALUE!</v>
      </c>
      <c r="E339" s="1058" t="e">
        <f t="shared" si="11"/>
        <v>#VALUE!</v>
      </c>
      <c r="F339" s="1065" t="e">
        <f>SUMIF('[1]ПО КОРИСНИЦИМА'!$G$3:$G$11609,"Свега за пројекат 2003-П27:",'[1]ПО КОРИСНИЦИМА'!$I$3:$I$11609)</f>
        <v>#VALUE!</v>
      </c>
      <c r="G339" s="1061" t="e">
        <f t="shared" si="10"/>
        <v>#VALUE!</v>
      </c>
      <c r="H339" s="1062"/>
    </row>
    <row r="340" spans="1:8" ht="12.75" hidden="1">
      <c r="A340" s="1075"/>
      <c r="B340" s="1075" t="s">
        <v>597</v>
      </c>
      <c r="C340" s="1060">
        <f>_xlfn.IFERROR(VLOOKUP(B340,'[1]ПО КОРИСНИЦИМА'!$C$3:$J$11609,5,FALSE),"")</f>
      </c>
      <c r="D340" s="1064" t="e">
        <f>SUMIF('[1]ПО КОРИСНИЦИМА'!$G$3:$G$11609,"Свега за пројекат 2003-П28:",'[1]ПО КОРИСНИЦИМА'!$H$3:$H$11609)</f>
        <v>#VALUE!</v>
      </c>
      <c r="E340" s="1058" t="e">
        <f t="shared" si="11"/>
        <v>#VALUE!</v>
      </c>
      <c r="F340" s="1065" t="e">
        <f>SUMIF('[1]ПО КОРИСНИЦИМА'!$G$3:$G$11609,"Свега за пројекат 2003-П28:",'[1]ПО КОРИСНИЦИМА'!$I$3:$I$11609)</f>
        <v>#VALUE!</v>
      </c>
      <c r="G340" s="1061" t="e">
        <f t="shared" si="10"/>
        <v>#VALUE!</v>
      </c>
      <c r="H340" s="1062"/>
    </row>
    <row r="341" spans="1:8" ht="12.75" hidden="1">
      <c r="A341" s="1075"/>
      <c r="B341" s="1075" t="s">
        <v>598</v>
      </c>
      <c r="C341" s="1060">
        <f>_xlfn.IFERROR(VLOOKUP(B341,'[1]ПО КОРИСНИЦИМА'!$C$3:$J$11609,5,FALSE),"")</f>
      </c>
      <c r="D341" s="1064" t="e">
        <f>SUMIF('[1]ПО КОРИСНИЦИМА'!$G$3:$G$11609,"Свега за пројекат 2003-П29:",'[1]ПО КОРИСНИЦИМА'!$H$3:$H$11609)</f>
        <v>#VALUE!</v>
      </c>
      <c r="E341" s="1058" t="e">
        <f t="shared" si="11"/>
        <v>#VALUE!</v>
      </c>
      <c r="F341" s="1065" t="e">
        <f>SUMIF('[1]ПО КОРИСНИЦИМА'!$G$3:$G$11609,"Свега за пројекат 2003-П29:",'[1]ПО КОРИСНИЦИМА'!$I$3:$I$11609)</f>
        <v>#VALUE!</v>
      </c>
      <c r="G341" s="1061" t="e">
        <f t="shared" si="10"/>
        <v>#VALUE!</v>
      </c>
      <c r="H341" s="1062"/>
    </row>
    <row r="342" spans="1:8" ht="12.75" hidden="1">
      <c r="A342" s="1075"/>
      <c r="B342" s="1075" t="s">
        <v>599</v>
      </c>
      <c r="C342" s="1060">
        <f>_xlfn.IFERROR(VLOOKUP(B342,'[1]ПО КОРИСНИЦИМА'!$C$3:$J$11609,5,FALSE),"")</f>
      </c>
      <c r="D342" s="1064" t="e">
        <f>SUMIF('[1]ПО КОРИСНИЦИМА'!$G$3:$G$11609,"Свега за пројекат 2003-П30:",'[1]ПО КОРИСНИЦИМА'!$H$3:$H$11609)</f>
        <v>#VALUE!</v>
      </c>
      <c r="E342" s="1058" t="e">
        <f t="shared" si="11"/>
        <v>#VALUE!</v>
      </c>
      <c r="F342" s="1065" t="e">
        <f>SUMIF('[1]ПО КОРИСНИЦИМА'!$G$3:$G$11609,"Свега за пројекат 2003-П30:",'[1]ПО КОРИСНИЦИМА'!$I$3:$I$11609)</f>
        <v>#VALUE!</v>
      </c>
      <c r="G342" s="1061" t="e">
        <f t="shared" si="10"/>
        <v>#VALUE!</v>
      </c>
      <c r="H342" s="1062"/>
    </row>
    <row r="343" spans="1:8" s="325" customFormat="1" ht="12.75">
      <c r="A343" s="1054" t="s">
        <v>302</v>
      </c>
      <c r="B343" s="1055"/>
      <c r="C343" s="1056" t="s">
        <v>6</v>
      </c>
      <c r="D343" s="1057">
        <f>SUM(D344:D349)</f>
        <v>51136000</v>
      </c>
      <c r="E343" s="1058">
        <f t="shared" si="11"/>
        <v>0.1150010620663831</v>
      </c>
      <c r="F343" s="1057">
        <f>SUM(F344:F349)</f>
        <v>3971372</v>
      </c>
      <c r="G343" s="1057">
        <f t="shared" si="10"/>
        <v>55107372</v>
      </c>
      <c r="H343" s="1072"/>
    </row>
    <row r="344" spans="1:8" ht="12.75">
      <c r="A344" s="1083"/>
      <c r="B344" s="1073" t="s">
        <v>303</v>
      </c>
      <c r="C344" s="1084" t="s">
        <v>1347</v>
      </c>
      <c r="D344" s="1061">
        <f>'Rashodi-2020'!M213</f>
        <v>6689000</v>
      </c>
      <c r="E344" s="1181">
        <f t="shared" si="11"/>
        <v>0.015043063676510414</v>
      </c>
      <c r="F344" s="1061">
        <f>'Rashodi-2020'!T213</f>
        <v>0</v>
      </c>
      <c r="G344" s="1085">
        <f t="shared" si="10"/>
        <v>6689000</v>
      </c>
      <c r="H344" s="1062" t="s">
        <v>1299</v>
      </c>
    </row>
    <row r="345" spans="1:8" ht="12.75" hidden="1">
      <c r="A345" s="1083"/>
      <c r="B345" s="1073" t="s">
        <v>858</v>
      </c>
      <c r="C345" s="1084" t="s">
        <v>859</v>
      </c>
      <c r="D345" s="1061"/>
      <c r="E345" s="1181">
        <f t="shared" si="11"/>
        <v>0</v>
      </c>
      <c r="F345" s="1061"/>
      <c r="G345" s="1085">
        <f t="shared" si="10"/>
        <v>0</v>
      </c>
      <c r="H345" s="1062"/>
    </row>
    <row r="346" spans="1:8" ht="12.75" hidden="1">
      <c r="A346" s="1083"/>
      <c r="B346" s="1073" t="s">
        <v>860</v>
      </c>
      <c r="C346" s="1084" t="s">
        <v>861</v>
      </c>
      <c r="D346" s="1061"/>
      <c r="E346" s="1181">
        <f t="shared" si="11"/>
        <v>0</v>
      </c>
      <c r="F346" s="1061"/>
      <c r="G346" s="1085">
        <f t="shared" si="10"/>
        <v>0</v>
      </c>
      <c r="H346" s="1062"/>
    </row>
    <row r="347" spans="1:8" ht="12.75">
      <c r="A347" s="1083"/>
      <c r="B347" s="1073" t="s">
        <v>860</v>
      </c>
      <c r="C347" s="1067" t="s">
        <v>1348</v>
      </c>
      <c r="D347" s="1068">
        <f>'Rashodi-2020'!M231</f>
        <v>25877000</v>
      </c>
      <c r="E347" s="1181">
        <f t="shared" si="11"/>
        <v>0.05819544905921065</v>
      </c>
      <c r="F347" s="1061">
        <f>'Rashodi-2020'!T231</f>
        <v>1492500</v>
      </c>
      <c r="G347" s="1085">
        <f t="shared" si="10"/>
        <v>27369500</v>
      </c>
      <c r="H347" s="1062" t="s">
        <v>1299</v>
      </c>
    </row>
    <row r="348" spans="1:8" ht="12.75">
      <c r="A348" s="1083"/>
      <c r="B348" s="1073" t="s">
        <v>310</v>
      </c>
      <c r="C348" s="1084" t="s">
        <v>1240</v>
      </c>
      <c r="D348" s="1061">
        <f>'Rashodi-2020'!M248</f>
        <v>4020000</v>
      </c>
      <c r="E348" s="1181">
        <f t="shared" si="11"/>
        <v>0.00904068111519986</v>
      </c>
      <c r="F348" s="1061">
        <f>'Rashodi-2020'!T248</f>
        <v>0</v>
      </c>
      <c r="G348" s="1085">
        <f t="shared" si="10"/>
        <v>4020000</v>
      </c>
      <c r="H348" s="1062" t="s">
        <v>1173</v>
      </c>
    </row>
    <row r="349" spans="1:8" ht="12.75">
      <c r="A349" s="1083"/>
      <c r="B349" s="1073" t="s">
        <v>312</v>
      </c>
      <c r="C349" s="1067" t="s">
        <v>1239</v>
      </c>
      <c r="D349" s="1068">
        <f>'Rashodi-2020'!M240</f>
        <v>14550000</v>
      </c>
      <c r="E349" s="1181">
        <f t="shared" si="11"/>
        <v>0.032721868215462184</v>
      </c>
      <c r="F349" s="1061">
        <f>'Rashodi-2020'!T240</f>
        <v>2478872</v>
      </c>
      <c r="G349" s="1085">
        <f t="shared" si="10"/>
        <v>17028872</v>
      </c>
      <c r="H349" s="1062" t="s">
        <v>1173</v>
      </c>
    </row>
    <row r="350" spans="1:8" ht="12.75" hidden="1">
      <c r="A350" s="1083"/>
      <c r="B350" s="1073" t="s">
        <v>601</v>
      </c>
      <c r="C350" s="1060">
        <f>_xlfn.IFERROR(VLOOKUP(B350,'[1]ПО КОРИСНИЦИМА'!$C$3:$J$11609,5,FALSE),"")</f>
      </c>
      <c r="D350" s="1064"/>
      <c r="E350" s="1058">
        <f t="shared" si="11"/>
        <v>0</v>
      </c>
      <c r="F350" s="1065"/>
      <c r="G350" s="1085">
        <f t="shared" si="10"/>
        <v>0</v>
      </c>
      <c r="H350" s="1062"/>
    </row>
    <row r="351" spans="1:8" ht="12.75" hidden="1">
      <c r="A351" s="1083"/>
      <c r="B351" s="1073" t="s">
        <v>602</v>
      </c>
      <c r="C351" s="1060">
        <f>_xlfn.IFERROR(VLOOKUP(B351,'[1]ПО КОРИСНИЦИМА'!$C$3:$J$11609,5,FALSE),"")</f>
      </c>
      <c r="D351" s="1064"/>
      <c r="E351" s="1058">
        <f t="shared" si="11"/>
        <v>0</v>
      </c>
      <c r="F351" s="1065"/>
      <c r="G351" s="1085">
        <f t="shared" si="10"/>
        <v>0</v>
      </c>
      <c r="H351" s="1062"/>
    </row>
    <row r="352" spans="1:8" ht="12.75" hidden="1">
      <c r="A352" s="1083"/>
      <c r="B352" s="1073" t="s">
        <v>603</v>
      </c>
      <c r="C352" s="1060">
        <f>_xlfn.IFERROR(VLOOKUP(B352,'[1]ПО КОРИСНИЦИМА'!$C$3:$J$11609,5,FALSE),"")</f>
      </c>
      <c r="D352" s="1064"/>
      <c r="E352" s="1058">
        <f t="shared" si="11"/>
        <v>0</v>
      </c>
      <c r="F352" s="1065"/>
      <c r="G352" s="1085">
        <f t="shared" si="10"/>
        <v>0</v>
      </c>
      <c r="H352" s="1062"/>
    </row>
    <row r="353" spans="1:8" ht="12.75" hidden="1">
      <c r="A353" s="1083"/>
      <c r="B353" s="1073" t="s">
        <v>604</v>
      </c>
      <c r="C353" s="1060">
        <f>_xlfn.IFERROR(VLOOKUP(B353,'[1]ПО КОРИСНИЦИМА'!$C$3:$J$11609,5,FALSE),"")</f>
      </c>
      <c r="D353" s="1064"/>
      <c r="E353" s="1058">
        <f t="shared" si="11"/>
        <v>0</v>
      </c>
      <c r="F353" s="1065"/>
      <c r="G353" s="1085">
        <f t="shared" si="10"/>
        <v>0</v>
      </c>
      <c r="H353" s="1062"/>
    </row>
    <row r="354" spans="1:8" ht="12.75" hidden="1">
      <c r="A354" s="1083"/>
      <c r="B354" s="1073" t="s">
        <v>605</v>
      </c>
      <c r="C354" s="1060">
        <f>_xlfn.IFERROR(VLOOKUP(B354,'[1]ПО КОРИСНИЦИМА'!$C$3:$J$11609,5,FALSE),"")</f>
      </c>
      <c r="D354" s="1064" t="e">
        <f>SUMIF('[1]ПО КОРИСНИЦИМА'!$G$3:$G$11609,"Свега за пројекат 0901-П5:",'[1]ПО КОРИСНИЦИМА'!$H$3:$H$11609)</f>
        <v>#VALUE!</v>
      </c>
      <c r="E354" s="1058" t="e">
        <f t="shared" si="11"/>
        <v>#VALUE!</v>
      </c>
      <c r="F354" s="1065" t="e">
        <f>SUMIF('[1]ПО КОРИСНИЦИМА'!$G$3:$G$11609,"Свега за пројекат 0901-П5:",'[1]ПО КОРИСНИЦИМА'!$I$3:$I$11609)</f>
        <v>#VALUE!</v>
      </c>
      <c r="G354" s="1085" t="e">
        <f t="shared" si="10"/>
        <v>#VALUE!</v>
      </c>
      <c r="H354" s="1062"/>
    </row>
    <row r="355" spans="1:8" ht="12.75" hidden="1">
      <c r="A355" s="1083"/>
      <c r="B355" s="1073" t="s">
        <v>606</v>
      </c>
      <c r="C355" s="1060">
        <f>_xlfn.IFERROR(VLOOKUP(B355,'[1]ПО КОРИСНИЦИМА'!$C$3:$J$11609,5,FALSE),"")</f>
      </c>
      <c r="D355" s="1064" t="e">
        <f>SUMIF('[1]ПО КОРИСНИЦИМА'!$G$3:$G$11609,"Свега за пројекат 0901-П6:",'[1]ПО КОРИСНИЦИМА'!$H$3:$H$11609)</f>
        <v>#VALUE!</v>
      </c>
      <c r="E355" s="1058" t="e">
        <f t="shared" si="11"/>
        <v>#VALUE!</v>
      </c>
      <c r="F355" s="1065" t="e">
        <f>SUMIF('[1]ПО КОРИСНИЦИМА'!$G$3:$G$11609,"Свега за пројекат 0901-П6:",'[1]ПО КОРИСНИЦИМА'!$I$3:$I$11609)</f>
        <v>#VALUE!</v>
      </c>
      <c r="G355" s="1085" t="e">
        <f t="shared" si="10"/>
        <v>#VALUE!</v>
      </c>
      <c r="H355" s="1062"/>
    </row>
    <row r="356" spans="1:8" ht="12.75" hidden="1">
      <c r="A356" s="1083"/>
      <c r="B356" s="1073" t="s">
        <v>607</v>
      </c>
      <c r="C356" s="1060">
        <f>_xlfn.IFERROR(VLOOKUP(B356,'[1]ПО КОРИСНИЦИМА'!$C$3:$J$11609,5,FALSE),"")</f>
      </c>
      <c r="D356" s="1064" t="e">
        <f>SUMIF('[1]ПО КОРИСНИЦИМА'!$G$3:$G$11609,"Свега за пројекат 0901-П7:",'[1]ПО КОРИСНИЦИМА'!$H$3:$H$11609)</f>
        <v>#VALUE!</v>
      </c>
      <c r="E356" s="1058" t="e">
        <f t="shared" si="11"/>
        <v>#VALUE!</v>
      </c>
      <c r="F356" s="1065" t="e">
        <f>SUMIF('[1]ПО КОРИСНИЦИМА'!$G$3:$G$11609,"Свега за пројекат 0901-П7:",'[1]ПО КОРИСНИЦИМА'!$I$3:$I$11609)</f>
        <v>#VALUE!</v>
      </c>
      <c r="G356" s="1085" t="e">
        <f t="shared" si="10"/>
        <v>#VALUE!</v>
      </c>
      <c r="H356" s="1062"/>
    </row>
    <row r="357" spans="1:8" ht="12.75" hidden="1">
      <c r="A357" s="1083"/>
      <c r="B357" s="1073" t="s">
        <v>608</v>
      </c>
      <c r="C357" s="1060">
        <f>_xlfn.IFERROR(VLOOKUP(B357,'[1]ПО КОРИСНИЦИМА'!$C$3:$J$11609,5,FALSE),"")</f>
      </c>
      <c r="D357" s="1064" t="e">
        <f>SUMIF('[1]ПО КОРИСНИЦИМА'!$G$3:$G$11609,"Свега за пројекат 0901-П8:",'[1]ПО КОРИСНИЦИМА'!$H$3:$H$11609)</f>
        <v>#VALUE!</v>
      </c>
      <c r="E357" s="1058" t="e">
        <f t="shared" si="11"/>
        <v>#VALUE!</v>
      </c>
      <c r="F357" s="1065" t="e">
        <f>SUMIF('[1]ПО КОРИСНИЦИМА'!$G$3:$G$11609,"Свега за пројекат 0901-П8:",'[1]ПО КОРИСНИЦИМА'!$I$3:$I$11609)</f>
        <v>#VALUE!</v>
      </c>
      <c r="G357" s="1085" t="e">
        <f t="shared" si="10"/>
        <v>#VALUE!</v>
      </c>
      <c r="H357" s="1062"/>
    </row>
    <row r="358" spans="1:8" ht="12.75" hidden="1">
      <c r="A358" s="1083"/>
      <c r="B358" s="1073" t="s">
        <v>609</v>
      </c>
      <c r="C358" s="1060">
        <f>_xlfn.IFERROR(VLOOKUP(B358,'[1]ПО КОРИСНИЦИМА'!$C$3:$J$11609,5,FALSE),"")</f>
      </c>
      <c r="D358" s="1064" t="e">
        <f>SUMIF('[1]ПО КОРИСНИЦИМА'!$G$3:$G$11609,"Свега за пројекат 0901-П9:",'[1]ПО КОРИСНИЦИМА'!$H$3:$H$11609)</f>
        <v>#VALUE!</v>
      </c>
      <c r="E358" s="1058" t="e">
        <f t="shared" si="11"/>
        <v>#VALUE!</v>
      </c>
      <c r="F358" s="1065" t="e">
        <f>SUMIF('[1]ПО КОРИСНИЦИМА'!$G$3:$G$11609,"Свега за пројекат 0901-П9:",'[1]ПО КОРИСНИЦИМА'!$I$3:$I$11609)</f>
        <v>#VALUE!</v>
      </c>
      <c r="G358" s="1085" t="e">
        <f t="shared" si="10"/>
        <v>#VALUE!</v>
      </c>
      <c r="H358" s="1062"/>
    </row>
    <row r="359" spans="1:8" ht="12.75" hidden="1">
      <c r="A359" s="1083"/>
      <c r="B359" s="1073" t="s">
        <v>610</v>
      </c>
      <c r="C359" s="1060">
        <f>_xlfn.IFERROR(VLOOKUP(B359,'[1]ПО КОРИСНИЦИМА'!$C$3:$J$11609,5,FALSE),"")</f>
      </c>
      <c r="D359" s="1064" t="e">
        <f>SUMIF('[1]ПО КОРИСНИЦИМА'!$G$3:$G$11609,"Свега за пројекат 0901-П10:",'[1]ПО КОРИСНИЦИМА'!$H$3:$H$11609)</f>
        <v>#VALUE!</v>
      </c>
      <c r="E359" s="1058" t="e">
        <f t="shared" si="11"/>
        <v>#VALUE!</v>
      </c>
      <c r="F359" s="1065" t="e">
        <f>SUMIF('[1]ПО КОРИСНИЦИМА'!$G$3:$G$11609,"Свега за пројекат 0901-П10:",'[1]ПО КОРИСНИЦИМА'!$I$3:$I$11609)</f>
        <v>#VALUE!</v>
      </c>
      <c r="G359" s="1085" t="e">
        <f t="shared" si="10"/>
        <v>#VALUE!</v>
      </c>
      <c r="H359" s="1062"/>
    </row>
    <row r="360" spans="1:8" ht="12.75" hidden="1">
      <c r="A360" s="1083"/>
      <c r="B360" s="1073" t="s">
        <v>611</v>
      </c>
      <c r="C360" s="1060">
        <f>_xlfn.IFERROR(VLOOKUP(B360,'[1]ПО КОРИСНИЦИМА'!$C$3:$J$11609,5,FALSE),"")</f>
      </c>
      <c r="D360" s="1064" t="e">
        <f>SUMIF('[1]ПО КОРИСНИЦИМА'!$G$3:$G$11609,"Свега за пројекат 0901-П11:",'[1]ПО КОРИСНИЦИМА'!$H$3:$H$11609)</f>
        <v>#VALUE!</v>
      </c>
      <c r="E360" s="1058" t="e">
        <f t="shared" si="11"/>
        <v>#VALUE!</v>
      </c>
      <c r="F360" s="1065" t="e">
        <f>SUMIF('[1]ПО КОРИСНИЦИМА'!$G$3:$G$11609,"Свега за пројекат 0901-П11:",'[1]ПО КОРИСНИЦИМА'!$I$3:$I$11609)</f>
        <v>#VALUE!</v>
      </c>
      <c r="G360" s="1085" t="e">
        <f t="shared" si="10"/>
        <v>#VALUE!</v>
      </c>
      <c r="H360" s="1062"/>
    </row>
    <row r="361" spans="1:8" ht="12.75" hidden="1">
      <c r="A361" s="1083"/>
      <c r="B361" s="1073" t="s">
        <v>612</v>
      </c>
      <c r="C361" s="1060">
        <f>_xlfn.IFERROR(VLOOKUP(B361,'[1]ПО КОРИСНИЦИМА'!$C$3:$J$11609,5,FALSE),"")</f>
      </c>
      <c r="D361" s="1064" t="e">
        <f>SUMIF('[1]ПО КОРИСНИЦИМА'!$G$3:$G$11609,"Свега за пројекат 0901-П12:",'[1]ПО КОРИСНИЦИМА'!$H$3:$H$11609)</f>
        <v>#VALUE!</v>
      </c>
      <c r="E361" s="1058" t="e">
        <f t="shared" si="11"/>
        <v>#VALUE!</v>
      </c>
      <c r="F361" s="1065" t="e">
        <f>SUMIF('[1]ПО КОРИСНИЦИМА'!$G$3:$G$11609,"Свега за пројекат 0901-П12:",'[1]ПО КОРИСНИЦИМА'!$I$3:$I$11609)</f>
        <v>#VALUE!</v>
      </c>
      <c r="G361" s="1085" t="e">
        <f t="shared" si="10"/>
        <v>#VALUE!</v>
      </c>
      <c r="H361" s="1062"/>
    </row>
    <row r="362" spans="1:8" ht="12.75" hidden="1">
      <c r="A362" s="1083"/>
      <c r="B362" s="1073" t="s">
        <v>613</v>
      </c>
      <c r="C362" s="1060">
        <f>_xlfn.IFERROR(VLOOKUP(B362,'[1]ПО КОРИСНИЦИМА'!$C$3:$J$11609,5,FALSE),"")</f>
      </c>
      <c r="D362" s="1064" t="e">
        <f>SUMIF('[1]ПО КОРИСНИЦИМА'!$G$3:$G$11609,"Свега за пројекат 0901-П13:",'[1]ПО КОРИСНИЦИМА'!$H$3:$H$11609)</f>
        <v>#VALUE!</v>
      </c>
      <c r="E362" s="1058" t="e">
        <f t="shared" si="11"/>
        <v>#VALUE!</v>
      </c>
      <c r="F362" s="1065" t="e">
        <f>SUMIF('[1]ПО КОРИСНИЦИМА'!$G$3:$G$11609,"Свега за пројекат 0901-П13:",'[1]ПО КОРИСНИЦИМА'!$I$3:$I$11609)</f>
        <v>#VALUE!</v>
      </c>
      <c r="G362" s="1085" t="e">
        <f t="shared" si="10"/>
        <v>#VALUE!</v>
      </c>
      <c r="H362" s="1062"/>
    </row>
    <row r="363" spans="1:8" ht="12.75" hidden="1">
      <c r="A363" s="1083"/>
      <c r="B363" s="1073" t="s">
        <v>614</v>
      </c>
      <c r="C363" s="1060">
        <f>_xlfn.IFERROR(VLOOKUP(B363,'[1]ПО КОРИСНИЦИМА'!$C$3:$J$11609,5,FALSE),"")</f>
      </c>
      <c r="D363" s="1064" t="e">
        <f>SUMIF('[1]ПО КОРИСНИЦИМА'!$G$3:$G$11609,"Свега за пројекат 0901-П14:",'[1]ПО КОРИСНИЦИМА'!$H$3:$H$11609)</f>
        <v>#VALUE!</v>
      </c>
      <c r="E363" s="1058" t="e">
        <f t="shared" si="11"/>
        <v>#VALUE!</v>
      </c>
      <c r="F363" s="1065" t="e">
        <f>SUMIF('[1]ПО КОРИСНИЦИМА'!$G$3:$G$11609,"Свега за пројекат 0901-П14:",'[1]ПО КОРИСНИЦИМА'!$I$3:$I$11609)</f>
        <v>#VALUE!</v>
      </c>
      <c r="G363" s="1085" t="e">
        <f t="shared" si="10"/>
        <v>#VALUE!</v>
      </c>
      <c r="H363" s="1062"/>
    </row>
    <row r="364" spans="1:8" ht="12.75" hidden="1">
      <c r="A364" s="1083"/>
      <c r="B364" s="1073" t="s">
        <v>615</v>
      </c>
      <c r="C364" s="1060">
        <f>_xlfn.IFERROR(VLOOKUP(B364,'[1]ПО КОРИСНИЦИМА'!$C$3:$J$11609,5,FALSE),"")</f>
      </c>
      <c r="D364" s="1064" t="e">
        <f>SUMIF('[1]ПО КОРИСНИЦИМА'!$G$3:$G$11609,"Свега за пројекат 0901-П15:",'[1]ПО КОРИСНИЦИМА'!$H$3:$H$11609)</f>
        <v>#VALUE!</v>
      </c>
      <c r="E364" s="1058" t="e">
        <f t="shared" si="11"/>
        <v>#VALUE!</v>
      </c>
      <c r="F364" s="1065" t="e">
        <f>SUMIF('[1]ПО КОРИСНИЦИМА'!$G$3:$G$11609,"Свега за пројекат 0901-П15:",'[1]ПО КОРИСНИЦИМА'!$I$3:$I$11609)</f>
        <v>#VALUE!</v>
      </c>
      <c r="G364" s="1085" t="e">
        <f t="shared" si="10"/>
        <v>#VALUE!</v>
      </c>
      <c r="H364" s="1062"/>
    </row>
    <row r="365" spans="1:8" ht="12.75" hidden="1">
      <c r="A365" s="1083"/>
      <c r="B365" s="1073" t="s">
        <v>616</v>
      </c>
      <c r="C365" s="1060">
        <f>_xlfn.IFERROR(VLOOKUP(B365,'[1]ПО КОРИСНИЦИМА'!$C$3:$J$11609,5,FALSE),"")</f>
      </c>
      <c r="D365" s="1064" t="e">
        <f>SUMIF('[1]ПО КОРИСНИЦИМА'!$G$3:$G$11609,"Свега за пројекат 0901-П16:",'[1]ПО КОРИСНИЦИМА'!$H$3:$H$11609)</f>
        <v>#VALUE!</v>
      </c>
      <c r="E365" s="1058" t="e">
        <f t="shared" si="11"/>
        <v>#VALUE!</v>
      </c>
      <c r="F365" s="1065" t="e">
        <f>SUMIF('[1]ПО КОРИСНИЦИМА'!$G$3:$G$11609,"Свега за пројекат 0901-П16:",'[1]ПО КОРИСНИЦИМА'!$I$3:$I$11609)</f>
        <v>#VALUE!</v>
      </c>
      <c r="G365" s="1085" t="e">
        <f t="shared" si="10"/>
        <v>#VALUE!</v>
      </c>
      <c r="H365" s="1062"/>
    </row>
    <row r="366" spans="1:8" ht="12.75" hidden="1">
      <c r="A366" s="1083"/>
      <c r="B366" s="1073" t="s">
        <v>617</v>
      </c>
      <c r="C366" s="1060">
        <f>_xlfn.IFERROR(VLOOKUP(B366,'[1]ПО КОРИСНИЦИМА'!$C$3:$J$11609,5,FALSE),"")</f>
      </c>
      <c r="D366" s="1064" t="e">
        <f>SUMIF('[1]ПО КОРИСНИЦИМА'!$G$3:$G$11609,"Свега за пројекат 0901-П17:",'[1]ПО КОРИСНИЦИМА'!$H$3:$H$11609)</f>
        <v>#VALUE!</v>
      </c>
      <c r="E366" s="1058" t="e">
        <f t="shared" si="11"/>
        <v>#VALUE!</v>
      </c>
      <c r="F366" s="1065" t="e">
        <f>SUMIF('[1]ПО КОРИСНИЦИМА'!$G$3:$G$11609,"Свега за пројекат 0901-П17:",'[1]ПО КОРИСНИЦИМА'!$I$3:$I$11609)</f>
        <v>#VALUE!</v>
      </c>
      <c r="G366" s="1085" t="e">
        <f t="shared" si="10"/>
        <v>#VALUE!</v>
      </c>
      <c r="H366" s="1062"/>
    </row>
    <row r="367" spans="1:8" ht="12.75" hidden="1">
      <c r="A367" s="1083"/>
      <c r="B367" s="1073" t="s">
        <v>618</v>
      </c>
      <c r="C367" s="1060">
        <f>_xlfn.IFERROR(VLOOKUP(B367,'[1]ПО КОРИСНИЦИМА'!$C$3:$J$11609,5,FALSE),"")</f>
      </c>
      <c r="D367" s="1064" t="e">
        <f>SUMIF('[1]ПО КОРИСНИЦИМА'!$G$3:$G$11609,"Свега за пројекат 0901-П18:",'[1]ПО КОРИСНИЦИМА'!$H$3:$H$11609)</f>
        <v>#VALUE!</v>
      </c>
      <c r="E367" s="1058" t="e">
        <f t="shared" si="11"/>
        <v>#VALUE!</v>
      </c>
      <c r="F367" s="1065" t="e">
        <f>SUMIF('[1]ПО КОРИСНИЦИМА'!$G$3:$G$11609,"Свега за пројекат 0901-П18:",'[1]ПО КОРИСНИЦИМА'!$I$3:$I$11609)</f>
        <v>#VALUE!</v>
      </c>
      <c r="G367" s="1085" t="e">
        <f t="shared" si="10"/>
        <v>#VALUE!</v>
      </c>
      <c r="H367" s="1062"/>
    </row>
    <row r="368" spans="1:8" ht="12.75" hidden="1">
      <c r="A368" s="1083"/>
      <c r="B368" s="1073" t="s">
        <v>619</v>
      </c>
      <c r="C368" s="1060">
        <f>_xlfn.IFERROR(VLOOKUP(B368,'[1]ПО КОРИСНИЦИМА'!$C$3:$J$11609,5,FALSE),"")</f>
      </c>
      <c r="D368" s="1064" t="e">
        <f>SUMIF('[1]ПО КОРИСНИЦИМА'!$G$3:$G$11609,"Свега за пројекат 0901-П19:",'[1]ПО КОРИСНИЦИМА'!$H$3:$H$11609)</f>
        <v>#VALUE!</v>
      </c>
      <c r="E368" s="1058" t="e">
        <f t="shared" si="11"/>
        <v>#VALUE!</v>
      </c>
      <c r="F368" s="1065" t="e">
        <f>SUMIF('[1]ПО КОРИСНИЦИМА'!$G$3:$G$11609,"Свега за пројекат 0901-П19:",'[1]ПО КОРИСНИЦИМА'!$I$3:$I$11609)</f>
        <v>#VALUE!</v>
      </c>
      <c r="G368" s="1085" t="e">
        <f t="shared" si="10"/>
        <v>#VALUE!</v>
      </c>
      <c r="H368" s="1062"/>
    </row>
    <row r="369" spans="1:8" ht="12.75" hidden="1">
      <c r="A369" s="1083"/>
      <c r="B369" s="1073" t="s">
        <v>620</v>
      </c>
      <c r="C369" s="1060">
        <f>_xlfn.IFERROR(VLOOKUP(B369,'[1]ПО КОРИСНИЦИМА'!$C$3:$J$11609,5,FALSE),"")</f>
      </c>
      <c r="D369" s="1064" t="e">
        <f>SUMIF('[1]ПО КОРИСНИЦИМА'!$G$3:$G$11609,"Свега за пројекат 0901-П20:",'[1]ПО КОРИСНИЦИМА'!$H$3:$H$11609)</f>
        <v>#VALUE!</v>
      </c>
      <c r="E369" s="1058" t="e">
        <f t="shared" si="11"/>
        <v>#VALUE!</v>
      </c>
      <c r="F369" s="1065" t="e">
        <f>SUMIF('[1]ПО КОРИСНИЦИМА'!$G$3:$G$11609,"Свега за пројекат 0901-П20:",'[1]ПО КОРИСНИЦИМА'!$I$3:$I$11609)</f>
        <v>#VALUE!</v>
      </c>
      <c r="G369" s="1085" t="e">
        <f t="shared" si="10"/>
        <v>#VALUE!</v>
      </c>
      <c r="H369" s="1062"/>
    </row>
    <row r="370" spans="1:8" ht="12.75" hidden="1">
      <c r="A370" s="1083"/>
      <c r="B370" s="1073" t="s">
        <v>621</v>
      </c>
      <c r="C370" s="1060">
        <f>_xlfn.IFERROR(VLOOKUP(B370,'[1]ПО КОРИСНИЦИМА'!$C$3:$J$11609,5,FALSE),"")</f>
      </c>
      <c r="D370" s="1064" t="e">
        <f>SUMIF('[1]ПО КОРИСНИЦИМА'!$G$3:$G$11609,"Свега за пројекат 0901-П21:",'[1]ПО КОРИСНИЦИМА'!$H$3:$H$11609)</f>
        <v>#VALUE!</v>
      </c>
      <c r="E370" s="1058" t="e">
        <f t="shared" si="11"/>
        <v>#VALUE!</v>
      </c>
      <c r="F370" s="1065" t="e">
        <f>SUMIF('[1]ПО КОРИСНИЦИМА'!$G$3:$G$11609,"Свега за пројекат 0901-П21:",'[1]ПО КОРИСНИЦИМА'!$I$3:$I$11609)</f>
        <v>#VALUE!</v>
      </c>
      <c r="G370" s="1085" t="e">
        <f t="shared" si="10"/>
        <v>#VALUE!</v>
      </c>
      <c r="H370" s="1062"/>
    </row>
    <row r="371" spans="1:8" ht="12.75" hidden="1">
      <c r="A371" s="1083"/>
      <c r="B371" s="1073" t="s">
        <v>622</v>
      </c>
      <c r="C371" s="1060">
        <f>_xlfn.IFERROR(VLOOKUP(B371,'[1]ПО КОРИСНИЦИМА'!$C$3:$J$11609,5,FALSE),"")</f>
      </c>
      <c r="D371" s="1064" t="e">
        <f>SUMIF('[1]ПО КОРИСНИЦИМА'!$G$3:$G$11609,"Свега за пројекат 0901-П22:",'[1]ПО КОРИСНИЦИМА'!$H$3:$H$11609)</f>
        <v>#VALUE!</v>
      </c>
      <c r="E371" s="1058" t="e">
        <f t="shared" si="11"/>
        <v>#VALUE!</v>
      </c>
      <c r="F371" s="1065" t="e">
        <f>SUMIF('[1]ПО КОРИСНИЦИМА'!$G$3:$G$11609,"Свега за пројекат 0901-П22:",'[1]ПО КОРИСНИЦИМА'!$I$3:$I$11609)</f>
        <v>#VALUE!</v>
      </c>
      <c r="G371" s="1085" t="e">
        <f t="shared" si="10"/>
        <v>#VALUE!</v>
      </c>
      <c r="H371" s="1062"/>
    </row>
    <row r="372" spans="1:8" ht="12.75" hidden="1">
      <c r="A372" s="1083"/>
      <c r="B372" s="1073" t="s">
        <v>623</v>
      </c>
      <c r="C372" s="1060">
        <f>_xlfn.IFERROR(VLOOKUP(B372,'[1]ПО КОРИСНИЦИМА'!$C$3:$J$11609,5,FALSE),"")</f>
      </c>
      <c r="D372" s="1064" t="e">
        <f>SUMIF('[1]ПО КОРИСНИЦИМА'!$G$3:$G$11609,"Свега за пројекат 0901-П23:",'[1]ПО КОРИСНИЦИМА'!$H$3:$H$11609)</f>
        <v>#VALUE!</v>
      </c>
      <c r="E372" s="1058" t="e">
        <f t="shared" si="11"/>
        <v>#VALUE!</v>
      </c>
      <c r="F372" s="1065" t="e">
        <f>SUMIF('[1]ПО КОРИСНИЦИМА'!$G$3:$G$11609,"Свега за пројекат 0901-П23:",'[1]ПО КОРИСНИЦИМА'!$I$3:$I$11609)</f>
        <v>#VALUE!</v>
      </c>
      <c r="G372" s="1085" t="e">
        <f t="shared" si="10"/>
        <v>#VALUE!</v>
      </c>
      <c r="H372" s="1062"/>
    </row>
    <row r="373" spans="1:8" ht="12.75" hidden="1">
      <c r="A373" s="1083"/>
      <c r="B373" s="1073" t="s">
        <v>624</v>
      </c>
      <c r="C373" s="1060">
        <f>_xlfn.IFERROR(VLOOKUP(B373,'[1]ПО КОРИСНИЦИМА'!$C$3:$J$11609,5,FALSE),"")</f>
      </c>
      <c r="D373" s="1064" t="e">
        <f>SUMIF('[1]ПО КОРИСНИЦИМА'!$G$3:$G$11609,"Свега за пројекат 0901-П24:",'[1]ПО КОРИСНИЦИМА'!$H$3:$H$11609)</f>
        <v>#VALUE!</v>
      </c>
      <c r="E373" s="1058" t="e">
        <f t="shared" si="11"/>
        <v>#VALUE!</v>
      </c>
      <c r="F373" s="1065" t="e">
        <f>SUMIF('[1]ПО КОРИСНИЦИМА'!$G$3:$G$11609,"Свега за пројекат 0901-П24:",'[1]ПО КОРИСНИЦИМА'!$I$3:$I$11609)</f>
        <v>#VALUE!</v>
      </c>
      <c r="G373" s="1085" t="e">
        <f t="shared" si="10"/>
        <v>#VALUE!</v>
      </c>
      <c r="H373" s="1062"/>
    </row>
    <row r="374" spans="1:8" ht="12.75" hidden="1">
      <c r="A374" s="1083"/>
      <c r="B374" s="1073" t="s">
        <v>625</v>
      </c>
      <c r="C374" s="1060">
        <f>_xlfn.IFERROR(VLOOKUP(B374,'[1]ПО КОРИСНИЦИМА'!$C$3:$J$11609,5,FALSE),"")</f>
      </c>
      <c r="D374" s="1064" t="e">
        <f>SUMIF('[1]ПО КОРИСНИЦИМА'!$G$3:$G$11609,"Свега за пројекат 0901-П25:",'[1]ПО КОРИСНИЦИМА'!$H$3:$H$11609)</f>
        <v>#VALUE!</v>
      </c>
      <c r="E374" s="1058" t="e">
        <f t="shared" si="11"/>
        <v>#VALUE!</v>
      </c>
      <c r="F374" s="1065" t="e">
        <f>SUMIF('[1]ПО КОРИСНИЦИМА'!$G$3:$G$11609,"Свега за пројекат 0901-П25:",'[1]ПО КОРИСНИЦИМА'!$I$3:$I$11609)</f>
        <v>#VALUE!</v>
      </c>
      <c r="G374" s="1085" t="e">
        <f t="shared" si="10"/>
        <v>#VALUE!</v>
      </c>
      <c r="H374" s="1062"/>
    </row>
    <row r="375" spans="1:8" ht="12.75" hidden="1">
      <c r="A375" s="1083"/>
      <c r="B375" s="1073" t="s">
        <v>626</v>
      </c>
      <c r="C375" s="1060">
        <f>_xlfn.IFERROR(VLOOKUP(B375,'[1]ПО КОРИСНИЦИМА'!$C$3:$J$11609,5,FALSE),"")</f>
      </c>
      <c r="D375" s="1064" t="e">
        <f>SUMIF('[1]ПО КОРИСНИЦИМА'!$G$3:$G$11609,"Свега за пројекат 0901-П26:",'[1]ПО КОРИСНИЦИМА'!$H$3:$H$11609)</f>
        <v>#VALUE!</v>
      </c>
      <c r="E375" s="1058" t="e">
        <f t="shared" si="11"/>
        <v>#VALUE!</v>
      </c>
      <c r="F375" s="1065" t="e">
        <f>SUMIF('[1]ПО КОРИСНИЦИМА'!$G$3:$G$11609,"Свега за пројекат 0901-П26:",'[1]ПО КОРИСНИЦИМА'!$I$3:$I$11609)</f>
        <v>#VALUE!</v>
      </c>
      <c r="G375" s="1085" t="e">
        <f t="shared" si="10"/>
        <v>#VALUE!</v>
      </c>
      <c r="H375" s="1062"/>
    </row>
    <row r="376" spans="1:8" ht="12.75" hidden="1">
      <c r="A376" s="1083"/>
      <c r="B376" s="1073" t="s">
        <v>627</v>
      </c>
      <c r="C376" s="1060">
        <f>_xlfn.IFERROR(VLOOKUP(B376,'[1]ПО КОРИСНИЦИМА'!$C$3:$J$11609,5,FALSE),"")</f>
      </c>
      <c r="D376" s="1064" t="e">
        <f>SUMIF('[1]ПО КОРИСНИЦИМА'!$G$3:$G$11609,"Свега за пројекат 0901-П27:",'[1]ПО КОРИСНИЦИМА'!$H$3:$H$11609)</f>
        <v>#VALUE!</v>
      </c>
      <c r="E376" s="1058" t="e">
        <f t="shared" si="11"/>
        <v>#VALUE!</v>
      </c>
      <c r="F376" s="1065" t="e">
        <f>SUMIF('[1]ПО КОРИСНИЦИМА'!$G$3:$G$11609,"Свега за пројекат 0901-П27:",'[1]ПО КОРИСНИЦИМА'!$I$3:$I$11609)</f>
        <v>#VALUE!</v>
      </c>
      <c r="G376" s="1085" t="e">
        <f t="shared" si="10"/>
        <v>#VALUE!</v>
      </c>
      <c r="H376" s="1062"/>
    </row>
    <row r="377" spans="1:8" ht="12.75" hidden="1">
      <c r="A377" s="1083"/>
      <c r="B377" s="1073" t="s">
        <v>628</v>
      </c>
      <c r="C377" s="1060">
        <f>_xlfn.IFERROR(VLOOKUP(B377,'[1]ПО КОРИСНИЦИМА'!$C$3:$J$11609,5,FALSE),"")</f>
      </c>
      <c r="D377" s="1064" t="e">
        <f>SUMIF('[1]ПО КОРИСНИЦИМА'!$G$3:$G$11609,"Свега за пројекат 0901-П28:",'[1]ПО КОРИСНИЦИМА'!$H$3:$H$11609)</f>
        <v>#VALUE!</v>
      </c>
      <c r="E377" s="1058" t="e">
        <f t="shared" si="11"/>
        <v>#VALUE!</v>
      </c>
      <c r="F377" s="1065" t="e">
        <f>SUMIF('[1]ПО КОРИСНИЦИМА'!$G$3:$G$11609,"Свега за пројекат 0901-П28:",'[1]ПО КОРИСНИЦИМА'!$I$3:$I$11609)</f>
        <v>#VALUE!</v>
      </c>
      <c r="G377" s="1085" t="e">
        <f t="shared" si="10"/>
        <v>#VALUE!</v>
      </c>
      <c r="H377" s="1062"/>
    </row>
    <row r="378" spans="1:8" ht="12.75" hidden="1">
      <c r="A378" s="1083"/>
      <c r="B378" s="1073" t="s">
        <v>629</v>
      </c>
      <c r="C378" s="1060">
        <f>_xlfn.IFERROR(VLOOKUP(B378,'[1]ПО КОРИСНИЦИМА'!$C$3:$J$11609,5,FALSE),"")</f>
      </c>
      <c r="D378" s="1064" t="e">
        <f>SUMIF('[1]ПО КОРИСНИЦИМА'!$G$3:$G$11609,"Свега за пројекат 0901-П29:",'[1]ПО КОРИСНИЦИМА'!$H$3:$H$11609)</f>
        <v>#VALUE!</v>
      </c>
      <c r="E378" s="1058" t="e">
        <f t="shared" si="11"/>
        <v>#VALUE!</v>
      </c>
      <c r="F378" s="1065" t="e">
        <f>SUMIF('[1]ПО КОРИСНИЦИМА'!$G$3:$G$11609,"Свега за пројекат 0901-П29:",'[1]ПО КОРИСНИЦИМА'!$I$3:$I$11609)</f>
        <v>#VALUE!</v>
      </c>
      <c r="G378" s="1085" t="e">
        <f t="shared" si="10"/>
        <v>#VALUE!</v>
      </c>
      <c r="H378" s="1062"/>
    </row>
    <row r="379" spans="1:8" ht="12.75" hidden="1">
      <c r="A379" s="1083"/>
      <c r="B379" s="1073" t="s">
        <v>630</v>
      </c>
      <c r="C379" s="1060">
        <f>_xlfn.IFERROR(VLOOKUP(B379,'[1]ПО КОРИСНИЦИМА'!$C$3:$J$11609,5,FALSE),"")</f>
      </c>
      <c r="D379" s="1064" t="e">
        <f>SUMIF('[1]ПО КОРИСНИЦИМА'!$G$3:$G$11609,"Свега за пројекат 0901-П30:",'[1]ПО КОРИСНИЦИМА'!$H$3:$H$11609)</f>
        <v>#VALUE!</v>
      </c>
      <c r="E379" s="1058" t="e">
        <f t="shared" si="11"/>
        <v>#VALUE!</v>
      </c>
      <c r="F379" s="1065" t="e">
        <f>SUMIF('[1]ПО КОРИСНИЦИМА'!$G$3:$G$11609,"Свега за пројекат 0901-П30:",'[1]ПО КОРИСНИЦИМА'!$I$3:$I$11609)</f>
        <v>#VALUE!</v>
      </c>
      <c r="G379" s="1085" t="e">
        <f t="shared" si="10"/>
        <v>#VALUE!</v>
      </c>
      <c r="H379" s="1062"/>
    </row>
    <row r="380" spans="1:8" s="325" customFormat="1" ht="12.75">
      <c r="A380" s="1054" t="s">
        <v>305</v>
      </c>
      <c r="B380" s="1055"/>
      <c r="C380" s="1056" t="s">
        <v>1242</v>
      </c>
      <c r="D380" s="1057">
        <f>SUM(D381:D390)</f>
        <v>20561897</v>
      </c>
      <c r="E380" s="1058">
        <f t="shared" si="11"/>
        <v>0.046242177587210116</v>
      </c>
      <c r="F380" s="1057">
        <f>SUM(F381:F390)</f>
        <v>0</v>
      </c>
      <c r="G380" s="1057">
        <f t="shared" si="10"/>
        <v>20561897</v>
      </c>
      <c r="H380" s="1072"/>
    </row>
    <row r="381" spans="1:8" ht="24">
      <c r="A381" s="1083"/>
      <c r="B381" s="1073" t="s">
        <v>306</v>
      </c>
      <c r="C381" s="1086" t="s">
        <v>332</v>
      </c>
      <c r="D381" s="1061">
        <f>'Rashodi-2020'!M253</f>
        <v>20360897</v>
      </c>
      <c r="E381" s="1181">
        <f t="shared" si="11"/>
        <v>0.045790143531450125</v>
      </c>
      <c r="F381" s="1061">
        <f>'Rashodi-2020'!T253</f>
        <v>0</v>
      </c>
      <c r="G381" s="1061">
        <f t="shared" si="10"/>
        <v>20360897</v>
      </c>
      <c r="H381" s="1062" t="s">
        <v>1309</v>
      </c>
    </row>
    <row r="382" spans="1:8" ht="12.75">
      <c r="A382" s="1083"/>
      <c r="B382" s="1119" t="s">
        <v>1532</v>
      </c>
      <c r="C382" s="1086" t="s">
        <v>1534</v>
      </c>
      <c r="D382" s="1061">
        <f>'Rashodi-2020'!U266</f>
        <v>1000</v>
      </c>
      <c r="E382" s="1181">
        <f t="shared" si="11"/>
        <v>2.248925650547229E-06</v>
      </c>
      <c r="F382" s="1061">
        <v>0</v>
      </c>
      <c r="G382" s="1061">
        <f>D382+F382</f>
        <v>1000</v>
      </c>
      <c r="H382" s="1062" t="s">
        <v>1173</v>
      </c>
    </row>
    <row r="383" spans="1:8" ht="12.75">
      <c r="A383" s="1075"/>
      <c r="B383" s="1075" t="s">
        <v>1243</v>
      </c>
      <c r="C383" s="1060" t="s">
        <v>1244</v>
      </c>
      <c r="D383" s="1064">
        <f>'Rashodi-2020'!M267</f>
        <v>200000</v>
      </c>
      <c r="E383" s="1181">
        <f t="shared" si="11"/>
        <v>0.0004497851301094458</v>
      </c>
      <c r="F383" s="1065">
        <f>'Rashodi-2020'!T267</f>
        <v>0</v>
      </c>
      <c r="G383" s="1061">
        <f t="shared" si="10"/>
        <v>200000</v>
      </c>
      <c r="H383" s="1062" t="s">
        <v>1173</v>
      </c>
    </row>
    <row r="384" spans="1:8" ht="12.75" hidden="1">
      <c r="A384" s="1075"/>
      <c r="B384" s="1075" t="s">
        <v>631</v>
      </c>
      <c r="C384" s="1060">
        <f>_xlfn.IFERROR(VLOOKUP(B384,'[1]ПО КОРИСНИЦИМА'!$C$3:$J$11609,5,FALSE),"")</f>
      </c>
      <c r="D384" s="1064"/>
      <c r="E384" s="1058">
        <f t="shared" si="11"/>
        <v>0</v>
      </c>
      <c r="F384" s="1065"/>
      <c r="G384" s="1061">
        <f t="shared" si="10"/>
        <v>0</v>
      </c>
      <c r="H384" s="1062"/>
    </row>
    <row r="385" spans="1:8" ht="12.75" hidden="1">
      <c r="A385" s="1075"/>
      <c r="B385" s="1075" t="s">
        <v>632</v>
      </c>
      <c r="C385" s="1060">
        <f>_xlfn.IFERROR(VLOOKUP(B385,'[1]ПО КОРИСНИЦИМА'!$C$3:$J$11609,5,FALSE),"")</f>
      </c>
      <c r="D385" s="1064"/>
      <c r="E385" s="1058">
        <f t="shared" si="11"/>
        <v>0</v>
      </c>
      <c r="F385" s="1065"/>
      <c r="G385" s="1061">
        <f t="shared" si="10"/>
        <v>0</v>
      </c>
      <c r="H385" s="1062"/>
    </row>
    <row r="386" spans="1:8" ht="12.75" hidden="1">
      <c r="A386" s="1075"/>
      <c r="B386" s="1075" t="s">
        <v>633</v>
      </c>
      <c r="C386" s="1060">
        <f>_xlfn.IFERROR(VLOOKUP(B386,'[1]ПО КОРИСНИЦИМА'!$C$3:$J$11609,5,FALSE),"")</f>
      </c>
      <c r="D386" s="1064"/>
      <c r="E386" s="1058">
        <f t="shared" si="11"/>
        <v>0</v>
      </c>
      <c r="F386" s="1065"/>
      <c r="G386" s="1061">
        <f t="shared" si="10"/>
        <v>0</v>
      </c>
      <c r="H386" s="1062"/>
    </row>
    <row r="387" spans="1:8" ht="12.75" hidden="1">
      <c r="A387" s="1075"/>
      <c r="B387" s="1075" t="s">
        <v>634</v>
      </c>
      <c r="C387" s="1060">
        <f>_xlfn.IFERROR(VLOOKUP(B387,'[1]ПО КОРИСНИЦИМА'!$C$3:$J$11609,5,FALSE),"")</f>
      </c>
      <c r="D387" s="1064"/>
      <c r="E387" s="1058">
        <f t="shared" si="11"/>
        <v>0</v>
      </c>
      <c r="F387" s="1065"/>
      <c r="G387" s="1061">
        <f t="shared" si="10"/>
        <v>0</v>
      </c>
      <c r="H387" s="1062"/>
    </row>
    <row r="388" spans="1:8" ht="12.75" hidden="1">
      <c r="A388" s="1075"/>
      <c r="B388" s="1075" t="s">
        <v>635</v>
      </c>
      <c r="C388" s="1060">
        <f>_xlfn.IFERROR(VLOOKUP(B388,'[1]ПО КОРИСНИЦИМА'!$C$3:$J$11609,5,FALSE),"")</f>
      </c>
      <c r="D388" s="1064"/>
      <c r="E388" s="1058">
        <f t="shared" si="11"/>
        <v>0</v>
      </c>
      <c r="F388" s="1065"/>
      <c r="G388" s="1061">
        <f t="shared" si="10"/>
        <v>0</v>
      </c>
      <c r="H388" s="1062"/>
    </row>
    <row r="389" spans="1:8" ht="12.75" hidden="1">
      <c r="A389" s="1075"/>
      <c r="B389" s="1075" t="s">
        <v>636</v>
      </c>
      <c r="C389" s="1060">
        <f>_xlfn.IFERROR(VLOOKUP(B389,'[1]ПО КОРИСНИЦИМА'!$C$3:$J$11609,5,FALSE),"")</f>
      </c>
      <c r="D389" s="1064"/>
      <c r="E389" s="1058">
        <f t="shared" si="11"/>
        <v>0</v>
      </c>
      <c r="F389" s="1065"/>
      <c r="G389" s="1061">
        <f t="shared" si="10"/>
        <v>0</v>
      </c>
      <c r="H389" s="1062"/>
    </row>
    <row r="390" spans="1:8" ht="12.75" hidden="1">
      <c r="A390" s="1075"/>
      <c r="B390" s="1075" t="s">
        <v>637</v>
      </c>
      <c r="C390" s="1060">
        <f>_xlfn.IFERROR(VLOOKUP(B390,'[1]ПО КОРИСНИЦИМА'!$C$3:$J$11609,5,FALSE),"")</f>
      </c>
      <c r="D390" s="1064"/>
      <c r="E390" s="1058">
        <f aca="true" t="shared" si="12" ref="E390:E453">D390/444656763</f>
        <v>0</v>
      </c>
      <c r="F390" s="1065"/>
      <c r="G390" s="1061">
        <f aca="true" t="shared" si="13" ref="G390:G453">D390+F390</f>
        <v>0</v>
      </c>
      <c r="H390" s="1062"/>
    </row>
    <row r="391" spans="1:8" ht="12.75" hidden="1">
      <c r="A391" s="1075"/>
      <c r="B391" s="1075" t="s">
        <v>638</v>
      </c>
      <c r="C391" s="1060">
        <f>_xlfn.IFERROR(VLOOKUP(B391,'[1]ПО КОРИСНИЦИМА'!$C$3:$J$11609,5,FALSE),"")</f>
      </c>
      <c r="D391" s="1064"/>
      <c r="E391" s="1058">
        <f t="shared" si="12"/>
        <v>0</v>
      </c>
      <c r="F391" s="1065"/>
      <c r="G391" s="1061">
        <f t="shared" si="13"/>
        <v>0</v>
      </c>
      <c r="H391" s="1062"/>
    </row>
    <row r="392" spans="1:8" ht="12.75" hidden="1">
      <c r="A392" s="1075"/>
      <c r="B392" s="1075" t="s">
        <v>639</v>
      </c>
      <c r="C392" s="1060">
        <f>_xlfn.IFERROR(VLOOKUP(B392,'[1]ПО КОРИСНИЦИМА'!$C$3:$J$11609,5,FALSE),"")</f>
      </c>
      <c r="D392" s="1064"/>
      <c r="E392" s="1058">
        <f t="shared" si="12"/>
        <v>0</v>
      </c>
      <c r="F392" s="1065"/>
      <c r="G392" s="1061">
        <f t="shared" si="13"/>
        <v>0</v>
      </c>
      <c r="H392" s="1062"/>
    </row>
    <row r="393" spans="1:8" ht="12.75" hidden="1">
      <c r="A393" s="1075"/>
      <c r="B393" s="1075" t="s">
        <v>640</v>
      </c>
      <c r="C393" s="1060">
        <f>_xlfn.IFERROR(VLOOKUP(B393,'[1]ПО КОРИСНИЦИМА'!$C$3:$J$11609,5,FALSE),"")</f>
      </c>
      <c r="D393" s="1064"/>
      <c r="E393" s="1058">
        <f t="shared" si="12"/>
        <v>0</v>
      </c>
      <c r="F393" s="1065"/>
      <c r="G393" s="1061">
        <f t="shared" si="13"/>
        <v>0</v>
      </c>
      <c r="H393" s="1062"/>
    </row>
    <row r="394" spans="1:8" ht="12.75" hidden="1">
      <c r="A394" s="1075"/>
      <c r="B394" s="1075" t="s">
        <v>641</v>
      </c>
      <c r="C394" s="1060">
        <f>_xlfn.IFERROR(VLOOKUP(B394,'[1]ПО КОРИСНИЦИМА'!$C$3:$J$11609,5,FALSE),"")</f>
      </c>
      <c r="D394" s="1064"/>
      <c r="E394" s="1058">
        <f t="shared" si="12"/>
        <v>0</v>
      </c>
      <c r="F394" s="1065"/>
      <c r="G394" s="1061">
        <f t="shared" si="13"/>
        <v>0</v>
      </c>
      <c r="H394" s="1062"/>
    </row>
    <row r="395" spans="1:8" ht="12.75" hidden="1">
      <c r="A395" s="1075"/>
      <c r="B395" s="1075" t="s">
        <v>642</v>
      </c>
      <c r="C395" s="1060">
        <f>_xlfn.IFERROR(VLOOKUP(B395,'[1]ПО КОРИСНИЦИМА'!$C$3:$J$11609,5,FALSE),"")</f>
      </c>
      <c r="D395" s="1064"/>
      <c r="E395" s="1058">
        <f t="shared" si="12"/>
        <v>0</v>
      </c>
      <c r="F395" s="1065"/>
      <c r="G395" s="1061">
        <f t="shared" si="13"/>
        <v>0</v>
      </c>
      <c r="H395" s="1062"/>
    </row>
    <row r="396" spans="1:8" ht="12.75" hidden="1">
      <c r="A396" s="1075"/>
      <c r="B396" s="1075" t="s">
        <v>643</v>
      </c>
      <c r="C396" s="1060">
        <f>_xlfn.IFERROR(VLOOKUP(B396,'[1]ПО КОРИСНИЦИМА'!$C$3:$J$11609,5,FALSE),"")</f>
      </c>
      <c r="D396" s="1064"/>
      <c r="E396" s="1058">
        <f t="shared" si="12"/>
        <v>0</v>
      </c>
      <c r="F396" s="1065"/>
      <c r="G396" s="1061">
        <f t="shared" si="13"/>
        <v>0</v>
      </c>
      <c r="H396" s="1062"/>
    </row>
    <row r="397" spans="1:8" ht="12.75" hidden="1">
      <c r="A397" s="1075"/>
      <c r="B397" s="1075" t="s">
        <v>644</v>
      </c>
      <c r="C397" s="1060">
        <f>_xlfn.IFERROR(VLOOKUP(B397,'[1]ПО КОРИСНИЦИМА'!$C$3:$J$11609,5,FALSE),"")</f>
      </c>
      <c r="D397" s="1064"/>
      <c r="E397" s="1058">
        <f t="shared" si="12"/>
        <v>0</v>
      </c>
      <c r="F397" s="1065"/>
      <c r="G397" s="1061">
        <f t="shared" si="13"/>
        <v>0</v>
      </c>
      <c r="H397" s="1062"/>
    </row>
    <row r="398" spans="1:8" ht="12.75" hidden="1">
      <c r="A398" s="1075"/>
      <c r="B398" s="1075" t="s">
        <v>645</v>
      </c>
      <c r="C398" s="1060">
        <f>_xlfn.IFERROR(VLOOKUP(B398,'[1]ПО КОРИСНИЦИМА'!$C$3:$J$11609,5,FALSE),"")</f>
      </c>
      <c r="D398" s="1064"/>
      <c r="E398" s="1058">
        <f t="shared" si="12"/>
        <v>0</v>
      </c>
      <c r="F398" s="1065"/>
      <c r="G398" s="1061">
        <f t="shared" si="13"/>
        <v>0</v>
      </c>
      <c r="H398" s="1062"/>
    </row>
    <row r="399" spans="1:8" ht="12.75" hidden="1">
      <c r="A399" s="1075"/>
      <c r="B399" s="1075" t="s">
        <v>646</v>
      </c>
      <c r="C399" s="1060">
        <f>_xlfn.IFERROR(VLOOKUP(B399,'[1]ПО КОРИСНИЦИМА'!$C$3:$J$11609,5,FALSE),"")</f>
      </c>
      <c r="D399" s="1064"/>
      <c r="E399" s="1058">
        <f t="shared" si="12"/>
        <v>0</v>
      </c>
      <c r="F399" s="1065"/>
      <c r="G399" s="1061">
        <f t="shared" si="13"/>
        <v>0</v>
      </c>
      <c r="H399" s="1062"/>
    </row>
    <row r="400" spans="1:8" ht="12.75" hidden="1">
      <c r="A400" s="1075"/>
      <c r="B400" s="1075" t="s">
        <v>647</v>
      </c>
      <c r="C400" s="1060">
        <f>_xlfn.IFERROR(VLOOKUP(B400,'[1]ПО КОРИСНИЦИМА'!$C$3:$J$11609,5,FALSE),"")</f>
      </c>
      <c r="D400" s="1064"/>
      <c r="E400" s="1058">
        <f t="shared" si="12"/>
        <v>0</v>
      </c>
      <c r="F400" s="1065"/>
      <c r="G400" s="1061">
        <f t="shared" si="13"/>
        <v>0</v>
      </c>
      <c r="H400" s="1062"/>
    </row>
    <row r="401" spans="1:8" ht="12.75" hidden="1">
      <c r="A401" s="1075"/>
      <c r="B401" s="1075" t="s">
        <v>648</v>
      </c>
      <c r="C401" s="1060">
        <f>_xlfn.IFERROR(VLOOKUP(B401,'[1]ПО КОРИСНИЦИМА'!$C$3:$J$11609,5,FALSE),"")</f>
      </c>
      <c r="D401" s="1064"/>
      <c r="E401" s="1058">
        <f t="shared" si="12"/>
        <v>0</v>
      </c>
      <c r="F401" s="1065"/>
      <c r="G401" s="1061">
        <f t="shared" si="13"/>
        <v>0</v>
      </c>
      <c r="H401" s="1062"/>
    </row>
    <row r="402" spans="1:8" ht="12.75" hidden="1">
      <c r="A402" s="1075"/>
      <c r="B402" s="1075" t="s">
        <v>649</v>
      </c>
      <c r="C402" s="1060">
        <f>_xlfn.IFERROR(VLOOKUP(B402,'[1]ПО КОРИСНИЦИМА'!$C$3:$J$11609,5,FALSE),"")</f>
      </c>
      <c r="D402" s="1064"/>
      <c r="E402" s="1058">
        <f t="shared" si="12"/>
        <v>0</v>
      </c>
      <c r="F402" s="1065"/>
      <c r="G402" s="1061">
        <f t="shared" si="13"/>
        <v>0</v>
      </c>
      <c r="H402" s="1062"/>
    </row>
    <row r="403" spans="1:8" ht="12.75" hidden="1">
      <c r="A403" s="1075"/>
      <c r="B403" s="1075" t="s">
        <v>650</v>
      </c>
      <c r="C403" s="1060">
        <f>_xlfn.IFERROR(VLOOKUP(B403,'[1]ПО КОРИСНИЦИМА'!$C$3:$J$11609,5,FALSE),"")</f>
      </c>
      <c r="D403" s="1064"/>
      <c r="E403" s="1058">
        <f t="shared" si="12"/>
        <v>0</v>
      </c>
      <c r="F403" s="1065"/>
      <c r="G403" s="1061">
        <f t="shared" si="13"/>
        <v>0</v>
      </c>
      <c r="H403" s="1062"/>
    </row>
    <row r="404" spans="1:8" ht="12.75" hidden="1">
      <c r="A404" s="1075"/>
      <c r="B404" s="1075" t="s">
        <v>651</v>
      </c>
      <c r="C404" s="1060">
        <f>_xlfn.IFERROR(VLOOKUP(B404,'[1]ПО КОРИСНИЦИМА'!$C$3:$J$11609,5,FALSE),"")</f>
      </c>
      <c r="D404" s="1064"/>
      <c r="E404" s="1058">
        <f t="shared" si="12"/>
        <v>0</v>
      </c>
      <c r="F404" s="1065"/>
      <c r="G404" s="1061">
        <f t="shared" si="13"/>
        <v>0</v>
      </c>
      <c r="H404" s="1062"/>
    </row>
    <row r="405" spans="1:8" ht="12.75" hidden="1">
      <c r="A405" s="1075"/>
      <c r="B405" s="1075" t="s">
        <v>652</v>
      </c>
      <c r="C405" s="1060">
        <f>_xlfn.IFERROR(VLOOKUP(B405,'[1]ПО КОРИСНИЦИМА'!$C$3:$J$11609,5,FALSE),"")</f>
      </c>
      <c r="D405" s="1064"/>
      <c r="E405" s="1058">
        <f t="shared" si="12"/>
        <v>0</v>
      </c>
      <c r="F405" s="1065"/>
      <c r="G405" s="1061">
        <f t="shared" si="13"/>
        <v>0</v>
      </c>
      <c r="H405" s="1062"/>
    </row>
    <row r="406" spans="1:8" ht="12.75" hidden="1">
      <c r="A406" s="1075"/>
      <c r="B406" s="1075" t="s">
        <v>653</v>
      </c>
      <c r="C406" s="1060">
        <f>_xlfn.IFERROR(VLOOKUP(B406,'[1]ПО КОРИСНИЦИМА'!$C$3:$J$11609,5,FALSE),"")</f>
      </c>
      <c r="D406" s="1064"/>
      <c r="E406" s="1058">
        <f t="shared" si="12"/>
        <v>0</v>
      </c>
      <c r="F406" s="1065"/>
      <c r="G406" s="1061">
        <f t="shared" si="13"/>
        <v>0</v>
      </c>
      <c r="H406" s="1062"/>
    </row>
    <row r="407" spans="1:8" ht="12.75" hidden="1">
      <c r="A407" s="1075"/>
      <c r="B407" s="1075" t="s">
        <v>654</v>
      </c>
      <c r="C407" s="1060">
        <f>_xlfn.IFERROR(VLOOKUP(B407,'[1]ПО КОРИСНИЦИМА'!$C$3:$J$11609,5,FALSE),"")</f>
      </c>
      <c r="D407" s="1064"/>
      <c r="E407" s="1058">
        <f t="shared" si="12"/>
        <v>0</v>
      </c>
      <c r="F407" s="1065"/>
      <c r="G407" s="1061">
        <f t="shared" si="13"/>
        <v>0</v>
      </c>
      <c r="H407" s="1062"/>
    </row>
    <row r="408" spans="1:8" ht="12.75" hidden="1">
      <c r="A408" s="1075"/>
      <c r="B408" s="1075" t="s">
        <v>655</v>
      </c>
      <c r="C408" s="1060">
        <f>_xlfn.IFERROR(VLOOKUP(B408,'[1]ПО КОРИСНИЦИМА'!$C$3:$J$11609,5,FALSE),"")</f>
      </c>
      <c r="D408" s="1064"/>
      <c r="E408" s="1058">
        <f t="shared" si="12"/>
        <v>0</v>
      </c>
      <c r="F408" s="1065"/>
      <c r="G408" s="1061">
        <f t="shared" si="13"/>
        <v>0</v>
      </c>
      <c r="H408" s="1062"/>
    </row>
    <row r="409" spans="1:8" ht="12.75" hidden="1">
      <c r="A409" s="1075"/>
      <c r="B409" s="1075" t="s">
        <v>656</v>
      </c>
      <c r="C409" s="1060">
        <f>_xlfn.IFERROR(VLOOKUP(B409,'[1]ПО КОРИСНИЦИМА'!$C$3:$J$11609,5,FALSE),"")</f>
      </c>
      <c r="D409" s="1064"/>
      <c r="E409" s="1058">
        <f t="shared" si="12"/>
        <v>0</v>
      </c>
      <c r="F409" s="1065"/>
      <c r="G409" s="1061">
        <f t="shared" si="13"/>
        <v>0</v>
      </c>
      <c r="H409" s="1062"/>
    </row>
    <row r="410" spans="1:8" ht="12.75" hidden="1">
      <c r="A410" s="1075"/>
      <c r="B410" s="1075" t="s">
        <v>657</v>
      </c>
      <c r="C410" s="1060">
        <f>_xlfn.IFERROR(VLOOKUP(B410,'[1]ПО КОРИСНИЦИМА'!$C$3:$J$11609,5,FALSE),"")</f>
      </c>
      <c r="D410" s="1064"/>
      <c r="E410" s="1058">
        <f t="shared" si="12"/>
        <v>0</v>
      </c>
      <c r="F410" s="1065"/>
      <c r="G410" s="1061">
        <f t="shared" si="13"/>
        <v>0</v>
      </c>
      <c r="H410" s="1062"/>
    </row>
    <row r="411" spans="1:8" ht="12.75" hidden="1">
      <c r="A411" s="1075"/>
      <c r="B411" s="1075" t="s">
        <v>658</v>
      </c>
      <c r="C411" s="1060">
        <f>_xlfn.IFERROR(VLOOKUP(B411,'[1]ПО КОРИСНИЦИМА'!$C$3:$J$11609,5,FALSE),"")</f>
      </c>
      <c r="D411" s="1064"/>
      <c r="E411" s="1058">
        <f t="shared" si="12"/>
        <v>0</v>
      </c>
      <c r="F411" s="1065"/>
      <c r="G411" s="1061">
        <f t="shared" si="13"/>
        <v>0</v>
      </c>
      <c r="H411" s="1062"/>
    </row>
    <row r="412" spans="1:8" ht="12.75" hidden="1">
      <c r="A412" s="1075"/>
      <c r="B412" s="1075" t="s">
        <v>659</v>
      </c>
      <c r="C412" s="1060">
        <f>_xlfn.IFERROR(VLOOKUP(B412,'[1]ПО КОРИСНИЦИМА'!$C$3:$J$11609,5,FALSE),"")</f>
      </c>
      <c r="D412" s="1064"/>
      <c r="E412" s="1058">
        <f t="shared" si="12"/>
        <v>0</v>
      </c>
      <c r="F412" s="1065"/>
      <c r="G412" s="1061">
        <f t="shared" si="13"/>
        <v>0</v>
      </c>
      <c r="H412" s="1062"/>
    </row>
    <row r="413" spans="1:8" s="325" customFormat="1" ht="12.75" hidden="1">
      <c r="A413" s="1054" t="s">
        <v>300</v>
      </c>
      <c r="B413" s="1055"/>
      <c r="C413" s="1056" t="s">
        <v>8</v>
      </c>
      <c r="D413" s="1057"/>
      <c r="E413" s="1058">
        <f t="shared" si="12"/>
        <v>0</v>
      </c>
      <c r="F413" s="1071"/>
      <c r="G413" s="1057">
        <f t="shared" si="13"/>
        <v>0</v>
      </c>
      <c r="H413" s="1072"/>
    </row>
    <row r="414" spans="1:8" ht="12.75" hidden="1">
      <c r="A414" s="1083"/>
      <c r="B414" s="1087"/>
      <c r="C414" s="1066"/>
      <c r="D414" s="1061"/>
      <c r="E414" s="1058">
        <f t="shared" si="12"/>
        <v>0</v>
      </c>
      <c r="F414" s="1061"/>
      <c r="G414" s="1061">
        <f t="shared" si="13"/>
        <v>0</v>
      </c>
      <c r="H414" s="1062"/>
    </row>
    <row r="415" spans="1:8" ht="12.75" hidden="1">
      <c r="A415" s="1083"/>
      <c r="B415" s="1087"/>
      <c r="C415" s="1084"/>
      <c r="D415" s="1061"/>
      <c r="E415" s="1058">
        <f t="shared" si="12"/>
        <v>0</v>
      </c>
      <c r="F415" s="1061"/>
      <c r="G415" s="1061">
        <f t="shared" si="13"/>
        <v>0</v>
      </c>
      <c r="H415" s="1062"/>
    </row>
    <row r="416" spans="1:8" ht="25.5" customHeight="1" hidden="1">
      <c r="A416" s="1083"/>
      <c r="B416" s="1087"/>
      <c r="C416" s="1067"/>
      <c r="D416" s="1088"/>
      <c r="E416" s="1058">
        <f t="shared" si="12"/>
        <v>0</v>
      </c>
      <c r="F416" s="1061"/>
      <c r="G416" s="1061">
        <f t="shared" si="13"/>
        <v>0</v>
      </c>
      <c r="H416" s="1062"/>
    </row>
    <row r="417" spans="1:8" s="325" customFormat="1" ht="12.75">
      <c r="A417" s="1054" t="s">
        <v>300</v>
      </c>
      <c r="B417" s="1055"/>
      <c r="C417" s="1056" t="s">
        <v>1288</v>
      </c>
      <c r="D417" s="1057">
        <f>SUM(D418:D421)</f>
        <v>31023935</v>
      </c>
      <c r="E417" s="1058">
        <f t="shared" si="12"/>
        <v>0.06977052320240995</v>
      </c>
      <c r="F417" s="1057">
        <f>SUM(F418:F421)</f>
        <v>1298001</v>
      </c>
      <c r="G417" s="1057">
        <f t="shared" si="13"/>
        <v>32321936</v>
      </c>
      <c r="H417" s="1072"/>
    </row>
    <row r="418" spans="1:8" s="296" customFormat="1" ht="12.75">
      <c r="A418" s="1089"/>
      <c r="B418" s="1089" t="s">
        <v>301</v>
      </c>
      <c r="C418" s="1074" t="s">
        <v>1296</v>
      </c>
      <c r="D418" s="1085">
        <f>'Rashodi-2020'!M400</f>
        <v>12277935</v>
      </c>
      <c r="E418" s="1181">
        <f t="shared" si="12"/>
        <v>0.027612162957251593</v>
      </c>
      <c r="F418" s="1085">
        <f>'Rashodi-2020'!T400</f>
        <v>799001</v>
      </c>
      <c r="G418" s="1085">
        <f t="shared" si="13"/>
        <v>13076936</v>
      </c>
      <c r="H418" s="1078" t="s">
        <v>1175</v>
      </c>
    </row>
    <row r="419" spans="1:8" ht="12.75">
      <c r="A419" s="1083"/>
      <c r="B419" s="1075" t="s">
        <v>316</v>
      </c>
      <c r="C419" s="1090" t="s">
        <v>1289</v>
      </c>
      <c r="D419" s="1061">
        <f>'Rashodi-2020'!M138+'Rashodi-2020'!M417</f>
        <v>14346000</v>
      </c>
      <c r="E419" s="1181">
        <f t="shared" si="12"/>
        <v>0.03226308738275055</v>
      </c>
      <c r="F419" s="1061">
        <f>'Rashodi-2020'!T138+'Rashodi-2020'!T417</f>
        <v>474000</v>
      </c>
      <c r="G419" s="1085">
        <f t="shared" si="13"/>
        <v>14820000</v>
      </c>
      <c r="H419" s="1062" t="s">
        <v>1174</v>
      </c>
    </row>
    <row r="420" spans="1:8" ht="24">
      <c r="A420" s="1083"/>
      <c r="B420" s="1075" t="s">
        <v>1235</v>
      </c>
      <c r="C420" s="1067" t="s">
        <v>1310</v>
      </c>
      <c r="D420" s="1068">
        <f>'Rashodi-2020'!M143</f>
        <v>4400000</v>
      </c>
      <c r="E420" s="1181">
        <f t="shared" si="12"/>
        <v>0.009895272862407807</v>
      </c>
      <c r="F420" s="1061">
        <f>'Rashodi-2020'!T143</f>
        <v>0</v>
      </c>
      <c r="G420" s="1085">
        <f t="shared" si="13"/>
        <v>4400000</v>
      </c>
      <c r="H420" s="1062" t="s">
        <v>1173</v>
      </c>
    </row>
    <row r="421" spans="1:8" ht="12.75">
      <c r="A421" s="1075"/>
      <c r="B421" s="1075" t="s">
        <v>663</v>
      </c>
      <c r="C421" s="1060" t="s">
        <v>1541</v>
      </c>
      <c r="D421" s="1064">
        <f>'Rashodi-2020'!M422</f>
        <v>0</v>
      </c>
      <c r="E421" s="1181">
        <f t="shared" si="12"/>
        <v>0</v>
      </c>
      <c r="F421" s="1065">
        <f>'Rashodi-2020'!T422</f>
        <v>25000</v>
      </c>
      <c r="G421" s="1061">
        <f t="shared" si="13"/>
        <v>25000</v>
      </c>
      <c r="H421" s="1062" t="s">
        <v>1175</v>
      </c>
    </row>
    <row r="422" spans="1:8" ht="12.75" hidden="1">
      <c r="A422" s="1075"/>
      <c r="B422" s="1075" t="s">
        <v>660</v>
      </c>
      <c r="C422" s="1060">
        <f>_xlfn.IFERROR(VLOOKUP(B422,'[1]ПО КОРИСНИЦИМА'!$C$3:$J$11609,5,FALSE),"")</f>
      </c>
      <c r="D422" s="1064"/>
      <c r="E422" s="1058">
        <f t="shared" si="12"/>
        <v>0</v>
      </c>
      <c r="F422" s="1065"/>
      <c r="G422" s="1061">
        <f t="shared" si="13"/>
        <v>0</v>
      </c>
      <c r="H422" s="1062"/>
    </row>
    <row r="423" spans="1:8" ht="12.75" hidden="1">
      <c r="A423" s="1075"/>
      <c r="B423" s="1075" t="s">
        <v>661</v>
      </c>
      <c r="C423" s="1060">
        <f>_xlfn.IFERROR(VLOOKUP(B423,'[1]ПО КОРИСНИЦИМА'!$C$3:$J$11609,5,FALSE),"")</f>
      </c>
      <c r="D423" s="1064"/>
      <c r="E423" s="1058">
        <f t="shared" si="12"/>
        <v>0</v>
      </c>
      <c r="F423" s="1065"/>
      <c r="G423" s="1061">
        <f t="shared" si="13"/>
        <v>0</v>
      </c>
      <c r="H423" s="1062"/>
    </row>
    <row r="424" spans="1:8" ht="12.75" hidden="1">
      <c r="A424" s="1075"/>
      <c r="B424" s="1075" t="s">
        <v>662</v>
      </c>
      <c r="C424" s="1060">
        <f>_xlfn.IFERROR(VLOOKUP(B424,'[1]ПО КОРИСНИЦИМА'!$C$3:$J$11609,5,FALSE),"")</f>
      </c>
      <c r="D424" s="1064"/>
      <c r="E424" s="1058">
        <f t="shared" si="12"/>
        <v>0</v>
      </c>
      <c r="F424" s="1065"/>
      <c r="G424" s="1061">
        <f t="shared" si="13"/>
        <v>0</v>
      </c>
      <c r="H424" s="1062"/>
    </row>
    <row r="425" spans="1:8" ht="12.75" hidden="1">
      <c r="A425" s="1075"/>
      <c r="B425" s="1075" t="s">
        <v>663</v>
      </c>
      <c r="C425" s="1060">
        <f>_xlfn.IFERROR(VLOOKUP(B425,'[1]ПО КОРИСНИЦИМА'!$C$3:$J$11609,5,FALSE),"")</f>
      </c>
      <c r="D425" s="1064"/>
      <c r="E425" s="1058">
        <f t="shared" si="12"/>
        <v>0</v>
      </c>
      <c r="F425" s="1065"/>
      <c r="G425" s="1061">
        <f t="shared" si="13"/>
        <v>0</v>
      </c>
      <c r="H425" s="1062"/>
    </row>
    <row r="426" spans="1:8" ht="12.75" hidden="1">
      <c r="A426" s="1075"/>
      <c r="B426" s="1075" t="s">
        <v>664</v>
      </c>
      <c r="C426" s="1060">
        <f>_xlfn.IFERROR(VLOOKUP(B426,'[1]ПО КОРИСНИЦИМА'!$C$3:$J$11609,5,FALSE),"")</f>
      </c>
      <c r="D426" s="1064"/>
      <c r="E426" s="1058">
        <f t="shared" si="12"/>
        <v>0</v>
      </c>
      <c r="F426" s="1065"/>
      <c r="G426" s="1061">
        <f t="shared" si="13"/>
        <v>0</v>
      </c>
      <c r="H426" s="1062"/>
    </row>
    <row r="427" spans="1:8" ht="12.75" hidden="1">
      <c r="A427" s="1075"/>
      <c r="B427" s="1075" t="s">
        <v>665</v>
      </c>
      <c r="C427" s="1060">
        <f>_xlfn.IFERROR(VLOOKUP(B427,'[1]ПО КОРИСНИЦИМА'!$C$3:$J$11609,5,FALSE),"")</f>
      </c>
      <c r="D427" s="1064"/>
      <c r="E427" s="1058">
        <f t="shared" si="12"/>
        <v>0</v>
      </c>
      <c r="F427" s="1065"/>
      <c r="G427" s="1061">
        <f t="shared" si="13"/>
        <v>0</v>
      </c>
      <c r="H427" s="1062"/>
    </row>
    <row r="428" spans="1:8" ht="12.75" hidden="1">
      <c r="A428" s="1075"/>
      <c r="B428" s="1075" t="s">
        <v>666</v>
      </c>
      <c r="C428" s="1060">
        <f>_xlfn.IFERROR(VLOOKUP(B428,'[1]ПО КОРИСНИЦИМА'!$C$3:$J$11609,5,FALSE),"")</f>
      </c>
      <c r="D428" s="1064"/>
      <c r="E428" s="1058">
        <f t="shared" si="12"/>
        <v>0</v>
      </c>
      <c r="F428" s="1065"/>
      <c r="G428" s="1061">
        <f t="shared" si="13"/>
        <v>0</v>
      </c>
      <c r="H428" s="1062"/>
    </row>
    <row r="429" spans="1:8" ht="12.75" hidden="1">
      <c r="A429" s="1075"/>
      <c r="B429" s="1075" t="s">
        <v>667</v>
      </c>
      <c r="C429" s="1060">
        <f>_xlfn.IFERROR(VLOOKUP(B429,'[1]ПО КОРИСНИЦИМА'!$C$3:$J$11609,5,FALSE),"")</f>
      </c>
      <c r="D429" s="1064"/>
      <c r="E429" s="1058">
        <f t="shared" si="12"/>
        <v>0</v>
      </c>
      <c r="F429" s="1065"/>
      <c r="G429" s="1061">
        <f t="shared" si="13"/>
        <v>0</v>
      </c>
      <c r="H429" s="1062"/>
    </row>
    <row r="430" spans="1:8" ht="12.75" hidden="1">
      <c r="A430" s="1075"/>
      <c r="B430" s="1075" t="s">
        <v>668</v>
      </c>
      <c r="C430" s="1060">
        <f>_xlfn.IFERROR(VLOOKUP(B430,'[1]ПО КОРИСНИЦИМА'!$C$3:$J$11609,5,FALSE),"")</f>
      </c>
      <c r="D430" s="1064"/>
      <c r="E430" s="1058">
        <f t="shared" si="12"/>
        <v>0</v>
      </c>
      <c r="F430" s="1065"/>
      <c r="G430" s="1061">
        <f t="shared" si="13"/>
        <v>0</v>
      </c>
      <c r="H430" s="1062"/>
    </row>
    <row r="431" spans="1:8" ht="12.75" hidden="1">
      <c r="A431" s="1075"/>
      <c r="B431" s="1075" t="s">
        <v>669</v>
      </c>
      <c r="C431" s="1060">
        <f>_xlfn.IFERROR(VLOOKUP(B431,'[1]ПО КОРИСНИЦИМА'!$C$3:$J$11609,5,FALSE),"")</f>
      </c>
      <c r="D431" s="1064"/>
      <c r="E431" s="1058">
        <f t="shared" si="12"/>
        <v>0</v>
      </c>
      <c r="F431" s="1065"/>
      <c r="G431" s="1061">
        <f t="shared" si="13"/>
        <v>0</v>
      </c>
      <c r="H431" s="1062"/>
    </row>
    <row r="432" spans="1:8" ht="12.75" hidden="1">
      <c r="A432" s="1075"/>
      <c r="B432" s="1075" t="s">
        <v>670</v>
      </c>
      <c r="C432" s="1060">
        <f>_xlfn.IFERROR(VLOOKUP(B432,'[1]ПО КОРИСНИЦИМА'!$C$3:$J$11609,5,FALSE),"")</f>
      </c>
      <c r="D432" s="1064"/>
      <c r="E432" s="1058">
        <f t="shared" si="12"/>
        <v>0</v>
      </c>
      <c r="F432" s="1065"/>
      <c r="G432" s="1061">
        <f t="shared" si="13"/>
        <v>0</v>
      </c>
      <c r="H432" s="1062"/>
    </row>
    <row r="433" spans="1:8" ht="12.75" hidden="1">
      <c r="A433" s="1075"/>
      <c r="B433" s="1075" t="s">
        <v>671</v>
      </c>
      <c r="C433" s="1060">
        <f>_xlfn.IFERROR(VLOOKUP(B433,'[1]ПО КОРИСНИЦИМА'!$C$3:$J$11609,5,FALSE),"")</f>
      </c>
      <c r="D433" s="1064"/>
      <c r="E433" s="1058">
        <f t="shared" si="12"/>
        <v>0</v>
      </c>
      <c r="F433" s="1065"/>
      <c r="G433" s="1061">
        <f t="shared" si="13"/>
        <v>0</v>
      </c>
      <c r="H433" s="1062"/>
    </row>
    <row r="434" spans="1:8" ht="12.75" hidden="1">
      <c r="A434" s="1075"/>
      <c r="B434" s="1075" t="s">
        <v>672</v>
      </c>
      <c r="C434" s="1060">
        <f>_xlfn.IFERROR(VLOOKUP(B434,'[1]ПО КОРИСНИЦИМА'!$C$3:$J$11609,5,FALSE),"")</f>
      </c>
      <c r="D434" s="1064"/>
      <c r="E434" s="1058">
        <f t="shared" si="12"/>
        <v>0</v>
      </c>
      <c r="F434" s="1065"/>
      <c r="G434" s="1061">
        <f t="shared" si="13"/>
        <v>0</v>
      </c>
      <c r="H434" s="1062"/>
    </row>
    <row r="435" spans="1:8" ht="12.75" hidden="1">
      <c r="A435" s="1075"/>
      <c r="B435" s="1075" t="s">
        <v>673</v>
      </c>
      <c r="C435" s="1060">
        <f>_xlfn.IFERROR(VLOOKUP(B435,'[1]ПО КОРИСНИЦИМА'!$C$3:$J$11609,5,FALSE),"")</f>
      </c>
      <c r="D435" s="1064"/>
      <c r="E435" s="1058">
        <f t="shared" si="12"/>
        <v>0</v>
      </c>
      <c r="F435" s="1065"/>
      <c r="G435" s="1061">
        <f t="shared" si="13"/>
        <v>0</v>
      </c>
      <c r="H435" s="1062"/>
    </row>
    <row r="436" spans="1:8" ht="12.75" hidden="1">
      <c r="A436" s="1075"/>
      <c r="B436" s="1075" t="s">
        <v>674</v>
      </c>
      <c r="C436" s="1060">
        <f>_xlfn.IFERROR(VLOOKUP(B436,'[1]ПО КОРИСНИЦИМА'!$C$3:$J$11609,5,FALSE),"")</f>
      </c>
      <c r="D436" s="1064"/>
      <c r="E436" s="1058">
        <f t="shared" si="12"/>
        <v>0</v>
      </c>
      <c r="F436" s="1065"/>
      <c r="G436" s="1061">
        <f t="shared" si="13"/>
        <v>0</v>
      </c>
      <c r="H436" s="1062"/>
    </row>
    <row r="437" spans="1:8" ht="12.75" hidden="1">
      <c r="A437" s="1075"/>
      <c r="B437" s="1075" t="s">
        <v>675</v>
      </c>
      <c r="C437" s="1060">
        <f>_xlfn.IFERROR(VLOOKUP(B437,'[1]ПО КОРИСНИЦИМА'!$C$3:$J$11609,5,FALSE),"")</f>
      </c>
      <c r="D437" s="1064"/>
      <c r="E437" s="1058">
        <f t="shared" si="12"/>
        <v>0</v>
      </c>
      <c r="F437" s="1065"/>
      <c r="G437" s="1061">
        <f t="shared" si="13"/>
        <v>0</v>
      </c>
      <c r="H437" s="1062"/>
    </row>
    <row r="438" spans="1:8" ht="12.75" hidden="1">
      <c r="A438" s="1075"/>
      <c r="B438" s="1075" t="s">
        <v>676</v>
      </c>
      <c r="C438" s="1060">
        <f>_xlfn.IFERROR(VLOOKUP(B438,'[1]ПО КОРИСНИЦИМА'!$C$3:$J$11609,5,FALSE),"")</f>
      </c>
      <c r="D438" s="1064"/>
      <c r="E438" s="1058">
        <f t="shared" si="12"/>
        <v>0</v>
      </c>
      <c r="F438" s="1065"/>
      <c r="G438" s="1061">
        <f t="shared" si="13"/>
        <v>0</v>
      </c>
      <c r="H438" s="1062"/>
    </row>
    <row r="439" spans="1:8" ht="12.75" hidden="1">
      <c r="A439" s="1075"/>
      <c r="B439" s="1075" t="s">
        <v>677</v>
      </c>
      <c r="C439" s="1060">
        <f>_xlfn.IFERROR(VLOOKUP(B439,'[1]ПО КОРИСНИЦИМА'!$C$3:$J$11609,5,FALSE),"")</f>
      </c>
      <c r="D439" s="1064"/>
      <c r="E439" s="1058">
        <f t="shared" si="12"/>
        <v>0</v>
      </c>
      <c r="F439" s="1065"/>
      <c r="G439" s="1061">
        <f t="shared" si="13"/>
        <v>0</v>
      </c>
      <c r="H439" s="1062"/>
    </row>
    <row r="440" spans="1:8" ht="12.75" hidden="1">
      <c r="A440" s="1075"/>
      <c r="B440" s="1075" t="s">
        <v>678</v>
      </c>
      <c r="C440" s="1060">
        <f>_xlfn.IFERROR(VLOOKUP(B440,'[1]ПО КОРИСНИЦИМА'!$C$3:$J$11609,5,FALSE),"")</f>
      </c>
      <c r="D440" s="1064"/>
      <c r="E440" s="1058">
        <f t="shared" si="12"/>
        <v>0</v>
      </c>
      <c r="F440" s="1065"/>
      <c r="G440" s="1061">
        <f t="shared" si="13"/>
        <v>0</v>
      </c>
      <c r="H440" s="1062"/>
    </row>
    <row r="441" spans="1:8" ht="12.75" hidden="1">
      <c r="A441" s="1075"/>
      <c r="B441" s="1075" t="s">
        <v>679</v>
      </c>
      <c r="C441" s="1060">
        <f>_xlfn.IFERROR(VLOOKUP(B441,'[1]ПО КОРИСНИЦИМА'!$C$3:$J$11609,5,FALSE),"")</f>
      </c>
      <c r="D441" s="1064"/>
      <c r="E441" s="1058">
        <f t="shared" si="12"/>
        <v>0</v>
      </c>
      <c r="F441" s="1065"/>
      <c r="G441" s="1061">
        <f t="shared" si="13"/>
        <v>0</v>
      </c>
      <c r="H441" s="1062"/>
    </row>
    <row r="442" spans="1:8" ht="12.75" hidden="1">
      <c r="A442" s="1075"/>
      <c r="B442" s="1075" t="s">
        <v>680</v>
      </c>
      <c r="C442" s="1060">
        <f>_xlfn.IFERROR(VLOOKUP(B442,'[1]ПО КОРИСНИЦИМА'!$C$3:$J$11609,5,FALSE),"")</f>
      </c>
      <c r="D442" s="1064"/>
      <c r="E442" s="1058">
        <f t="shared" si="12"/>
        <v>0</v>
      </c>
      <c r="F442" s="1065"/>
      <c r="G442" s="1061">
        <f t="shared" si="13"/>
        <v>0</v>
      </c>
      <c r="H442" s="1062"/>
    </row>
    <row r="443" spans="1:8" ht="12.75" hidden="1">
      <c r="A443" s="1075"/>
      <c r="B443" s="1075" t="s">
        <v>681</v>
      </c>
      <c r="C443" s="1060">
        <f>_xlfn.IFERROR(VLOOKUP(B443,'[1]ПО КОРИСНИЦИМА'!$C$3:$J$11609,5,FALSE),"")</f>
      </c>
      <c r="D443" s="1064"/>
      <c r="E443" s="1058">
        <f t="shared" si="12"/>
        <v>0</v>
      </c>
      <c r="F443" s="1065"/>
      <c r="G443" s="1061">
        <f t="shared" si="13"/>
        <v>0</v>
      </c>
      <c r="H443" s="1062"/>
    </row>
    <row r="444" spans="1:8" ht="12.75" hidden="1">
      <c r="A444" s="1075"/>
      <c r="B444" s="1075" t="s">
        <v>682</v>
      </c>
      <c r="C444" s="1060">
        <f>_xlfn.IFERROR(VLOOKUP(B444,'[1]ПО КОРИСНИЦИМА'!$C$3:$J$11609,5,FALSE),"")</f>
      </c>
      <c r="D444" s="1064" t="e">
        <f>SUMIF('[1]ПО КОРИСНИЦИМА'!$G$3:$G$11609,"Свега за пројекат 1201-П25:",'[1]ПО КОРИСНИЦИМА'!$H$3:$H$11609)</f>
        <v>#VALUE!</v>
      </c>
      <c r="E444" s="1058" t="e">
        <f t="shared" si="12"/>
        <v>#VALUE!</v>
      </c>
      <c r="F444" s="1065" t="e">
        <f>SUMIF('[1]ПО КОРИСНИЦИМА'!$G$3:$G$11609,"Свега за пројекат 1201-П25:",'[1]ПО КОРИСНИЦИМА'!$I$3:$I$11609)</f>
        <v>#VALUE!</v>
      </c>
      <c r="G444" s="1061" t="e">
        <f t="shared" si="13"/>
        <v>#VALUE!</v>
      </c>
      <c r="H444" s="1062"/>
    </row>
    <row r="445" spans="1:8" ht="12.75" hidden="1">
      <c r="A445" s="1075"/>
      <c r="B445" s="1075" t="s">
        <v>683</v>
      </c>
      <c r="C445" s="1060">
        <f>_xlfn.IFERROR(VLOOKUP(B445,'[1]ПО КОРИСНИЦИМА'!$C$3:$J$11609,5,FALSE),"")</f>
      </c>
      <c r="D445" s="1064" t="e">
        <f>SUMIF('[1]ПО КОРИСНИЦИМА'!$G$3:$G$11609,"Свега за пројекат 1201-П26:",'[1]ПО КОРИСНИЦИМА'!$H$3:$H$11609)</f>
        <v>#VALUE!</v>
      </c>
      <c r="E445" s="1058" t="e">
        <f t="shared" si="12"/>
        <v>#VALUE!</v>
      </c>
      <c r="F445" s="1065" t="e">
        <f>SUMIF('[1]ПО КОРИСНИЦИМА'!$G$3:$G$11609,"Свега за пројекат 1201-П26:",'[1]ПО КОРИСНИЦИМА'!$I$3:$I$11609)</f>
        <v>#VALUE!</v>
      </c>
      <c r="G445" s="1061" t="e">
        <f t="shared" si="13"/>
        <v>#VALUE!</v>
      </c>
      <c r="H445" s="1062"/>
    </row>
    <row r="446" spans="1:8" ht="12.75" hidden="1">
      <c r="A446" s="1075"/>
      <c r="B446" s="1075" t="s">
        <v>684</v>
      </c>
      <c r="C446" s="1060">
        <f>_xlfn.IFERROR(VLOOKUP(B446,'[1]ПО КОРИСНИЦИМА'!$C$3:$J$11609,5,FALSE),"")</f>
      </c>
      <c r="D446" s="1064" t="e">
        <f>SUMIF('[1]ПО КОРИСНИЦИМА'!$G$3:$G$11609,"Свега за пројекат 1201-П27:",'[1]ПО КОРИСНИЦИМА'!$H$3:$H$11609)</f>
        <v>#VALUE!</v>
      </c>
      <c r="E446" s="1058" t="e">
        <f t="shared" si="12"/>
        <v>#VALUE!</v>
      </c>
      <c r="F446" s="1065" t="e">
        <f>SUMIF('[1]ПО КОРИСНИЦИМА'!$G$3:$G$11609,"Свега за пројекат 1201-П27:",'[1]ПО КОРИСНИЦИМА'!$I$3:$I$11609)</f>
        <v>#VALUE!</v>
      </c>
      <c r="G446" s="1061" t="e">
        <f t="shared" si="13"/>
        <v>#VALUE!</v>
      </c>
      <c r="H446" s="1062"/>
    </row>
    <row r="447" spans="1:8" ht="12.75" hidden="1">
      <c r="A447" s="1075"/>
      <c r="B447" s="1075" t="s">
        <v>685</v>
      </c>
      <c r="C447" s="1060">
        <f>_xlfn.IFERROR(VLOOKUP(B447,'[1]ПО КОРИСНИЦИМА'!$C$3:$J$11609,5,FALSE),"")</f>
      </c>
      <c r="D447" s="1064" t="e">
        <f>SUMIF('[1]ПО КОРИСНИЦИМА'!$G$3:$G$11609,"Свега за пројекат 1201-П28:",'[1]ПО КОРИСНИЦИМА'!$H$3:$H$11609)</f>
        <v>#VALUE!</v>
      </c>
      <c r="E447" s="1058" t="e">
        <f t="shared" si="12"/>
        <v>#VALUE!</v>
      </c>
      <c r="F447" s="1065" t="e">
        <f>SUMIF('[1]ПО КОРИСНИЦИМА'!$G$3:$G$11609,"Свега за пројекат 1201-П28:",'[1]ПО КОРИСНИЦИМА'!$I$3:$I$11609)</f>
        <v>#VALUE!</v>
      </c>
      <c r="G447" s="1061" t="e">
        <f t="shared" si="13"/>
        <v>#VALUE!</v>
      </c>
      <c r="H447" s="1062"/>
    </row>
    <row r="448" spans="1:8" ht="12.75" hidden="1">
      <c r="A448" s="1075"/>
      <c r="B448" s="1075" t="s">
        <v>686</v>
      </c>
      <c r="C448" s="1060">
        <f>_xlfn.IFERROR(VLOOKUP(B448,'[1]ПО КОРИСНИЦИМА'!$C$3:$J$11609,5,FALSE),"")</f>
      </c>
      <c r="D448" s="1064" t="e">
        <f>SUMIF('[1]ПО КОРИСНИЦИМА'!$G$3:$G$11609,"Свега за пројекат 1201-П29:",'[1]ПО КОРИСНИЦИМА'!$H$3:$H$11609)</f>
        <v>#VALUE!</v>
      </c>
      <c r="E448" s="1058" t="e">
        <f t="shared" si="12"/>
        <v>#VALUE!</v>
      </c>
      <c r="F448" s="1065" t="e">
        <f>SUMIF('[1]ПО КОРИСНИЦИМА'!$G$3:$G$11609,"Свега за пројекат 1201-П29:",'[1]ПО КОРИСНИЦИМА'!$I$3:$I$11609)</f>
        <v>#VALUE!</v>
      </c>
      <c r="G448" s="1061" t="e">
        <f t="shared" si="13"/>
        <v>#VALUE!</v>
      </c>
      <c r="H448" s="1062"/>
    </row>
    <row r="449" spans="1:8" ht="12.75" hidden="1">
      <c r="A449" s="1075"/>
      <c r="B449" s="1075" t="s">
        <v>687</v>
      </c>
      <c r="C449" s="1060">
        <f>_xlfn.IFERROR(VLOOKUP(B449,'[1]ПО КОРИСНИЦИМА'!$C$3:$J$11609,5,FALSE),"")</f>
      </c>
      <c r="D449" s="1064" t="e">
        <f>SUMIF('[1]ПО КОРИСНИЦИМА'!$G$3:$G$11609,"Свега за пројекат 1201-П30:",'[1]ПО КОРИСНИЦИМА'!$H$3:$H$11609)</f>
        <v>#VALUE!</v>
      </c>
      <c r="E449" s="1058" t="e">
        <f t="shared" si="12"/>
        <v>#VALUE!</v>
      </c>
      <c r="F449" s="1065" t="e">
        <f>SUMIF('[1]ПО КОРИСНИЦИМА'!$G$3:$G$11609,"Свега за пројекат 1201-П30:",'[1]ПО КОРИСНИЦИМА'!$I$3:$I$11609)</f>
        <v>#VALUE!</v>
      </c>
      <c r="G449" s="1061" t="e">
        <f t="shared" si="13"/>
        <v>#VALUE!</v>
      </c>
      <c r="H449" s="1062"/>
    </row>
    <row r="450" spans="1:8" ht="12.75" hidden="1">
      <c r="A450" s="1075"/>
      <c r="B450" s="1075" t="s">
        <v>688</v>
      </c>
      <c r="C450" s="1060">
        <f>_xlfn.IFERROR(VLOOKUP(B450,'[1]ПО КОРИСНИЦИМА'!$C$3:$J$11609,5,FALSE),"")</f>
      </c>
      <c r="D450" s="1064" t="e">
        <f>SUMIF('[1]ПО КОРИСНИЦИМА'!$G$3:$G$11609,"Свега за пројекат 1201-П31:",'[1]ПО КОРИСНИЦИМА'!$H$3:$H$11609)</f>
        <v>#VALUE!</v>
      </c>
      <c r="E450" s="1058" t="e">
        <f t="shared" si="12"/>
        <v>#VALUE!</v>
      </c>
      <c r="F450" s="1065" t="e">
        <f>SUMIF('[1]ПО КОРИСНИЦИМА'!$G$3:$G$11609,"Свега за пројекат 1201-П31:",'[1]ПО КОРИСНИЦИМА'!$I$3:$I$11609)</f>
        <v>#VALUE!</v>
      </c>
      <c r="G450" s="1061" t="e">
        <f t="shared" si="13"/>
        <v>#VALUE!</v>
      </c>
      <c r="H450" s="1062"/>
    </row>
    <row r="451" spans="1:8" ht="12.75" hidden="1">
      <c r="A451" s="1075"/>
      <c r="B451" s="1075" t="s">
        <v>689</v>
      </c>
      <c r="C451" s="1060">
        <f>_xlfn.IFERROR(VLOOKUP(B451,'[1]ПО КОРИСНИЦИМА'!$C$3:$J$11609,5,FALSE),"")</f>
      </c>
      <c r="D451" s="1064" t="e">
        <f>SUMIF('[1]ПО КОРИСНИЦИМА'!$G$3:$G$11609,"Свега за пројекат 1201-П32:",'[1]ПО КОРИСНИЦИМА'!$H$3:$H$11609)</f>
        <v>#VALUE!</v>
      </c>
      <c r="E451" s="1058" t="e">
        <f t="shared" si="12"/>
        <v>#VALUE!</v>
      </c>
      <c r="F451" s="1065" t="e">
        <f>SUMIF('[1]ПО КОРИСНИЦИМА'!$G$3:$G$11609,"Свега за пројекат 1201-П32:",'[1]ПО КОРИСНИЦИМА'!$I$3:$I$11609)</f>
        <v>#VALUE!</v>
      </c>
      <c r="G451" s="1061" t="e">
        <f t="shared" si="13"/>
        <v>#VALUE!</v>
      </c>
      <c r="H451" s="1062"/>
    </row>
    <row r="452" spans="1:8" ht="12.75" hidden="1">
      <c r="A452" s="1075"/>
      <c r="B452" s="1075" t="s">
        <v>690</v>
      </c>
      <c r="C452" s="1060">
        <f>_xlfn.IFERROR(VLOOKUP(B452,'[1]ПО КОРИСНИЦИМА'!$C$3:$J$11609,5,FALSE),"")</f>
      </c>
      <c r="D452" s="1064" t="e">
        <f>SUMIF('[1]ПО КОРИСНИЦИМА'!$G$3:$G$11609,"Свега за пројекат 1201-П33:",'[1]ПО КОРИСНИЦИМА'!$H$3:$H$11609)</f>
        <v>#VALUE!</v>
      </c>
      <c r="E452" s="1058" t="e">
        <f t="shared" si="12"/>
        <v>#VALUE!</v>
      </c>
      <c r="F452" s="1065" t="e">
        <f>SUMIF('[1]ПО КОРИСНИЦИМА'!$G$3:$G$11609,"Свега за пројекат 1201-П33:",'[1]ПО КОРИСНИЦИМА'!$I$3:$I$11609)</f>
        <v>#VALUE!</v>
      </c>
      <c r="G452" s="1061" t="e">
        <f t="shared" si="13"/>
        <v>#VALUE!</v>
      </c>
      <c r="H452" s="1062"/>
    </row>
    <row r="453" spans="1:8" ht="12.75" hidden="1">
      <c r="A453" s="1075"/>
      <c r="B453" s="1075" t="s">
        <v>691</v>
      </c>
      <c r="C453" s="1060">
        <f>_xlfn.IFERROR(VLOOKUP(B453,'[1]ПО КОРИСНИЦИМА'!$C$3:$J$11609,5,FALSE),"")</f>
      </c>
      <c r="D453" s="1064" t="e">
        <f>SUMIF('[1]ПО КОРИСНИЦИМА'!$G$3:$G$11609,"Свега за пројекат 1201-П34:",'[1]ПО КОРИСНИЦИМА'!$H$3:$H$11609)</f>
        <v>#VALUE!</v>
      </c>
      <c r="E453" s="1058" t="e">
        <f t="shared" si="12"/>
        <v>#VALUE!</v>
      </c>
      <c r="F453" s="1065" t="e">
        <f>SUMIF('[1]ПО КОРИСНИЦИМА'!$G$3:$G$11609,"Свега за пројекат 1201-П34:",'[1]ПО КОРИСНИЦИМА'!$I$3:$I$11609)</f>
        <v>#VALUE!</v>
      </c>
      <c r="G453" s="1061" t="e">
        <f t="shared" si="13"/>
        <v>#VALUE!</v>
      </c>
      <c r="H453" s="1062"/>
    </row>
    <row r="454" spans="1:8" ht="12.75" hidden="1">
      <c r="A454" s="1075"/>
      <c r="B454" s="1075" t="s">
        <v>692</v>
      </c>
      <c r="C454" s="1060">
        <f>_xlfn.IFERROR(VLOOKUP(B454,'[1]ПО КОРИСНИЦИМА'!$C$3:$J$11609,5,FALSE),"")</f>
      </c>
      <c r="D454" s="1064" t="e">
        <f>SUMIF('[1]ПО КОРИСНИЦИМА'!$G$3:$G$11609,"Свега за пројекат 1201-П35:",'[1]ПО КОРИСНИЦИМА'!$H$3:$H$11609)</f>
        <v>#VALUE!</v>
      </c>
      <c r="E454" s="1058" t="e">
        <f aca="true" t="shared" si="14" ref="E454:E517">D454/444656763</f>
        <v>#VALUE!</v>
      </c>
      <c r="F454" s="1065" t="e">
        <f>SUMIF('[1]ПО КОРИСНИЦИМА'!$G$3:$G$11609,"Свега за пројекат 1201-П35:",'[1]ПО КОРИСНИЦИМА'!$I$3:$I$11609)</f>
        <v>#VALUE!</v>
      </c>
      <c r="G454" s="1061" t="e">
        <f aca="true" t="shared" si="15" ref="G454:G517">D454+F454</f>
        <v>#VALUE!</v>
      </c>
      <c r="H454" s="1062"/>
    </row>
    <row r="455" spans="1:8" ht="12.75" hidden="1">
      <c r="A455" s="1075"/>
      <c r="B455" s="1075" t="s">
        <v>693</v>
      </c>
      <c r="C455" s="1060">
        <f>_xlfn.IFERROR(VLOOKUP(B455,'[1]ПО КОРИСНИЦИМА'!$C$3:$J$11609,5,FALSE),"")</f>
      </c>
      <c r="D455" s="1064" t="e">
        <f>SUMIF('[1]ПО КОРИСНИЦИМА'!$G$3:$G$11609,"Свега за пројекат 1201-П36:",'[1]ПО КОРИСНИЦИМА'!$H$3:$H$11609)</f>
        <v>#VALUE!</v>
      </c>
      <c r="E455" s="1058" t="e">
        <f t="shared" si="14"/>
        <v>#VALUE!</v>
      </c>
      <c r="F455" s="1065" t="e">
        <f>SUMIF('[1]ПО КОРИСНИЦИМА'!$G$3:$G$11609,"Свега за пројекат 1201-П36:",'[1]ПО КОРИСНИЦИМА'!$I$3:$I$11609)</f>
        <v>#VALUE!</v>
      </c>
      <c r="G455" s="1061" t="e">
        <f t="shared" si="15"/>
        <v>#VALUE!</v>
      </c>
      <c r="H455" s="1062"/>
    </row>
    <row r="456" spans="1:8" ht="12.75" hidden="1">
      <c r="A456" s="1075"/>
      <c r="B456" s="1075" t="s">
        <v>694</v>
      </c>
      <c r="C456" s="1060">
        <f>_xlfn.IFERROR(VLOOKUP(B456,'[1]ПО КОРИСНИЦИМА'!$C$3:$J$11609,5,FALSE),"")</f>
      </c>
      <c r="D456" s="1064" t="e">
        <f>SUMIF('[1]ПО КОРИСНИЦИМА'!$G$3:$G$11609,"Свега за пројекат 1201-П37:",'[1]ПО КОРИСНИЦИМА'!$H$3:$H$11609)</f>
        <v>#VALUE!</v>
      </c>
      <c r="E456" s="1058" t="e">
        <f t="shared" si="14"/>
        <v>#VALUE!</v>
      </c>
      <c r="F456" s="1065" t="e">
        <f>SUMIF('[1]ПО КОРИСНИЦИМА'!$G$3:$G$11609,"Свега за пројекат 1201-П37:",'[1]ПО КОРИСНИЦИМА'!$I$3:$I$11609)</f>
        <v>#VALUE!</v>
      </c>
      <c r="G456" s="1061" t="e">
        <f t="shared" si="15"/>
        <v>#VALUE!</v>
      </c>
      <c r="H456" s="1062"/>
    </row>
    <row r="457" spans="1:8" ht="12.75" hidden="1">
      <c r="A457" s="1075"/>
      <c r="B457" s="1075" t="s">
        <v>695</v>
      </c>
      <c r="C457" s="1060">
        <f>_xlfn.IFERROR(VLOOKUP(B457,'[1]ПО КОРИСНИЦИМА'!$C$3:$J$11609,5,FALSE),"")</f>
      </c>
      <c r="D457" s="1064" t="e">
        <f>SUMIF('[1]ПО КОРИСНИЦИМА'!$G$3:$G$11609,"Свега за пројекат 1201-П38:",'[1]ПО КОРИСНИЦИМА'!$H$3:$H$11609)</f>
        <v>#VALUE!</v>
      </c>
      <c r="E457" s="1058" t="e">
        <f t="shared" si="14"/>
        <v>#VALUE!</v>
      </c>
      <c r="F457" s="1065" t="e">
        <f>SUMIF('[1]ПО КОРИСНИЦИМА'!$G$3:$G$11609,"Свега за пројекат 1201-П38:",'[1]ПО КОРИСНИЦИМА'!$I$3:$I$11609)</f>
        <v>#VALUE!</v>
      </c>
      <c r="G457" s="1061" t="e">
        <f t="shared" si="15"/>
        <v>#VALUE!</v>
      </c>
      <c r="H457" s="1062"/>
    </row>
    <row r="458" spans="1:8" ht="12.75" hidden="1">
      <c r="A458" s="1075"/>
      <c r="B458" s="1075" t="s">
        <v>696</v>
      </c>
      <c r="C458" s="1060">
        <f>_xlfn.IFERROR(VLOOKUP(B458,'[1]ПО КОРИСНИЦИМА'!$C$3:$J$11609,5,FALSE),"")</f>
      </c>
      <c r="D458" s="1064" t="e">
        <f>SUMIF('[1]ПО КОРИСНИЦИМА'!$G$3:$G$11609,"Свега за пројекат 1201-П39:",'[1]ПО КОРИСНИЦИМА'!$H$3:$H$11609)</f>
        <v>#VALUE!</v>
      </c>
      <c r="E458" s="1058" t="e">
        <f t="shared" si="14"/>
        <v>#VALUE!</v>
      </c>
      <c r="F458" s="1065" t="e">
        <f>SUMIF('[1]ПО КОРИСНИЦИМА'!$G$3:$G$11609,"Свега за пројекат 1201-П39:",'[1]ПО КОРИСНИЦИМА'!$I$3:$I$11609)</f>
        <v>#VALUE!</v>
      </c>
      <c r="G458" s="1061" t="e">
        <f t="shared" si="15"/>
        <v>#VALUE!</v>
      </c>
      <c r="H458" s="1062"/>
    </row>
    <row r="459" spans="1:8" ht="12.75" hidden="1">
      <c r="A459" s="1075"/>
      <c r="B459" s="1075" t="s">
        <v>697</v>
      </c>
      <c r="C459" s="1060">
        <f>_xlfn.IFERROR(VLOOKUP(B459,'[1]ПО КОРИСНИЦИМА'!$C$3:$J$11609,5,FALSE),"")</f>
      </c>
      <c r="D459" s="1064" t="e">
        <f>SUMIF('[1]ПО КОРИСНИЦИМА'!$G$3:$G$11609,"Свега за пројекат 1201-П40:",'[1]ПО КОРИСНИЦИМА'!$H$3:$H$11609)</f>
        <v>#VALUE!</v>
      </c>
      <c r="E459" s="1058" t="e">
        <f t="shared" si="14"/>
        <v>#VALUE!</v>
      </c>
      <c r="F459" s="1065" t="e">
        <f>SUMIF('[1]ПО КОРИСНИЦИМА'!$G$3:$G$11609,"Свега за пројекат 1201-П40:",'[1]ПО КОРИСНИЦИМА'!$I$3:$I$11609)</f>
        <v>#VALUE!</v>
      </c>
      <c r="G459" s="1061" t="e">
        <f t="shared" si="15"/>
        <v>#VALUE!</v>
      </c>
      <c r="H459" s="1062"/>
    </row>
    <row r="460" spans="1:8" ht="12.75" hidden="1">
      <c r="A460" s="1075"/>
      <c r="B460" s="1075" t="s">
        <v>698</v>
      </c>
      <c r="C460" s="1060">
        <f>_xlfn.IFERROR(VLOOKUP(B460,'[1]ПО КОРИСНИЦИМА'!$C$3:$J$11609,5,FALSE),"")</f>
      </c>
      <c r="D460" s="1064" t="e">
        <f>SUMIF('[1]ПО КОРИСНИЦИМА'!$G$3:$G$11609,"Свега за пројекат 1201-П41:",'[1]ПО КОРИСНИЦИМА'!$H$3:$H$11609)</f>
        <v>#VALUE!</v>
      </c>
      <c r="E460" s="1058" t="e">
        <f t="shared" si="14"/>
        <v>#VALUE!</v>
      </c>
      <c r="F460" s="1065" t="e">
        <f>SUMIF('[1]ПО КОРИСНИЦИМА'!$G$3:$G$11609,"Свега за пројекат 1201-П41:",'[1]ПО КОРИСНИЦИМА'!$I$3:$I$11609)</f>
        <v>#VALUE!</v>
      </c>
      <c r="G460" s="1061" t="e">
        <f t="shared" si="15"/>
        <v>#VALUE!</v>
      </c>
      <c r="H460" s="1062"/>
    </row>
    <row r="461" spans="1:8" ht="12.75" hidden="1">
      <c r="A461" s="1075"/>
      <c r="B461" s="1075" t="s">
        <v>699</v>
      </c>
      <c r="C461" s="1060">
        <f>_xlfn.IFERROR(VLOOKUP(B461,'[1]ПО КОРИСНИЦИМА'!$C$3:$J$11609,5,FALSE),"")</f>
      </c>
      <c r="D461" s="1064" t="e">
        <f>SUMIF('[1]ПО КОРИСНИЦИМА'!$G$3:$G$11609,"Свега за пројекат 1201-П42:",'[1]ПО КОРИСНИЦИМА'!$H$3:$H$11609)</f>
        <v>#VALUE!</v>
      </c>
      <c r="E461" s="1058" t="e">
        <f t="shared" si="14"/>
        <v>#VALUE!</v>
      </c>
      <c r="F461" s="1065" t="e">
        <f>SUMIF('[1]ПО КОРИСНИЦИМА'!$G$3:$G$11609,"Свега за пројекат 1201-П42:",'[1]ПО КОРИСНИЦИМА'!$I$3:$I$11609)</f>
        <v>#VALUE!</v>
      </c>
      <c r="G461" s="1061" t="e">
        <f t="shared" si="15"/>
        <v>#VALUE!</v>
      </c>
      <c r="H461" s="1062"/>
    </row>
    <row r="462" spans="1:8" ht="12.75" hidden="1">
      <c r="A462" s="1075"/>
      <c r="B462" s="1075" t="s">
        <v>700</v>
      </c>
      <c r="C462" s="1060">
        <f>_xlfn.IFERROR(VLOOKUP(B462,'[1]ПО КОРИСНИЦИМА'!$C$3:$J$11609,5,FALSE),"")</f>
      </c>
      <c r="D462" s="1064" t="e">
        <f>SUMIF('[1]ПО КОРИСНИЦИМА'!$G$3:$G$11609,"Свега за пројекат 1201-П43:",'[1]ПО КОРИСНИЦИМА'!$H$3:$H$11609)</f>
        <v>#VALUE!</v>
      </c>
      <c r="E462" s="1058" t="e">
        <f t="shared" si="14"/>
        <v>#VALUE!</v>
      </c>
      <c r="F462" s="1065" t="e">
        <f>SUMIF('[1]ПО КОРИСНИЦИМА'!$G$3:$G$11609,"Свега за пројекат 1201-П43:",'[1]ПО КОРИСНИЦИМА'!$I$3:$I$11609)</f>
        <v>#VALUE!</v>
      </c>
      <c r="G462" s="1061" t="e">
        <f t="shared" si="15"/>
        <v>#VALUE!</v>
      </c>
      <c r="H462" s="1062"/>
    </row>
    <row r="463" spans="1:8" ht="12.75" hidden="1">
      <c r="A463" s="1075"/>
      <c r="B463" s="1075" t="s">
        <v>701</v>
      </c>
      <c r="C463" s="1060">
        <f>_xlfn.IFERROR(VLOOKUP(B463,'[1]ПО КОРИСНИЦИМА'!$C$3:$J$11609,5,FALSE),"")</f>
      </c>
      <c r="D463" s="1064" t="e">
        <f>SUMIF('[1]ПО КОРИСНИЦИМА'!$G$3:$G$11609,"Свега за пројекат 1201-П44:",'[1]ПО КОРИСНИЦИМА'!$H$3:$H$11609)</f>
        <v>#VALUE!</v>
      </c>
      <c r="E463" s="1058" t="e">
        <f t="shared" si="14"/>
        <v>#VALUE!</v>
      </c>
      <c r="F463" s="1065" t="e">
        <f>SUMIF('[1]ПО КОРИСНИЦИМА'!$G$3:$G$11609,"Свега за пројекат 1201-П44:",'[1]ПО КОРИСНИЦИМА'!$I$3:$I$11609)</f>
        <v>#VALUE!</v>
      </c>
      <c r="G463" s="1061" t="e">
        <f t="shared" si="15"/>
        <v>#VALUE!</v>
      </c>
      <c r="H463" s="1062"/>
    </row>
    <row r="464" spans="1:8" ht="12.75" hidden="1">
      <c r="A464" s="1075"/>
      <c r="B464" s="1075" t="s">
        <v>702</v>
      </c>
      <c r="C464" s="1060">
        <f>_xlfn.IFERROR(VLOOKUP(B464,'[1]ПО КОРИСНИЦИМА'!$C$3:$J$11609,5,FALSE),"")</f>
      </c>
      <c r="D464" s="1064" t="e">
        <f>SUMIF('[1]ПО КОРИСНИЦИМА'!$G$3:$G$11609,"Свега за пројекат 1201-П45:",'[1]ПО КОРИСНИЦИМА'!$H$3:$H$11609)</f>
        <v>#VALUE!</v>
      </c>
      <c r="E464" s="1058" t="e">
        <f t="shared" si="14"/>
        <v>#VALUE!</v>
      </c>
      <c r="F464" s="1065" t="e">
        <f>SUMIF('[1]ПО КОРИСНИЦИМА'!$G$3:$G$11609,"Свега за пројекат 1201-П45:",'[1]ПО КОРИСНИЦИМА'!$I$3:$I$11609)</f>
        <v>#VALUE!</v>
      </c>
      <c r="G464" s="1061" t="e">
        <f t="shared" si="15"/>
        <v>#VALUE!</v>
      </c>
      <c r="H464" s="1062"/>
    </row>
    <row r="465" spans="1:8" ht="12.75" hidden="1">
      <c r="A465" s="1075"/>
      <c r="B465" s="1075" t="s">
        <v>703</v>
      </c>
      <c r="C465" s="1060">
        <f>_xlfn.IFERROR(VLOOKUP(B465,'[1]ПО КОРИСНИЦИМА'!$C$3:$J$11609,5,FALSE),"")</f>
      </c>
      <c r="D465" s="1064" t="e">
        <f>SUMIF('[1]ПО КОРИСНИЦИМА'!$G$3:$G$11609,"Свега за пројекат 1201-П46:",'[1]ПО КОРИСНИЦИМА'!$H$3:$H$11609)</f>
        <v>#VALUE!</v>
      </c>
      <c r="E465" s="1058" t="e">
        <f t="shared" si="14"/>
        <v>#VALUE!</v>
      </c>
      <c r="F465" s="1065" t="e">
        <f>SUMIF('[1]ПО КОРИСНИЦИМА'!$G$3:$G$11609,"Свега за пројекат 1201-П46:",'[1]ПО КОРИСНИЦИМА'!$I$3:$I$11609)</f>
        <v>#VALUE!</v>
      </c>
      <c r="G465" s="1061" t="e">
        <f t="shared" si="15"/>
        <v>#VALUE!</v>
      </c>
      <c r="H465" s="1062"/>
    </row>
    <row r="466" spans="1:8" ht="12.75" hidden="1">
      <c r="A466" s="1075"/>
      <c r="B466" s="1075" t="s">
        <v>704</v>
      </c>
      <c r="C466" s="1060">
        <f>_xlfn.IFERROR(VLOOKUP(B466,'[1]ПО КОРИСНИЦИМА'!$C$3:$J$11609,5,FALSE),"")</f>
      </c>
      <c r="D466" s="1064" t="e">
        <f>SUMIF('[1]ПО КОРИСНИЦИМА'!$G$3:$G$11609,"Свега за пројекат 1201-П47:",'[1]ПО КОРИСНИЦИМА'!$H$3:$H$11609)</f>
        <v>#VALUE!</v>
      </c>
      <c r="E466" s="1058" t="e">
        <f t="shared" si="14"/>
        <v>#VALUE!</v>
      </c>
      <c r="F466" s="1065" t="e">
        <f>SUMIF('[1]ПО КОРИСНИЦИМА'!$G$3:$G$11609,"Свега за пројекат 1201-П47:",'[1]ПО КОРИСНИЦИМА'!$I$3:$I$11609)</f>
        <v>#VALUE!</v>
      </c>
      <c r="G466" s="1061" t="e">
        <f t="shared" si="15"/>
        <v>#VALUE!</v>
      </c>
      <c r="H466" s="1062"/>
    </row>
    <row r="467" spans="1:8" ht="12.75" hidden="1">
      <c r="A467" s="1075"/>
      <c r="B467" s="1075" t="s">
        <v>705</v>
      </c>
      <c r="C467" s="1060">
        <f>_xlfn.IFERROR(VLOOKUP(B467,'[1]ПО КОРИСНИЦИМА'!$C$3:$J$11609,5,FALSE),"")</f>
      </c>
      <c r="D467" s="1064" t="e">
        <f>SUMIF('[1]ПО КОРИСНИЦИМА'!$G$3:$G$11609,"Свега за пројекат 1201-П48:",'[1]ПО КОРИСНИЦИМА'!$H$3:$H$11609)</f>
        <v>#VALUE!</v>
      </c>
      <c r="E467" s="1058" t="e">
        <f t="shared" si="14"/>
        <v>#VALUE!</v>
      </c>
      <c r="F467" s="1065" t="e">
        <f>SUMIF('[1]ПО КОРИСНИЦИМА'!$G$3:$G$11609,"Свега за пројекат 1201-П48:",'[1]ПО КОРИСНИЦИМА'!$I$3:$I$11609)</f>
        <v>#VALUE!</v>
      </c>
      <c r="G467" s="1061" t="e">
        <f t="shared" si="15"/>
        <v>#VALUE!</v>
      </c>
      <c r="H467" s="1062"/>
    </row>
    <row r="468" spans="1:8" ht="12.75" hidden="1">
      <c r="A468" s="1075"/>
      <c r="B468" s="1075" t="s">
        <v>706</v>
      </c>
      <c r="C468" s="1060">
        <f>_xlfn.IFERROR(VLOOKUP(B468,'[1]ПО КОРИСНИЦИМА'!$C$3:$J$11609,5,FALSE),"")</f>
      </c>
      <c r="D468" s="1064" t="e">
        <f>SUMIF('[1]ПО КОРИСНИЦИМА'!$G$3:$G$11609,"Свега за пројекат 1201-П49:",'[1]ПО КОРИСНИЦИМА'!$H$3:$H$11609)</f>
        <v>#VALUE!</v>
      </c>
      <c r="E468" s="1058" t="e">
        <f t="shared" si="14"/>
        <v>#VALUE!</v>
      </c>
      <c r="F468" s="1065" t="e">
        <f>SUMIF('[1]ПО КОРИСНИЦИМА'!$G$3:$G$11609,"Свега за пројекат 1201-П49:",'[1]ПО КОРИСНИЦИМА'!$I$3:$I$11609)</f>
        <v>#VALUE!</v>
      </c>
      <c r="G468" s="1061" t="e">
        <f t="shared" si="15"/>
        <v>#VALUE!</v>
      </c>
      <c r="H468" s="1062"/>
    </row>
    <row r="469" spans="1:8" ht="12.75" hidden="1">
      <c r="A469" s="1075"/>
      <c r="B469" s="1075" t="s">
        <v>707</v>
      </c>
      <c r="C469" s="1060">
        <f>_xlfn.IFERROR(VLOOKUP(B469,'[1]ПО КОРИСНИЦИМА'!$C$3:$J$11609,5,FALSE),"")</f>
      </c>
      <c r="D469" s="1064" t="e">
        <f>SUMIF('[1]ПО КОРИСНИЦИМА'!$G$3:$G$11609,"Свега за пројекат 1201-П50:",'[1]ПО КОРИСНИЦИМА'!$H$3:$H$11609)</f>
        <v>#VALUE!</v>
      </c>
      <c r="E469" s="1058" t="e">
        <f t="shared" si="14"/>
        <v>#VALUE!</v>
      </c>
      <c r="F469" s="1065" t="e">
        <f>SUMIF('[1]ПО КОРИСНИЦИМА'!$G$3:$G$11609,"Свега за пројекат 1201-П50:",'[1]ПО КОРИСНИЦИМА'!$I$3:$I$11609)</f>
        <v>#VALUE!</v>
      </c>
      <c r="G469" s="1061" t="e">
        <f t="shared" si="15"/>
        <v>#VALUE!</v>
      </c>
      <c r="H469" s="1062"/>
    </row>
    <row r="470" spans="1:8" s="325" customFormat="1" ht="12.75">
      <c r="A470" s="1054" t="s">
        <v>313</v>
      </c>
      <c r="B470" s="1055"/>
      <c r="C470" s="1056" t="s">
        <v>9</v>
      </c>
      <c r="D470" s="1057">
        <f>SUM(D471:D472)</f>
        <v>7900000</v>
      </c>
      <c r="E470" s="1058">
        <f t="shared" si="14"/>
        <v>0.01776651263932311</v>
      </c>
      <c r="F470" s="1057">
        <f>F471</f>
        <v>0</v>
      </c>
      <c r="G470" s="1057">
        <f t="shared" si="15"/>
        <v>7900000</v>
      </c>
      <c r="H470" s="1072"/>
    </row>
    <row r="471" spans="1:8" ht="24">
      <c r="A471" s="1083"/>
      <c r="B471" s="1075" t="s">
        <v>315</v>
      </c>
      <c r="C471" s="1090" t="s">
        <v>331</v>
      </c>
      <c r="D471" s="1061">
        <f>'Rashodi-2020'!M147</f>
        <v>7900000</v>
      </c>
      <c r="E471" s="1181">
        <f t="shared" si="14"/>
        <v>0.01776651263932311</v>
      </c>
      <c r="F471" s="1061">
        <f>'Rashodi-2020'!T147</f>
        <v>0</v>
      </c>
      <c r="G471" s="1085">
        <f t="shared" si="15"/>
        <v>7900000</v>
      </c>
      <c r="H471" s="1062" t="s">
        <v>1174</v>
      </c>
    </row>
    <row r="472" spans="1:8" ht="26.25" customHeight="1" hidden="1">
      <c r="A472" s="1083"/>
      <c r="B472" s="1075"/>
      <c r="C472" s="1090"/>
      <c r="D472" s="1061"/>
      <c r="E472" s="1058">
        <f t="shared" si="14"/>
        <v>0</v>
      </c>
      <c r="F472" s="1061" t="e">
        <f>'Rashodi-2020'!#REF!</f>
        <v>#REF!</v>
      </c>
      <c r="G472" s="1085" t="e">
        <f t="shared" si="15"/>
        <v>#REF!</v>
      </c>
      <c r="H472" s="1062"/>
    </row>
    <row r="473" spans="1:8" ht="12.75" hidden="1">
      <c r="A473" s="1083"/>
      <c r="B473" s="1075" t="s">
        <v>862</v>
      </c>
      <c r="C473" s="1084" t="s">
        <v>863</v>
      </c>
      <c r="D473" s="1061"/>
      <c r="E473" s="1058">
        <f t="shared" si="14"/>
        <v>0</v>
      </c>
      <c r="F473" s="1063"/>
      <c r="G473" s="1085">
        <f t="shared" si="15"/>
        <v>0</v>
      </c>
      <c r="H473" s="1062"/>
    </row>
    <row r="474" spans="1:8" ht="12.75" hidden="1">
      <c r="A474" s="1075"/>
      <c r="B474" s="1075" t="s">
        <v>708</v>
      </c>
      <c r="C474" s="1060">
        <f>_xlfn.IFERROR(VLOOKUP(B474,'[1]ПО КОРИСНИЦИМА'!$C$3:$J$11609,5,FALSE),"")</f>
      </c>
      <c r="D474" s="1064"/>
      <c r="E474" s="1058">
        <f t="shared" si="14"/>
        <v>0</v>
      </c>
      <c r="F474" s="1065"/>
      <c r="G474" s="1085">
        <f t="shared" si="15"/>
        <v>0</v>
      </c>
      <c r="H474" s="1062"/>
    </row>
    <row r="475" spans="1:8" ht="12.75" hidden="1">
      <c r="A475" s="1075"/>
      <c r="B475" s="1075" t="s">
        <v>709</v>
      </c>
      <c r="C475" s="1060">
        <f>_xlfn.IFERROR(VLOOKUP(B475,'[1]ПО КОРИСНИЦИМА'!$C$3:$J$11609,5,FALSE),"")</f>
      </c>
      <c r="D475" s="1064"/>
      <c r="E475" s="1058">
        <f t="shared" si="14"/>
        <v>0</v>
      </c>
      <c r="F475" s="1065"/>
      <c r="G475" s="1061">
        <f t="shared" si="15"/>
        <v>0</v>
      </c>
      <c r="H475" s="1062"/>
    </row>
    <row r="476" spans="1:8" ht="12.75" hidden="1">
      <c r="A476" s="1075"/>
      <c r="B476" s="1075" t="s">
        <v>710</v>
      </c>
      <c r="C476" s="1060">
        <f>_xlfn.IFERROR(VLOOKUP(B476,'[1]ПО КОРИСНИЦИМА'!$C$3:$J$11609,5,FALSE),"")</f>
      </c>
      <c r="D476" s="1064"/>
      <c r="E476" s="1058">
        <f t="shared" si="14"/>
        <v>0</v>
      </c>
      <c r="F476" s="1065"/>
      <c r="G476" s="1061">
        <f t="shared" si="15"/>
        <v>0</v>
      </c>
      <c r="H476" s="1062"/>
    </row>
    <row r="477" spans="1:8" ht="12.75" hidden="1">
      <c r="A477" s="1075"/>
      <c r="B477" s="1075" t="s">
        <v>711</v>
      </c>
      <c r="C477" s="1060">
        <f>_xlfn.IFERROR(VLOOKUP(B477,'[1]ПО КОРИСНИЦИМА'!$C$3:$J$11609,5,FALSE),"")</f>
      </c>
      <c r="D477" s="1064"/>
      <c r="E477" s="1058">
        <f t="shared" si="14"/>
        <v>0</v>
      </c>
      <c r="F477" s="1065"/>
      <c r="G477" s="1061">
        <f t="shared" si="15"/>
        <v>0</v>
      </c>
      <c r="H477" s="1062"/>
    </row>
    <row r="478" spans="1:8" ht="12.75" hidden="1">
      <c r="A478" s="1075"/>
      <c r="B478" s="1075" t="s">
        <v>712</v>
      </c>
      <c r="C478" s="1060">
        <f>_xlfn.IFERROR(VLOOKUP(B478,'[1]ПО КОРИСНИЦИМА'!$C$3:$J$11609,5,FALSE),"")</f>
      </c>
      <c r="D478" s="1064"/>
      <c r="E478" s="1058">
        <f t="shared" si="14"/>
        <v>0</v>
      </c>
      <c r="F478" s="1065"/>
      <c r="G478" s="1061">
        <f t="shared" si="15"/>
        <v>0</v>
      </c>
      <c r="H478" s="1062"/>
    </row>
    <row r="479" spans="1:8" ht="12.75" hidden="1">
      <c r="A479" s="1075"/>
      <c r="B479" s="1075" t="s">
        <v>713</v>
      </c>
      <c r="C479" s="1060">
        <f>_xlfn.IFERROR(VLOOKUP(B479,'[1]ПО КОРИСНИЦИМА'!$C$3:$J$11609,5,FALSE),"")</f>
      </c>
      <c r="D479" s="1064"/>
      <c r="E479" s="1058">
        <f t="shared" si="14"/>
        <v>0</v>
      </c>
      <c r="F479" s="1065"/>
      <c r="G479" s="1061">
        <f t="shared" si="15"/>
        <v>0</v>
      </c>
      <c r="H479" s="1062"/>
    </row>
    <row r="480" spans="1:8" ht="12.75" hidden="1">
      <c r="A480" s="1075"/>
      <c r="B480" s="1075" t="s">
        <v>714</v>
      </c>
      <c r="C480" s="1060">
        <f>_xlfn.IFERROR(VLOOKUP(B480,'[1]ПО КОРИСНИЦИМА'!$C$3:$J$11609,5,FALSE),"")</f>
      </c>
      <c r="D480" s="1064"/>
      <c r="E480" s="1058">
        <f t="shared" si="14"/>
        <v>0</v>
      </c>
      <c r="F480" s="1065"/>
      <c r="G480" s="1061">
        <f t="shared" si="15"/>
        <v>0</v>
      </c>
      <c r="H480" s="1062"/>
    </row>
    <row r="481" spans="1:8" ht="12.75" hidden="1">
      <c r="A481" s="1075"/>
      <c r="B481" s="1075" t="s">
        <v>715</v>
      </c>
      <c r="C481" s="1060">
        <f>_xlfn.IFERROR(VLOOKUP(B481,'[1]ПО КОРИСНИЦИМА'!$C$3:$J$11609,5,FALSE),"")</f>
      </c>
      <c r="D481" s="1064"/>
      <c r="E481" s="1058">
        <f t="shared" si="14"/>
        <v>0</v>
      </c>
      <c r="F481" s="1065"/>
      <c r="G481" s="1061">
        <f t="shared" si="15"/>
        <v>0</v>
      </c>
      <c r="H481" s="1062"/>
    </row>
    <row r="482" spans="1:8" ht="12.75" hidden="1">
      <c r="A482" s="1075"/>
      <c r="B482" s="1075" t="s">
        <v>716</v>
      </c>
      <c r="C482" s="1060">
        <f>_xlfn.IFERROR(VLOOKUP(B482,'[1]ПО КОРИСНИЦИМА'!$C$3:$J$11609,5,FALSE),"")</f>
      </c>
      <c r="D482" s="1064" t="e">
        <f>SUMIF('[1]ПО КОРИСНИЦИМА'!$G$3:$G$11609,"Свега за пројекат 1301-П9:",'[1]ПО КОРИСНИЦИМА'!$H$3:$H$11609)</f>
        <v>#VALUE!</v>
      </c>
      <c r="E482" s="1058" t="e">
        <f t="shared" si="14"/>
        <v>#VALUE!</v>
      </c>
      <c r="F482" s="1065" t="e">
        <f>SUMIF('[1]ПО КОРИСНИЦИМА'!$G$3:$G$11609,"Свега за пројекат 1301-П9:",'[1]ПО КОРИСНИЦИМА'!$I$3:$I$11609)</f>
        <v>#VALUE!</v>
      </c>
      <c r="G482" s="1061" t="e">
        <f t="shared" si="15"/>
        <v>#VALUE!</v>
      </c>
      <c r="H482" s="1062"/>
    </row>
    <row r="483" spans="1:8" ht="12.75" hidden="1">
      <c r="A483" s="1075"/>
      <c r="B483" s="1075" t="s">
        <v>717</v>
      </c>
      <c r="C483" s="1060">
        <f>_xlfn.IFERROR(VLOOKUP(B483,'[1]ПО КОРИСНИЦИМА'!$C$3:$J$11609,5,FALSE),"")</f>
      </c>
      <c r="D483" s="1064" t="e">
        <f>SUMIF('[1]ПО КОРИСНИЦИМА'!$G$3:$G$11609,"Свега за пројекат 1301-П10:",'[1]ПО КОРИСНИЦИМА'!$H$3:$H$11609)</f>
        <v>#VALUE!</v>
      </c>
      <c r="E483" s="1058" t="e">
        <f t="shared" si="14"/>
        <v>#VALUE!</v>
      </c>
      <c r="F483" s="1065" t="e">
        <f>SUMIF('[1]ПО КОРИСНИЦИМА'!$G$3:$G$11609,"Свега за пројекат 1301-П10:",'[1]ПО КОРИСНИЦИМА'!$I$3:$I$11609)</f>
        <v>#VALUE!</v>
      </c>
      <c r="G483" s="1061" t="e">
        <f t="shared" si="15"/>
        <v>#VALUE!</v>
      </c>
      <c r="H483" s="1062"/>
    </row>
    <row r="484" spans="1:8" ht="12.75" hidden="1">
      <c r="A484" s="1075"/>
      <c r="B484" s="1075" t="s">
        <v>718</v>
      </c>
      <c r="C484" s="1060">
        <f>_xlfn.IFERROR(VLOOKUP(B484,'[1]ПО КОРИСНИЦИМА'!$C$3:$J$11609,5,FALSE),"")</f>
      </c>
      <c r="D484" s="1064" t="e">
        <f>SUMIF('[1]ПО КОРИСНИЦИМА'!$G$3:$G$11609,"Свега за пројекат 1301-П11:",'[1]ПО КОРИСНИЦИМА'!$H$3:$H$11609)</f>
        <v>#VALUE!</v>
      </c>
      <c r="E484" s="1058" t="e">
        <f t="shared" si="14"/>
        <v>#VALUE!</v>
      </c>
      <c r="F484" s="1065" t="e">
        <f>SUMIF('[1]ПО КОРИСНИЦИМА'!$G$3:$G$11609,"Свега за пројекат 1301-П11:",'[1]ПО КОРИСНИЦИМА'!$I$3:$I$11609)</f>
        <v>#VALUE!</v>
      </c>
      <c r="G484" s="1061" t="e">
        <f t="shared" si="15"/>
        <v>#VALUE!</v>
      </c>
      <c r="H484" s="1062"/>
    </row>
    <row r="485" spans="1:8" ht="12.75" hidden="1">
      <c r="A485" s="1075"/>
      <c r="B485" s="1075" t="s">
        <v>719</v>
      </c>
      <c r="C485" s="1060">
        <f>_xlfn.IFERROR(VLOOKUP(B485,'[1]ПО КОРИСНИЦИМА'!$C$3:$J$11609,5,FALSE),"")</f>
      </c>
      <c r="D485" s="1064" t="e">
        <f>SUMIF('[1]ПО КОРИСНИЦИМА'!$G$3:$G$11609,"Свега за пројекат 1301-П12:",'[1]ПО КОРИСНИЦИМА'!$H$3:$H$11609)</f>
        <v>#VALUE!</v>
      </c>
      <c r="E485" s="1058" t="e">
        <f t="shared" si="14"/>
        <v>#VALUE!</v>
      </c>
      <c r="F485" s="1065" t="e">
        <f>SUMIF('[1]ПО КОРИСНИЦИМА'!$G$3:$G$11609,"Свега за пројекат 1301-П12:",'[1]ПО КОРИСНИЦИМА'!$I$3:$I$11609)</f>
        <v>#VALUE!</v>
      </c>
      <c r="G485" s="1061" t="e">
        <f t="shared" si="15"/>
        <v>#VALUE!</v>
      </c>
      <c r="H485" s="1062"/>
    </row>
    <row r="486" spans="1:8" ht="12.75" hidden="1">
      <c r="A486" s="1075"/>
      <c r="B486" s="1075" t="s">
        <v>720</v>
      </c>
      <c r="C486" s="1060">
        <f>_xlfn.IFERROR(VLOOKUP(B486,'[1]ПО КОРИСНИЦИМА'!$C$3:$J$11609,5,FALSE),"")</f>
      </c>
      <c r="D486" s="1064" t="e">
        <f>SUMIF('[1]ПО КОРИСНИЦИМА'!$G$3:$G$11609,"Свега за пројекат 1301-П13:",'[1]ПО КОРИСНИЦИМА'!$H$3:$H$11609)</f>
        <v>#VALUE!</v>
      </c>
      <c r="E486" s="1058" t="e">
        <f t="shared" si="14"/>
        <v>#VALUE!</v>
      </c>
      <c r="F486" s="1065" t="e">
        <f>SUMIF('[1]ПО КОРИСНИЦИМА'!$G$3:$G$11609,"Свега за пројекат 1301-П13:",'[1]ПО КОРИСНИЦИМА'!$I$3:$I$11609)</f>
        <v>#VALUE!</v>
      </c>
      <c r="G486" s="1061" t="e">
        <f t="shared" si="15"/>
        <v>#VALUE!</v>
      </c>
      <c r="H486" s="1062"/>
    </row>
    <row r="487" spans="1:8" ht="12.75" hidden="1">
      <c r="A487" s="1075"/>
      <c r="B487" s="1075" t="s">
        <v>721</v>
      </c>
      <c r="C487" s="1060">
        <f>_xlfn.IFERROR(VLOOKUP(B487,'[1]ПО КОРИСНИЦИМА'!$C$3:$J$11609,5,FALSE),"")</f>
      </c>
      <c r="D487" s="1064" t="e">
        <f>SUMIF('[1]ПО КОРИСНИЦИМА'!$G$3:$G$11609,"Свега за пројекат 1301-П14:",'[1]ПО КОРИСНИЦИМА'!$H$3:$H$11609)</f>
        <v>#VALUE!</v>
      </c>
      <c r="E487" s="1058" t="e">
        <f t="shared" si="14"/>
        <v>#VALUE!</v>
      </c>
      <c r="F487" s="1065" t="e">
        <f>SUMIF('[1]ПО КОРИСНИЦИМА'!$G$3:$G$11609,"Свега за пројекат 1301-П14:",'[1]ПО КОРИСНИЦИМА'!$I$3:$I$11609)</f>
        <v>#VALUE!</v>
      </c>
      <c r="G487" s="1061" t="e">
        <f t="shared" si="15"/>
        <v>#VALUE!</v>
      </c>
      <c r="H487" s="1062"/>
    </row>
    <row r="488" spans="1:8" ht="12.75" hidden="1">
      <c r="A488" s="1075"/>
      <c r="B488" s="1075" t="s">
        <v>722</v>
      </c>
      <c r="C488" s="1060">
        <f>_xlfn.IFERROR(VLOOKUP(B488,'[1]ПО КОРИСНИЦИМА'!$C$3:$J$11609,5,FALSE),"")</f>
      </c>
      <c r="D488" s="1064" t="e">
        <f>SUMIF('[1]ПО КОРИСНИЦИМА'!$G$3:$G$11609,"Свега за пројекат 1301-П15:",'[1]ПО КОРИСНИЦИМА'!$H$3:$H$11609)</f>
        <v>#VALUE!</v>
      </c>
      <c r="E488" s="1058" t="e">
        <f t="shared" si="14"/>
        <v>#VALUE!</v>
      </c>
      <c r="F488" s="1065" t="e">
        <f>SUMIF('[1]ПО КОРИСНИЦИМА'!$G$3:$G$11609,"Свега за пројекат 1301-П15:",'[1]ПО КОРИСНИЦИМА'!$I$3:$I$11609)</f>
        <v>#VALUE!</v>
      </c>
      <c r="G488" s="1061" t="e">
        <f t="shared" si="15"/>
        <v>#VALUE!</v>
      </c>
      <c r="H488" s="1062"/>
    </row>
    <row r="489" spans="1:8" ht="12.75" hidden="1">
      <c r="A489" s="1075"/>
      <c r="B489" s="1075" t="s">
        <v>723</v>
      </c>
      <c r="C489" s="1060">
        <f>_xlfn.IFERROR(VLOOKUP(B489,'[1]ПО КОРИСНИЦИМА'!$C$3:$J$11609,5,FALSE),"")</f>
      </c>
      <c r="D489" s="1064" t="e">
        <f>SUMIF('[1]ПО КОРИСНИЦИМА'!$G$3:$G$11609,"Свега за пројекат 1301-П16:",'[1]ПО КОРИСНИЦИМА'!$H$3:$H$11609)</f>
        <v>#VALUE!</v>
      </c>
      <c r="E489" s="1058" t="e">
        <f t="shared" si="14"/>
        <v>#VALUE!</v>
      </c>
      <c r="F489" s="1065" t="e">
        <f>SUMIF('[1]ПО КОРИСНИЦИМА'!$G$3:$G$11609,"Свега за пројекат 1301-П16:",'[1]ПО КОРИСНИЦИМА'!$I$3:$I$11609)</f>
        <v>#VALUE!</v>
      </c>
      <c r="G489" s="1061" t="e">
        <f t="shared" si="15"/>
        <v>#VALUE!</v>
      </c>
      <c r="H489" s="1062"/>
    </row>
    <row r="490" spans="1:8" ht="12.75" hidden="1">
      <c r="A490" s="1075"/>
      <c r="B490" s="1075" t="s">
        <v>724</v>
      </c>
      <c r="C490" s="1060">
        <f>_xlfn.IFERROR(VLOOKUP(B490,'[1]ПО КОРИСНИЦИМА'!$C$3:$J$11609,5,FALSE),"")</f>
      </c>
      <c r="D490" s="1064" t="e">
        <f>SUMIF('[1]ПО КОРИСНИЦИМА'!$G$3:$G$11609,"Свега за пројекат 1301-П17:",'[1]ПО КОРИСНИЦИМА'!$H$3:$H$11609)</f>
        <v>#VALUE!</v>
      </c>
      <c r="E490" s="1058" t="e">
        <f t="shared" si="14"/>
        <v>#VALUE!</v>
      </c>
      <c r="F490" s="1065" t="e">
        <f>SUMIF('[1]ПО КОРИСНИЦИМА'!$G$3:$G$11609,"Свега за пројекат 1301-П17:",'[1]ПО КОРИСНИЦИМА'!$I$3:$I$11609)</f>
        <v>#VALUE!</v>
      </c>
      <c r="G490" s="1061" t="e">
        <f t="shared" si="15"/>
        <v>#VALUE!</v>
      </c>
      <c r="H490" s="1062"/>
    </row>
    <row r="491" spans="1:8" ht="12.75" hidden="1">
      <c r="A491" s="1075"/>
      <c r="B491" s="1075" t="s">
        <v>725</v>
      </c>
      <c r="C491" s="1060">
        <f>_xlfn.IFERROR(VLOOKUP(B491,'[1]ПО КОРИСНИЦИМА'!$C$3:$J$11609,5,FALSE),"")</f>
      </c>
      <c r="D491" s="1064" t="e">
        <f>SUMIF('[1]ПО КОРИСНИЦИМА'!$G$3:$G$11609,"Свега за пројекат 1301-П18:",'[1]ПО КОРИСНИЦИМА'!$H$3:$H$11609)</f>
        <v>#VALUE!</v>
      </c>
      <c r="E491" s="1058" t="e">
        <f t="shared" si="14"/>
        <v>#VALUE!</v>
      </c>
      <c r="F491" s="1065" t="e">
        <f>SUMIF('[1]ПО КОРИСНИЦИМА'!$G$3:$G$11609,"Свега за пројекат 1301-П18:",'[1]ПО КОРИСНИЦИМА'!$I$3:$I$11609)</f>
        <v>#VALUE!</v>
      </c>
      <c r="G491" s="1061" t="e">
        <f t="shared" si="15"/>
        <v>#VALUE!</v>
      </c>
      <c r="H491" s="1062"/>
    </row>
    <row r="492" spans="1:8" ht="12.75" hidden="1">
      <c r="A492" s="1075"/>
      <c r="B492" s="1075" t="s">
        <v>726</v>
      </c>
      <c r="C492" s="1060">
        <f>_xlfn.IFERROR(VLOOKUP(B492,'[1]ПО КОРИСНИЦИМА'!$C$3:$J$11609,5,FALSE),"")</f>
      </c>
      <c r="D492" s="1064" t="e">
        <f>SUMIF('[1]ПО КОРИСНИЦИМА'!$G$3:$G$11609,"Свега за пројекат 1301-П19:",'[1]ПО КОРИСНИЦИМА'!$H$3:$H$11609)</f>
        <v>#VALUE!</v>
      </c>
      <c r="E492" s="1058" t="e">
        <f t="shared" si="14"/>
        <v>#VALUE!</v>
      </c>
      <c r="F492" s="1065" t="e">
        <f>SUMIF('[1]ПО КОРИСНИЦИМА'!$G$3:$G$11609,"Свега за пројекат 1301-П19:",'[1]ПО КОРИСНИЦИМА'!$I$3:$I$11609)</f>
        <v>#VALUE!</v>
      </c>
      <c r="G492" s="1061" t="e">
        <f t="shared" si="15"/>
        <v>#VALUE!</v>
      </c>
      <c r="H492" s="1062"/>
    </row>
    <row r="493" spans="1:8" ht="12.75" hidden="1">
      <c r="A493" s="1075"/>
      <c r="B493" s="1075" t="s">
        <v>727</v>
      </c>
      <c r="C493" s="1060">
        <f>_xlfn.IFERROR(VLOOKUP(B493,'[1]ПО КОРИСНИЦИМА'!$C$3:$J$11609,5,FALSE),"")</f>
      </c>
      <c r="D493" s="1064" t="e">
        <f>SUMIF('[1]ПО КОРИСНИЦИМА'!$G$3:$G$11609,"Свега за пројекат 1301-П20:",'[1]ПО КОРИСНИЦИМА'!$H$3:$H$11609)</f>
        <v>#VALUE!</v>
      </c>
      <c r="E493" s="1058" t="e">
        <f t="shared" si="14"/>
        <v>#VALUE!</v>
      </c>
      <c r="F493" s="1065" t="e">
        <f>SUMIF('[1]ПО КОРИСНИЦИМА'!$G$3:$G$11609,"Свега за пројекат 1301-П20:",'[1]ПО КОРИСНИЦИМА'!$I$3:$I$11609)</f>
        <v>#VALUE!</v>
      </c>
      <c r="G493" s="1061" t="e">
        <f t="shared" si="15"/>
        <v>#VALUE!</v>
      </c>
      <c r="H493" s="1062"/>
    </row>
    <row r="494" spans="1:8" ht="12.75" hidden="1">
      <c r="A494" s="1075"/>
      <c r="B494" s="1075" t="s">
        <v>728</v>
      </c>
      <c r="C494" s="1060">
        <f>_xlfn.IFERROR(VLOOKUP(B494,'[1]ПО КОРИСНИЦИМА'!$C$3:$J$11609,5,FALSE),"")</f>
      </c>
      <c r="D494" s="1064" t="e">
        <f>SUMIF('[1]ПО КОРИСНИЦИМА'!$G$3:$G$11609,"Свега за пројекат 1301-П21:",'[1]ПО КОРИСНИЦИМА'!$H$3:$H$11609)</f>
        <v>#VALUE!</v>
      </c>
      <c r="E494" s="1058" t="e">
        <f t="shared" si="14"/>
        <v>#VALUE!</v>
      </c>
      <c r="F494" s="1065" t="e">
        <f>SUMIF('[1]ПО КОРИСНИЦИМА'!$G$3:$G$11609,"Свега за пројекат 1301-П21:",'[1]ПО КОРИСНИЦИМА'!$I$3:$I$11609)</f>
        <v>#VALUE!</v>
      </c>
      <c r="G494" s="1061" t="e">
        <f t="shared" si="15"/>
        <v>#VALUE!</v>
      </c>
      <c r="H494" s="1062"/>
    </row>
    <row r="495" spans="1:8" ht="12.75" hidden="1">
      <c r="A495" s="1075"/>
      <c r="B495" s="1075" t="s">
        <v>729</v>
      </c>
      <c r="C495" s="1060">
        <f>_xlfn.IFERROR(VLOOKUP(B495,'[1]ПО КОРИСНИЦИМА'!$C$3:$J$11609,5,FALSE),"")</f>
      </c>
      <c r="D495" s="1064" t="e">
        <f>SUMIF('[1]ПО КОРИСНИЦИМА'!$G$3:$G$11609,"Свега за пројекат 1301-П22:",'[1]ПО КОРИСНИЦИМА'!$H$3:$H$11609)</f>
        <v>#VALUE!</v>
      </c>
      <c r="E495" s="1058" t="e">
        <f t="shared" si="14"/>
        <v>#VALUE!</v>
      </c>
      <c r="F495" s="1065" t="e">
        <f>SUMIF('[1]ПО КОРИСНИЦИМА'!$G$3:$G$11609,"Свега за пројекат 1301-П22:",'[1]ПО КОРИСНИЦИМА'!$I$3:$I$11609)</f>
        <v>#VALUE!</v>
      </c>
      <c r="G495" s="1061" t="e">
        <f t="shared" si="15"/>
        <v>#VALUE!</v>
      </c>
      <c r="H495" s="1062"/>
    </row>
    <row r="496" spans="1:8" ht="12.75" hidden="1">
      <c r="A496" s="1075"/>
      <c r="B496" s="1075" t="s">
        <v>730</v>
      </c>
      <c r="C496" s="1060">
        <f>_xlfn.IFERROR(VLOOKUP(B496,'[1]ПО КОРИСНИЦИМА'!$C$3:$J$11609,5,FALSE),"")</f>
      </c>
      <c r="D496" s="1064" t="e">
        <f>SUMIF('[1]ПО КОРИСНИЦИМА'!$G$3:$G$11609,"Свега за пројекат 1301-П23:",'[1]ПО КОРИСНИЦИМА'!$H$3:$H$11609)</f>
        <v>#VALUE!</v>
      </c>
      <c r="E496" s="1058" t="e">
        <f t="shared" si="14"/>
        <v>#VALUE!</v>
      </c>
      <c r="F496" s="1065" t="e">
        <f>SUMIF('[1]ПО КОРИСНИЦИМА'!$G$3:$G$11609,"Свега за пројекат 1301-П23:",'[1]ПО КОРИСНИЦИМА'!$I$3:$I$11609)</f>
        <v>#VALUE!</v>
      </c>
      <c r="G496" s="1061" t="e">
        <f t="shared" si="15"/>
        <v>#VALUE!</v>
      </c>
      <c r="H496" s="1062"/>
    </row>
    <row r="497" spans="1:8" ht="12.75" hidden="1">
      <c r="A497" s="1075"/>
      <c r="B497" s="1075" t="s">
        <v>731</v>
      </c>
      <c r="C497" s="1060">
        <f>_xlfn.IFERROR(VLOOKUP(B497,'[1]ПО КОРИСНИЦИМА'!$C$3:$J$11609,5,FALSE),"")</f>
      </c>
      <c r="D497" s="1064" t="e">
        <f>SUMIF('[1]ПО КОРИСНИЦИМА'!$G$3:$G$11609,"Свега за пројекат 1301-П24:",'[1]ПО КОРИСНИЦИМА'!$H$3:$H$11609)</f>
        <v>#VALUE!</v>
      </c>
      <c r="E497" s="1058" t="e">
        <f t="shared" si="14"/>
        <v>#VALUE!</v>
      </c>
      <c r="F497" s="1065" t="e">
        <f>SUMIF('[1]ПО КОРИСНИЦИМА'!$G$3:$G$11609,"Свега за пројекат 1301-П24:",'[1]ПО КОРИСНИЦИМА'!$I$3:$I$11609)</f>
        <v>#VALUE!</v>
      </c>
      <c r="G497" s="1061" t="e">
        <f t="shared" si="15"/>
        <v>#VALUE!</v>
      </c>
      <c r="H497" s="1062"/>
    </row>
    <row r="498" spans="1:8" ht="12.75" hidden="1">
      <c r="A498" s="1075"/>
      <c r="B498" s="1075" t="s">
        <v>732</v>
      </c>
      <c r="C498" s="1060">
        <f>_xlfn.IFERROR(VLOOKUP(B498,'[1]ПО КОРИСНИЦИМА'!$C$3:$J$11609,5,FALSE),"")</f>
      </c>
      <c r="D498" s="1064" t="e">
        <f>SUMIF('[1]ПО КОРИСНИЦИМА'!$G$3:$G$11609,"Свега за пројекат 1301-П25:",'[1]ПО КОРИСНИЦИМА'!$H$3:$H$11609)</f>
        <v>#VALUE!</v>
      </c>
      <c r="E498" s="1058" t="e">
        <f t="shared" si="14"/>
        <v>#VALUE!</v>
      </c>
      <c r="F498" s="1065" t="e">
        <f>SUMIF('[1]ПО КОРИСНИЦИМА'!$G$3:$G$11609,"Свега за пројекат 1301-П25:",'[1]ПО КОРИСНИЦИМА'!$I$3:$I$11609)</f>
        <v>#VALUE!</v>
      </c>
      <c r="G498" s="1061" t="e">
        <f t="shared" si="15"/>
        <v>#VALUE!</v>
      </c>
      <c r="H498" s="1062"/>
    </row>
    <row r="499" spans="1:8" ht="12.75" hidden="1">
      <c r="A499" s="1075"/>
      <c r="B499" s="1075" t="s">
        <v>733</v>
      </c>
      <c r="C499" s="1060">
        <f>_xlfn.IFERROR(VLOOKUP(B499,'[1]ПО КОРИСНИЦИМА'!$C$3:$J$11609,5,FALSE),"")</f>
      </c>
      <c r="D499" s="1064" t="e">
        <f>SUMIF('[1]ПО КОРИСНИЦИМА'!$G$3:$G$11609,"Свега за пројекат 1301-П26:",'[1]ПО КОРИСНИЦИМА'!$H$3:$H$11609)</f>
        <v>#VALUE!</v>
      </c>
      <c r="E499" s="1058" t="e">
        <f t="shared" si="14"/>
        <v>#VALUE!</v>
      </c>
      <c r="F499" s="1065" t="e">
        <f>SUMIF('[1]ПО КОРИСНИЦИМА'!$G$3:$G$11609,"Свега за пројекат 1301-П26:",'[1]ПО КОРИСНИЦИМА'!$I$3:$I$11609)</f>
        <v>#VALUE!</v>
      </c>
      <c r="G499" s="1061" t="e">
        <f t="shared" si="15"/>
        <v>#VALUE!</v>
      </c>
      <c r="H499" s="1062"/>
    </row>
    <row r="500" spans="1:8" ht="12.75" hidden="1">
      <c r="A500" s="1075"/>
      <c r="B500" s="1075" t="s">
        <v>734</v>
      </c>
      <c r="C500" s="1060">
        <f>_xlfn.IFERROR(VLOOKUP(B500,'[1]ПО КОРИСНИЦИМА'!$C$3:$J$11609,5,FALSE),"")</f>
      </c>
      <c r="D500" s="1064" t="e">
        <f>SUMIF('[1]ПО КОРИСНИЦИМА'!$G$3:$G$11609,"Свега за пројекат 1301-П27:",'[1]ПО КОРИСНИЦИМА'!$H$3:$H$11609)</f>
        <v>#VALUE!</v>
      </c>
      <c r="E500" s="1058" t="e">
        <f t="shared" si="14"/>
        <v>#VALUE!</v>
      </c>
      <c r="F500" s="1065" t="e">
        <f>SUMIF('[1]ПО КОРИСНИЦИМА'!$G$3:$G$11609,"Свега за пројекат 1301-П27:",'[1]ПО КОРИСНИЦИМА'!$I$3:$I$11609)</f>
        <v>#VALUE!</v>
      </c>
      <c r="G500" s="1061" t="e">
        <f t="shared" si="15"/>
        <v>#VALUE!</v>
      </c>
      <c r="H500" s="1062"/>
    </row>
    <row r="501" spans="1:8" ht="12.75" hidden="1">
      <c r="A501" s="1075"/>
      <c r="B501" s="1075" t="s">
        <v>735</v>
      </c>
      <c r="C501" s="1060">
        <f>_xlfn.IFERROR(VLOOKUP(B501,'[1]ПО КОРИСНИЦИМА'!$C$3:$J$11609,5,FALSE),"")</f>
      </c>
      <c r="D501" s="1064" t="e">
        <f>SUMIF('[1]ПО КОРИСНИЦИМА'!$G$3:$G$11609,"Свега за пројекат 1301-П28:",'[1]ПО КОРИСНИЦИМА'!$H$3:$H$11609)</f>
        <v>#VALUE!</v>
      </c>
      <c r="E501" s="1058" t="e">
        <f t="shared" si="14"/>
        <v>#VALUE!</v>
      </c>
      <c r="F501" s="1065" t="e">
        <f>SUMIF('[1]ПО КОРИСНИЦИМА'!$G$3:$G$11609,"Свега за пројекат 1301-П28:",'[1]ПО КОРИСНИЦИМА'!$I$3:$I$11609)</f>
        <v>#VALUE!</v>
      </c>
      <c r="G501" s="1061" t="e">
        <f t="shared" si="15"/>
        <v>#VALUE!</v>
      </c>
      <c r="H501" s="1062"/>
    </row>
    <row r="502" spans="1:8" ht="12.75" hidden="1">
      <c r="A502" s="1075"/>
      <c r="B502" s="1075" t="s">
        <v>736</v>
      </c>
      <c r="C502" s="1060">
        <f>_xlfn.IFERROR(VLOOKUP(B502,'[1]ПО КОРИСНИЦИМА'!$C$3:$J$11609,5,FALSE),"")</f>
      </c>
      <c r="D502" s="1064" t="e">
        <f>SUMIF('[1]ПО КОРИСНИЦИМА'!$G$3:$G$11609,"Свега за пројекат 1301-П29:",'[1]ПО КОРИСНИЦИМА'!$H$3:$H$11609)</f>
        <v>#VALUE!</v>
      </c>
      <c r="E502" s="1058" t="e">
        <f t="shared" si="14"/>
        <v>#VALUE!</v>
      </c>
      <c r="F502" s="1065" t="e">
        <f>SUMIF('[1]ПО КОРИСНИЦИМА'!$G$3:$G$11609,"Свега за пројекат 1301-П29:",'[1]ПО КОРИСНИЦИМА'!$I$3:$I$11609)</f>
        <v>#VALUE!</v>
      </c>
      <c r="G502" s="1061" t="e">
        <f t="shared" si="15"/>
        <v>#VALUE!</v>
      </c>
      <c r="H502" s="1062"/>
    </row>
    <row r="503" spans="1:8" ht="12.75" hidden="1">
      <c r="A503" s="1075"/>
      <c r="B503" s="1075" t="s">
        <v>737</v>
      </c>
      <c r="C503" s="1060">
        <f>_xlfn.IFERROR(VLOOKUP(B503,'[1]ПО КОРИСНИЦИМА'!$C$3:$J$11609,5,FALSE),"")</f>
      </c>
      <c r="D503" s="1064" t="e">
        <f>SUMIF('[1]ПО КОРИСНИЦИМА'!$G$3:$G$11609,"Свега за пројекат 1301-П30:",'[1]ПО КОРИСНИЦИМА'!$H$3:$H$11609)</f>
        <v>#VALUE!</v>
      </c>
      <c r="E503" s="1058" t="e">
        <f t="shared" si="14"/>
        <v>#VALUE!</v>
      </c>
      <c r="F503" s="1065" t="e">
        <f>SUMIF('[1]ПО КОРИСНИЦИМА'!$G$3:$G$11609,"Свега за пројекат 1301-П30:",'[1]ПО КОРИСНИЦИМА'!$I$3:$I$11609)</f>
        <v>#VALUE!</v>
      </c>
      <c r="G503" s="1061" t="e">
        <f t="shared" si="15"/>
        <v>#VALUE!</v>
      </c>
      <c r="H503" s="1062"/>
    </row>
    <row r="504" spans="1:8" ht="12.75" hidden="1">
      <c r="A504" s="1075"/>
      <c r="B504" s="1075" t="s">
        <v>738</v>
      </c>
      <c r="C504" s="1060">
        <f>_xlfn.IFERROR(VLOOKUP(B504,'[1]ПО КОРИСНИЦИМА'!$C$3:$J$11609,5,FALSE),"")</f>
      </c>
      <c r="D504" s="1064" t="e">
        <f>SUMIF('[1]ПО КОРИСНИЦИМА'!$G$3:$G$11609,"Свега за пројекат 1301-П31:",'[1]ПО КОРИСНИЦИМА'!$H$3:$H$11609)</f>
        <v>#VALUE!</v>
      </c>
      <c r="E504" s="1058" t="e">
        <f t="shared" si="14"/>
        <v>#VALUE!</v>
      </c>
      <c r="F504" s="1065" t="e">
        <f>SUMIF('[1]ПО КОРИСНИЦИМА'!$G$3:$G$11609,"Свега за пројекат 1301-П31:",'[1]ПО КОРИСНИЦИМА'!$I$3:$I$11609)</f>
        <v>#VALUE!</v>
      </c>
      <c r="G504" s="1061" t="e">
        <f t="shared" si="15"/>
        <v>#VALUE!</v>
      </c>
      <c r="H504" s="1062"/>
    </row>
    <row r="505" spans="1:8" ht="12.75" hidden="1">
      <c r="A505" s="1075"/>
      <c r="B505" s="1075" t="s">
        <v>739</v>
      </c>
      <c r="C505" s="1060">
        <f>_xlfn.IFERROR(VLOOKUP(B505,'[1]ПО КОРИСНИЦИМА'!$C$3:$J$11609,5,FALSE),"")</f>
      </c>
      <c r="D505" s="1064" t="e">
        <f>SUMIF('[1]ПО КОРИСНИЦИМА'!$G$3:$G$11609,"Свега за пројекат 1301-П32:",'[1]ПО КОРИСНИЦИМА'!$H$3:$H$11609)</f>
        <v>#VALUE!</v>
      </c>
      <c r="E505" s="1058" t="e">
        <f t="shared" si="14"/>
        <v>#VALUE!</v>
      </c>
      <c r="F505" s="1065" t="e">
        <f>SUMIF('[1]ПО КОРИСНИЦИМА'!$G$3:$G$11609,"Свега за пројекат 1301-П32:",'[1]ПО КОРИСНИЦИМА'!$I$3:$I$11609)</f>
        <v>#VALUE!</v>
      </c>
      <c r="G505" s="1061" t="e">
        <f t="shared" si="15"/>
        <v>#VALUE!</v>
      </c>
      <c r="H505" s="1062"/>
    </row>
    <row r="506" spans="1:8" ht="12.75" hidden="1">
      <c r="A506" s="1075"/>
      <c r="B506" s="1075" t="s">
        <v>740</v>
      </c>
      <c r="C506" s="1060">
        <f>_xlfn.IFERROR(VLOOKUP(B506,'[1]ПО КОРИСНИЦИМА'!$C$3:$J$11609,5,FALSE),"")</f>
      </c>
      <c r="D506" s="1064" t="e">
        <f>SUMIF('[1]ПО КОРИСНИЦИМА'!$G$3:$G$11609,"Свега за пројекат 1301-П33:",'[1]ПО КОРИСНИЦИМА'!$H$3:$H$11609)</f>
        <v>#VALUE!</v>
      </c>
      <c r="E506" s="1058" t="e">
        <f t="shared" si="14"/>
        <v>#VALUE!</v>
      </c>
      <c r="F506" s="1065" t="e">
        <f>SUMIF('[1]ПО КОРИСНИЦИМА'!$G$3:$G$11609,"Свега за пројекат 1301-П33:",'[1]ПО КОРИСНИЦИМА'!$I$3:$I$11609)</f>
        <v>#VALUE!</v>
      </c>
      <c r="G506" s="1061" t="e">
        <f t="shared" si="15"/>
        <v>#VALUE!</v>
      </c>
      <c r="H506" s="1062"/>
    </row>
    <row r="507" spans="1:8" ht="12.75" hidden="1">
      <c r="A507" s="1075"/>
      <c r="B507" s="1075" t="s">
        <v>741</v>
      </c>
      <c r="C507" s="1060">
        <f>_xlfn.IFERROR(VLOOKUP(B507,'[1]ПО КОРИСНИЦИМА'!$C$3:$J$11609,5,FALSE),"")</f>
      </c>
      <c r="D507" s="1064" t="e">
        <f>SUMIF('[1]ПО КОРИСНИЦИМА'!$G$3:$G$11609,"Свега за пројекат 1301-П34:",'[1]ПО КОРИСНИЦИМА'!$H$3:$H$11609)</f>
        <v>#VALUE!</v>
      </c>
      <c r="E507" s="1058" t="e">
        <f t="shared" si="14"/>
        <v>#VALUE!</v>
      </c>
      <c r="F507" s="1065" t="e">
        <f>SUMIF('[1]ПО КОРИСНИЦИМА'!$G$3:$G$11609,"Свега за пројекат 1301-П34:",'[1]ПО КОРИСНИЦИМА'!$I$3:$I$11609)</f>
        <v>#VALUE!</v>
      </c>
      <c r="G507" s="1061" t="e">
        <f t="shared" si="15"/>
        <v>#VALUE!</v>
      </c>
      <c r="H507" s="1062"/>
    </row>
    <row r="508" spans="1:8" ht="12.75" hidden="1">
      <c r="A508" s="1075"/>
      <c r="B508" s="1075" t="s">
        <v>742</v>
      </c>
      <c r="C508" s="1060">
        <f>_xlfn.IFERROR(VLOOKUP(B508,'[1]ПО КОРИСНИЦИМА'!$C$3:$J$11609,5,FALSE),"")</f>
      </c>
      <c r="D508" s="1064" t="e">
        <f>SUMIF('[1]ПО КОРИСНИЦИМА'!$G$3:$G$11609,"Свега за пројекат 1301-П35:",'[1]ПО КОРИСНИЦИМА'!$H$3:$H$11609)</f>
        <v>#VALUE!</v>
      </c>
      <c r="E508" s="1058" t="e">
        <f t="shared" si="14"/>
        <v>#VALUE!</v>
      </c>
      <c r="F508" s="1065" t="e">
        <f>SUMIF('[1]ПО КОРИСНИЦИМА'!$G$3:$G$11609,"Свега за пројекат 1301-П35:",'[1]ПО КОРИСНИЦИМА'!$I$3:$I$11609)</f>
        <v>#VALUE!</v>
      </c>
      <c r="G508" s="1061" t="e">
        <f t="shared" si="15"/>
        <v>#VALUE!</v>
      </c>
      <c r="H508" s="1062"/>
    </row>
    <row r="509" spans="1:8" ht="12.75" hidden="1">
      <c r="A509" s="1075"/>
      <c r="B509" s="1075" t="s">
        <v>743</v>
      </c>
      <c r="C509" s="1060">
        <f>_xlfn.IFERROR(VLOOKUP(B509,'[1]ПО КОРИСНИЦИМА'!$C$3:$J$11609,5,FALSE),"")</f>
      </c>
      <c r="D509" s="1064" t="e">
        <f>SUMIF('[1]ПО КОРИСНИЦИМА'!$G$3:$G$11609,"Свега за пројекат 1301-П36:",'[1]ПО КОРИСНИЦИМА'!$H$3:$H$11609)</f>
        <v>#VALUE!</v>
      </c>
      <c r="E509" s="1058" t="e">
        <f t="shared" si="14"/>
        <v>#VALUE!</v>
      </c>
      <c r="F509" s="1065" t="e">
        <f>SUMIF('[1]ПО КОРИСНИЦИМА'!$G$3:$G$11609,"Свега за пројекат 1301-П36:",'[1]ПО КОРИСНИЦИМА'!$I$3:$I$11609)</f>
        <v>#VALUE!</v>
      </c>
      <c r="G509" s="1061" t="e">
        <f t="shared" si="15"/>
        <v>#VALUE!</v>
      </c>
      <c r="H509" s="1062"/>
    </row>
    <row r="510" spans="1:8" ht="12.75" hidden="1">
      <c r="A510" s="1075"/>
      <c r="B510" s="1075" t="s">
        <v>744</v>
      </c>
      <c r="C510" s="1060">
        <f>_xlfn.IFERROR(VLOOKUP(B510,'[1]ПО КОРИСНИЦИМА'!$C$3:$J$11609,5,FALSE),"")</f>
      </c>
      <c r="D510" s="1064" t="e">
        <f>SUMIF('[1]ПО КОРИСНИЦИМА'!$G$3:$G$11609,"Свега за пројекат 1301-П37:",'[1]ПО КОРИСНИЦИМА'!$H$3:$H$11609)</f>
        <v>#VALUE!</v>
      </c>
      <c r="E510" s="1058" t="e">
        <f t="shared" si="14"/>
        <v>#VALUE!</v>
      </c>
      <c r="F510" s="1065" t="e">
        <f>SUMIF('[1]ПО КОРИСНИЦИМА'!$G$3:$G$11609,"Свега за пројекат 1301-П37:",'[1]ПО КОРИСНИЦИМА'!$I$3:$I$11609)</f>
        <v>#VALUE!</v>
      </c>
      <c r="G510" s="1061" t="e">
        <f t="shared" si="15"/>
        <v>#VALUE!</v>
      </c>
      <c r="H510" s="1062"/>
    </row>
    <row r="511" spans="1:8" ht="12.75" hidden="1">
      <c r="A511" s="1075"/>
      <c r="B511" s="1075" t="s">
        <v>745</v>
      </c>
      <c r="C511" s="1060">
        <f>_xlfn.IFERROR(VLOOKUP(B511,'[1]ПО КОРИСНИЦИМА'!$C$3:$J$11609,5,FALSE),"")</f>
      </c>
      <c r="D511" s="1064" t="e">
        <f>SUMIF('[1]ПО КОРИСНИЦИМА'!$G$3:$G$11609,"Свега за пројекат 1301-П38:",'[1]ПО КОРИСНИЦИМА'!$H$3:$H$11609)</f>
        <v>#VALUE!</v>
      </c>
      <c r="E511" s="1058" t="e">
        <f t="shared" si="14"/>
        <v>#VALUE!</v>
      </c>
      <c r="F511" s="1065" t="e">
        <f>SUMIF('[1]ПО КОРИСНИЦИМА'!$G$3:$G$11609,"Свега за пројекат 1301-П38:",'[1]ПО КОРИСНИЦИМА'!$I$3:$I$11609)</f>
        <v>#VALUE!</v>
      </c>
      <c r="G511" s="1061" t="e">
        <f t="shared" si="15"/>
        <v>#VALUE!</v>
      </c>
      <c r="H511" s="1062"/>
    </row>
    <row r="512" spans="1:8" ht="12.75" hidden="1">
      <c r="A512" s="1075"/>
      <c r="B512" s="1075" t="s">
        <v>746</v>
      </c>
      <c r="C512" s="1060">
        <f>_xlfn.IFERROR(VLOOKUP(B512,'[1]ПО КОРИСНИЦИМА'!$C$3:$J$11609,5,FALSE),"")</f>
      </c>
      <c r="D512" s="1064" t="e">
        <f>SUMIF('[1]ПО КОРИСНИЦИМА'!$G$3:$G$11609,"Свега за пројекат 1301-П39:",'[1]ПО КОРИСНИЦИМА'!$H$3:$H$11609)</f>
        <v>#VALUE!</v>
      </c>
      <c r="E512" s="1058" t="e">
        <f t="shared" si="14"/>
        <v>#VALUE!</v>
      </c>
      <c r="F512" s="1065" t="e">
        <f>SUMIF('[1]ПО КОРИСНИЦИМА'!$G$3:$G$11609,"Свега за пројекат 1301-П39:",'[1]ПО КОРИСНИЦИМА'!$I$3:$I$11609)</f>
        <v>#VALUE!</v>
      </c>
      <c r="G512" s="1061" t="e">
        <f t="shared" si="15"/>
        <v>#VALUE!</v>
      </c>
      <c r="H512" s="1062"/>
    </row>
    <row r="513" spans="1:8" ht="12.75" hidden="1">
      <c r="A513" s="1075"/>
      <c r="B513" s="1075" t="s">
        <v>747</v>
      </c>
      <c r="C513" s="1060">
        <f>_xlfn.IFERROR(VLOOKUP(B513,'[1]ПО КОРИСНИЦИМА'!$C$3:$J$11609,5,FALSE),"")</f>
      </c>
      <c r="D513" s="1064" t="e">
        <f>SUMIF('[1]ПО КОРИСНИЦИМА'!$G$3:$G$11609,"Свега за пројекат 1301-П40:",'[1]ПО КОРИСНИЦИМА'!$H$3:$H$11609)</f>
        <v>#VALUE!</v>
      </c>
      <c r="E513" s="1058" t="e">
        <f t="shared" si="14"/>
        <v>#VALUE!</v>
      </c>
      <c r="F513" s="1065" t="e">
        <f>SUMIF('[1]ПО КОРИСНИЦИМА'!$G$3:$G$11609,"Свега за пројекат 1301-П40:",'[1]ПО КОРИСНИЦИМА'!$I$3:$I$11609)</f>
        <v>#VALUE!</v>
      </c>
      <c r="G513" s="1061" t="e">
        <f t="shared" si="15"/>
        <v>#VALUE!</v>
      </c>
      <c r="H513" s="1062"/>
    </row>
    <row r="514" spans="1:8" ht="12.75" hidden="1">
      <c r="A514" s="1075"/>
      <c r="B514" s="1075" t="s">
        <v>748</v>
      </c>
      <c r="C514" s="1060">
        <f>_xlfn.IFERROR(VLOOKUP(B514,'[1]ПО КОРИСНИЦИМА'!$C$3:$J$11609,5,FALSE),"")</f>
      </c>
      <c r="D514" s="1064" t="e">
        <f>SUMIF('[1]ПО КОРИСНИЦИМА'!$G$3:$G$11609,"Свега за пројекат 1301-П41:",'[1]ПО КОРИСНИЦИМА'!$H$3:$H$11609)</f>
        <v>#VALUE!</v>
      </c>
      <c r="E514" s="1058" t="e">
        <f t="shared" si="14"/>
        <v>#VALUE!</v>
      </c>
      <c r="F514" s="1065" t="e">
        <f>SUMIF('[1]ПО КОРИСНИЦИМА'!$G$3:$G$11609,"Свега за пројекат 1301-П41:",'[1]ПО КОРИСНИЦИМА'!$I$3:$I$11609)</f>
        <v>#VALUE!</v>
      </c>
      <c r="G514" s="1061" t="e">
        <f t="shared" si="15"/>
        <v>#VALUE!</v>
      </c>
      <c r="H514" s="1062"/>
    </row>
    <row r="515" spans="1:8" ht="12.75" hidden="1">
      <c r="A515" s="1075"/>
      <c r="B515" s="1075" t="s">
        <v>749</v>
      </c>
      <c r="C515" s="1060">
        <f>_xlfn.IFERROR(VLOOKUP(B515,'[1]ПО КОРИСНИЦИМА'!$C$3:$J$11609,5,FALSE),"")</f>
      </c>
      <c r="D515" s="1064" t="e">
        <f>SUMIF('[1]ПО КОРИСНИЦИМА'!$G$3:$G$11609,"Свега за пројекат 1301-П42:",'[1]ПО КОРИСНИЦИМА'!$H$3:$H$11609)</f>
        <v>#VALUE!</v>
      </c>
      <c r="E515" s="1058" t="e">
        <f t="shared" si="14"/>
        <v>#VALUE!</v>
      </c>
      <c r="F515" s="1065" t="e">
        <f>SUMIF('[1]ПО КОРИСНИЦИМА'!$G$3:$G$11609,"Свега за пројекат 1301-П42:",'[1]ПО КОРИСНИЦИМА'!$I$3:$I$11609)</f>
        <v>#VALUE!</v>
      </c>
      <c r="G515" s="1061" t="e">
        <f t="shared" si="15"/>
        <v>#VALUE!</v>
      </c>
      <c r="H515" s="1062"/>
    </row>
    <row r="516" spans="1:8" ht="12.75" hidden="1">
      <c r="A516" s="1075"/>
      <c r="B516" s="1075" t="s">
        <v>750</v>
      </c>
      <c r="C516" s="1060">
        <f>_xlfn.IFERROR(VLOOKUP(B516,'[1]ПО КОРИСНИЦИМА'!$C$3:$J$11609,5,FALSE),"")</f>
      </c>
      <c r="D516" s="1064" t="e">
        <f>SUMIF('[1]ПО КОРИСНИЦИМА'!$G$3:$G$11609,"Свега за пројекат 1301-П43:",'[1]ПО КОРИСНИЦИМА'!$H$3:$H$11609)</f>
        <v>#VALUE!</v>
      </c>
      <c r="E516" s="1058" t="e">
        <f t="shared" si="14"/>
        <v>#VALUE!</v>
      </c>
      <c r="F516" s="1065" t="e">
        <f>SUMIF('[1]ПО КОРИСНИЦИМА'!$G$3:$G$11609,"Свега за пројекат 1301-П43:",'[1]ПО КОРИСНИЦИМА'!$I$3:$I$11609)</f>
        <v>#VALUE!</v>
      </c>
      <c r="G516" s="1061" t="e">
        <f t="shared" si="15"/>
        <v>#VALUE!</v>
      </c>
      <c r="H516" s="1062"/>
    </row>
    <row r="517" spans="1:8" ht="12.75" hidden="1">
      <c r="A517" s="1075"/>
      <c r="B517" s="1075" t="s">
        <v>751</v>
      </c>
      <c r="C517" s="1060">
        <f>_xlfn.IFERROR(VLOOKUP(B517,'[1]ПО КОРИСНИЦИМА'!$C$3:$J$11609,5,FALSE),"")</f>
      </c>
      <c r="D517" s="1064" t="e">
        <f>SUMIF('[1]ПО КОРИСНИЦИМА'!$G$3:$G$11609,"Свега за пројекат 1301-П44:",'[1]ПО КОРИСНИЦИМА'!$H$3:$H$11609)</f>
        <v>#VALUE!</v>
      </c>
      <c r="E517" s="1058" t="e">
        <f t="shared" si="14"/>
        <v>#VALUE!</v>
      </c>
      <c r="F517" s="1065" t="e">
        <f>SUMIF('[1]ПО КОРИСНИЦИМА'!$G$3:$G$11609,"Свега за пројекат 1301-П44:",'[1]ПО КОРИСНИЦИМА'!$I$3:$I$11609)</f>
        <v>#VALUE!</v>
      </c>
      <c r="G517" s="1061" t="e">
        <f t="shared" si="15"/>
        <v>#VALUE!</v>
      </c>
      <c r="H517" s="1062"/>
    </row>
    <row r="518" spans="1:8" ht="12.75" hidden="1">
      <c r="A518" s="1075"/>
      <c r="B518" s="1075" t="s">
        <v>752</v>
      </c>
      <c r="C518" s="1060">
        <f>_xlfn.IFERROR(VLOOKUP(B518,'[1]ПО КОРИСНИЦИМА'!$C$3:$J$11609,5,FALSE),"")</f>
      </c>
      <c r="D518" s="1064" t="e">
        <f>SUMIF('[1]ПО КОРИСНИЦИМА'!$G$3:$G$11609,"Свега за пројекат 1301-П45:",'[1]ПО КОРИСНИЦИМА'!$H$3:$H$11609)</f>
        <v>#VALUE!</v>
      </c>
      <c r="E518" s="1058" t="e">
        <f aca="true" t="shared" si="16" ref="E518:E581">D518/444656763</f>
        <v>#VALUE!</v>
      </c>
      <c r="F518" s="1065" t="e">
        <f>SUMIF('[1]ПО КОРИСНИЦИМА'!$G$3:$G$11609,"Свега за пројекат 1301-П45:",'[1]ПО КОРИСНИЦИМА'!$I$3:$I$11609)</f>
        <v>#VALUE!</v>
      </c>
      <c r="G518" s="1061" t="e">
        <f aca="true" t="shared" si="17" ref="G518:G580">D518+F518</f>
        <v>#VALUE!</v>
      </c>
      <c r="H518" s="1062"/>
    </row>
    <row r="519" spans="1:8" ht="12.75" hidden="1">
      <c r="A519" s="1075"/>
      <c r="B519" s="1075" t="s">
        <v>753</v>
      </c>
      <c r="C519" s="1060">
        <f>_xlfn.IFERROR(VLOOKUP(B519,'[1]ПО КОРИСНИЦИМА'!$C$3:$J$11609,5,FALSE),"")</f>
      </c>
      <c r="D519" s="1064" t="e">
        <f>SUMIF('[1]ПО КОРИСНИЦИМА'!$G$3:$G$11609,"Свега за пројекат 1301-П46:",'[1]ПО КОРИСНИЦИМА'!$H$3:$H$11609)</f>
        <v>#VALUE!</v>
      </c>
      <c r="E519" s="1058" t="e">
        <f t="shared" si="16"/>
        <v>#VALUE!</v>
      </c>
      <c r="F519" s="1065" t="e">
        <f>SUMIF('[1]ПО КОРИСНИЦИМА'!$G$3:$G$11609,"Свега за пројекат 1301-П46:",'[1]ПО КОРИСНИЦИМА'!$I$3:$I$11609)</f>
        <v>#VALUE!</v>
      </c>
      <c r="G519" s="1061" t="e">
        <f t="shared" si="17"/>
        <v>#VALUE!</v>
      </c>
      <c r="H519" s="1062"/>
    </row>
    <row r="520" spans="1:8" ht="12.75" hidden="1">
      <c r="A520" s="1075"/>
      <c r="B520" s="1075" t="s">
        <v>754</v>
      </c>
      <c r="C520" s="1060">
        <f>_xlfn.IFERROR(VLOOKUP(B520,'[1]ПО КОРИСНИЦИМА'!$C$3:$J$11609,5,FALSE),"")</f>
      </c>
      <c r="D520" s="1064" t="e">
        <f>SUMIF('[1]ПО КОРИСНИЦИМА'!$G$3:$G$11609,"Свега за пројекат 1301-П47:",'[1]ПО КОРИСНИЦИМА'!$H$3:$H$11609)</f>
        <v>#VALUE!</v>
      </c>
      <c r="E520" s="1058" t="e">
        <f t="shared" si="16"/>
        <v>#VALUE!</v>
      </c>
      <c r="F520" s="1065" t="e">
        <f>SUMIF('[1]ПО КОРИСНИЦИМА'!$G$3:$G$11609,"Свега за пројекат 1301-П47:",'[1]ПО КОРИСНИЦИМА'!$I$3:$I$11609)</f>
        <v>#VALUE!</v>
      </c>
      <c r="G520" s="1061" t="e">
        <f t="shared" si="17"/>
        <v>#VALUE!</v>
      </c>
      <c r="H520" s="1062"/>
    </row>
    <row r="521" spans="1:8" ht="12.75" hidden="1">
      <c r="A521" s="1075"/>
      <c r="B521" s="1075" t="s">
        <v>755</v>
      </c>
      <c r="C521" s="1060">
        <f>_xlfn.IFERROR(VLOOKUP(B521,'[1]ПО КОРИСНИЦИМА'!$C$3:$J$11609,5,FALSE),"")</f>
      </c>
      <c r="D521" s="1064" t="e">
        <f>SUMIF('[1]ПО КОРИСНИЦИМА'!$G$3:$G$11609,"Свега за пројекат 1301-П48:",'[1]ПО КОРИСНИЦИМА'!$H$3:$H$11609)</f>
        <v>#VALUE!</v>
      </c>
      <c r="E521" s="1058" t="e">
        <f t="shared" si="16"/>
        <v>#VALUE!</v>
      </c>
      <c r="F521" s="1065" t="e">
        <f>SUMIF('[1]ПО КОРИСНИЦИМА'!$G$3:$G$11609,"Свега за пројекат 1301-П48:",'[1]ПО КОРИСНИЦИМА'!$I$3:$I$11609)</f>
        <v>#VALUE!</v>
      </c>
      <c r="G521" s="1061" t="e">
        <f t="shared" si="17"/>
        <v>#VALUE!</v>
      </c>
      <c r="H521" s="1062"/>
    </row>
    <row r="522" spans="1:8" ht="12.75" hidden="1">
      <c r="A522" s="1075"/>
      <c r="B522" s="1075" t="s">
        <v>756</v>
      </c>
      <c r="C522" s="1060">
        <f>_xlfn.IFERROR(VLOOKUP(B522,'[1]ПО КОРИСНИЦИМА'!$C$3:$J$11609,5,FALSE),"")</f>
      </c>
      <c r="D522" s="1064" t="e">
        <f>SUMIF('[1]ПО КОРИСНИЦИМА'!$G$3:$G$11609,"Свега за пројекат 1301-П49:",'[1]ПО КОРИСНИЦИМА'!$H$3:$H$11609)</f>
        <v>#VALUE!</v>
      </c>
      <c r="E522" s="1058" t="e">
        <f t="shared" si="16"/>
        <v>#VALUE!</v>
      </c>
      <c r="F522" s="1065" t="e">
        <f>SUMIF('[1]ПО КОРИСНИЦИМА'!$G$3:$G$11609,"Свега за пројекат 1301-П49:",'[1]ПО КОРИСНИЦИМА'!$I$3:$I$11609)</f>
        <v>#VALUE!</v>
      </c>
      <c r="G522" s="1061" t="e">
        <f t="shared" si="17"/>
        <v>#VALUE!</v>
      </c>
      <c r="H522" s="1062"/>
    </row>
    <row r="523" spans="1:8" ht="12.75" hidden="1">
      <c r="A523" s="1075"/>
      <c r="B523" s="1075" t="s">
        <v>757</v>
      </c>
      <c r="C523" s="1060">
        <f>_xlfn.IFERROR(VLOOKUP(B523,'[1]ПО КОРИСНИЦИМА'!$C$3:$J$11609,5,FALSE),"")</f>
      </c>
      <c r="D523" s="1064" t="e">
        <f>SUMIF('[1]ПО КОРИСНИЦИМА'!$G$3:$G$11609,"Свега за пројекат 1301-П50:",'[1]ПО КОРИСНИЦИМА'!$H$3:$H$11609)</f>
        <v>#VALUE!</v>
      </c>
      <c r="E523" s="1058" t="e">
        <f t="shared" si="16"/>
        <v>#VALUE!</v>
      </c>
      <c r="F523" s="1065" t="e">
        <f>SUMIF('[1]ПО КОРИСНИЦИМА'!$G$3:$G$11609,"Свега за пројекат 1301-П50:",'[1]ПО КОРИСНИЦИМА'!$I$3:$I$11609)</f>
        <v>#VALUE!</v>
      </c>
      <c r="G523" s="1061" t="e">
        <f t="shared" si="17"/>
        <v>#VALUE!</v>
      </c>
      <c r="H523" s="1062"/>
    </row>
    <row r="524" spans="1:8" s="325" customFormat="1" ht="12.75">
      <c r="A524" s="1054" t="s">
        <v>290</v>
      </c>
      <c r="B524" s="1055"/>
      <c r="C524" s="1056" t="s">
        <v>10</v>
      </c>
      <c r="D524" s="1057">
        <f>SUM(D525:D539)</f>
        <v>108617923</v>
      </c>
      <c r="E524" s="1058">
        <f t="shared" si="16"/>
        <v>0.24427363314386383</v>
      </c>
      <c r="F524" s="1057">
        <f>SUM(F525:F539)</f>
        <v>31054770.1</v>
      </c>
      <c r="G524" s="1057">
        <f t="shared" si="17"/>
        <v>139672693.1</v>
      </c>
      <c r="H524" s="1072"/>
    </row>
    <row r="525" spans="1:8" ht="24">
      <c r="A525" s="1083"/>
      <c r="B525" s="1080" t="s">
        <v>292</v>
      </c>
      <c r="C525" s="1091" t="s">
        <v>864</v>
      </c>
      <c r="D525" s="1061">
        <f>'Rashodi-2020'!M77</f>
        <v>78230000</v>
      </c>
      <c r="E525" s="1181">
        <f t="shared" si="16"/>
        <v>0.17593345364230972</v>
      </c>
      <c r="F525" s="1061">
        <f>'Rashodi-2020'!T77</f>
        <v>4457000</v>
      </c>
      <c r="G525" s="1085">
        <f t="shared" si="17"/>
        <v>82687000</v>
      </c>
      <c r="H525" s="1062" t="s">
        <v>1173</v>
      </c>
    </row>
    <row r="526" spans="1:8" ht="12.75">
      <c r="A526" s="1083"/>
      <c r="B526" s="1080" t="s">
        <v>308</v>
      </c>
      <c r="C526" s="1066" t="s">
        <v>1361</v>
      </c>
      <c r="D526" s="1061">
        <f>'Rashodi-2020'!M429+'Rashodi-2020'!M438+'Rashodi-2020'!M456+'Rashodi-2020'!M469+'Rashodi-2020'!M482+'Rashodi-2020'!M495+'Rashodi-2020'!M506</f>
        <v>15355923</v>
      </c>
      <c r="E526" s="1181">
        <f t="shared" si="16"/>
        <v>0.03453432912252816</v>
      </c>
      <c r="F526" s="1061">
        <f>'Rashodi-2020'!T506+'Rashodi-2020'!T495+'Rashodi-2020'!T482+'Rashodi-2020'!T469+'Rashodi-2020'!T456+'Rashodi-2020'!T438+'Rashodi-2020'!T427</f>
        <v>3591895</v>
      </c>
      <c r="G526" s="1085">
        <f t="shared" si="17"/>
        <v>18947818</v>
      </c>
      <c r="H526" s="1062" t="s">
        <v>1173</v>
      </c>
    </row>
    <row r="527" spans="1:8" ht="12.75" hidden="1">
      <c r="A527" s="1083"/>
      <c r="B527" s="1080" t="s">
        <v>865</v>
      </c>
      <c r="C527" s="1066" t="s">
        <v>866</v>
      </c>
      <c r="D527" s="1061"/>
      <c r="E527" s="1181">
        <f t="shared" si="16"/>
        <v>0</v>
      </c>
      <c r="F527" s="1061"/>
      <c r="G527" s="1085">
        <f t="shared" si="17"/>
        <v>0</v>
      </c>
      <c r="H527" s="1062"/>
    </row>
    <row r="528" spans="1:8" ht="12.75">
      <c r="A528" s="1083"/>
      <c r="B528" s="1080" t="s">
        <v>867</v>
      </c>
      <c r="C528" s="1066" t="s">
        <v>1275</v>
      </c>
      <c r="D528" s="1061">
        <f>'Rashodi-2020'!M32</f>
        <v>1482000</v>
      </c>
      <c r="E528" s="1181">
        <f t="shared" si="16"/>
        <v>0.0033329078141109934</v>
      </c>
      <c r="F528" s="1061"/>
      <c r="G528" s="1085">
        <f t="shared" si="17"/>
        <v>1482000</v>
      </c>
      <c r="H528" s="1062" t="s">
        <v>1173</v>
      </c>
    </row>
    <row r="529" spans="1:8" ht="12.75" hidden="1">
      <c r="A529" s="1083"/>
      <c r="B529" s="1080" t="s">
        <v>868</v>
      </c>
      <c r="C529" s="1066" t="s">
        <v>1166</v>
      </c>
      <c r="D529" s="1061"/>
      <c r="E529" s="1181">
        <f t="shared" si="16"/>
        <v>0</v>
      </c>
      <c r="F529" s="1061"/>
      <c r="G529" s="1085">
        <f t="shared" si="17"/>
        <v>0</v>
      </c>
      <c r="H529" s="1062" t="s">
        <v>1173</v>
      </c>
    </row>
    <row r="530" spans="1:8" ht="12.75" hidden="1">
      <c r="A530" s="1083"/>
      <c r="B530" s="1080"/>
      <c r="C530" s="1066"/>
      <c r="D530" s="1061"/>
      <c r="E530" s="1181">
        <f t="shared" si="16"/>
        <v>0</v>
      </c>
      <c r="F530" s="1061"/>
      <c r="G530" s="1085">
        <f t="shared" si="17"/>
        <v>0</v>
      </c>
      <c r="H530" s="1062" t="s">
        <v>1173</v>
      </c>
    </row>
    <row r="531" spans="1:8" ht="12.75" hidden="1">
      <c r="A531" s="1083"/>
      <c r="B531" s="1080" t="s">
        <v>869</v>
      </c>
      <c r="C531" s="1066" t="s">
        <v>1165</v>
      </c>
      <c r="D531" s="1061"/>
      <c r="E531" s="1181">
        <f t="shared" si="16"/>
        <v>0</v>
      </c>
      <c r="F531" s="1061"/>
      <c r="G531" s="1085">
        <f t="shared" si="17"/>
        <v>0</v>
      </c>
      <c r="H531" s="1062" t="s">
        <v>1173</v>
      </c>
    </row>
    <row r="532" spans="1:8" ht="12.75">
      <c r="A532" s="1083"/>
      <c r="B532" s="1080" t="s">
        <v>869</v>
      </c>
      <c r="C532" s="1066" t="s">
        <v>1276</v>
      </c>
      <c r="D532" s="1061">
        <f>'Rashodi-2020'!M27</f>
        <v>200000</v>
      </c>
      <c r="E532" s="1181">
        <f t="shared" si="16"/>
        <v>0.0004497851301094458</v>
      </c>
      <c r="F532" s="1061">
        <v>0</v>
      </c>
      <c r="G532" s="1085">
        <f t="shared" si="17"/>
        <v>200000</v>
      </c>
      <c r="H532" s="1062" t="s">
        <v>1173</v>
      </c>
    </row>
    <row r="533" spans="1:8" ht="12.75" hidden="1">
      <c r="A533" s="1083"/>
      <c r="B533" s="1080" t="s">
        <v>870</v>
      </c>
      <c r="C533" s="1066" t="s">
        <v>871</v>
      </c>
      <c r="D533" s="1061"/>
      <c r="E533" s="1181">
        <f t="shared" si="16"/>
        <v>0</v>
      </c>
      <c r="F533" s="1061"/>
      <c r="G533" s="1085">
        <f t="shared" si="17"/>
        <v>0</v>
      </c>
      <c r="H533" s="1062" t="s">
        <v>1173</v>
      </c>
    </row>
    <row r="534" spans="1:8" ht="12.75">
      <c r="A534" s="1083"/>
      <c r="B534" s="1080" t="s">
        <v>870</v>
      </c>
      <c r="C534" s="1066" t="s">
        <v>1219</v>
      </c>
      <c r="D534" s="1061">
        <f>'Rashodi-2020'!M134</f>
        <v>500000</v>
      </c>
      <c r="E534" s="1181">
        <f t="shared" si="16"/>
        <v>0.0011244628252736145</v>
      </c>
      <c r="F534" s="1061">
        <f>'Rashodi-2020'!T134</f>
        <v>0</v>
      </c>
      <c r="G534" s="1085">
        <f t="shared" si="17"/>
        <v>500000</v>
      </c>
      <c r="H534" s="1062" t="s">
        <v>1173</v>
      </c>
    </row>
    <row r="535" spans="1:8" ht="12.75">
      <c r="A535" s="1083"/>
      <c r="B535" s="1080" t="s">
        <v>293</v>
      </c>
      <c r="C535" s="1066" t="s">
        <v>1220</v>
      </c>
      <c r="D535" s="1061">
        <f>'Rashodi-2020'!M131</f>
        <v>500000</v>
      </c>
      <c r="E535" s="1181">
        <f t="shared" si="16"/>
        <v>0.0011244628252736145</v>
      </c>
      <c r="F535" s="1061">
        <f>'Rashodi-2020'!T131</f>
        <v>0</v>
      </c>
      <c r="G535" s="1085">
        <f t="shared" si="17"/>
        <v>500000</v>
      </c>
      <c r="H535" s="1062" t="s">
        <v>1173</v>
      </c>
    </row>
    <row r="536" spans="1:8" ht="12.75" hidden="1">
      <c r="A536" s="1083"/>
      <c r="B536" s="1080" t="s">
        <v>758</v>
      </c>
      <c r="C536" s="1060">
        <f>_xlfn.IFERROR(VLOOKUP(B536,'[1]ПО КОРИСНИЦИМА'!$C$3:$J$11609,5,FALSE),"")</f>
      </c>
      <c r="D536" s="1064"/>
      <c r="E536" s="1181">
        <f t="shared" si="16"/>
        <v>0</v>
      </c>
      <c r="F536" s="1064"/>
      <c r="G536" s="1085">
        <f t="shared" si="17"/>
        <v>0</v>
      </c>
      <c r="H536" s="1062" t="s">
        <v>1173</v>
      </c>
    </row>
    <row r="537" spans="1:8" ht="12.75">
      <c r="A537" s="1083"/>
      <c r="B537" s="1080" t="s">
        <v>1221</v>
      </c>
      <c r="C537" s="1060" t="s">
        <v>1277</v>
      </c>
      <c r="D537" s="1064">
        <f>'Rashodi-2020'!M124</f>
        <v>3900000</v>
      </c>
      <c r="E537" s="1181">
        <f t="shared" si="16"/>
        <v>0.008770810037134194</v>
      </c>
      <c r="F537" s="1064">
        <f>'Rashodi-2020'!T124</f>
        <v>5667500</v>
      </c>
      <c r="G537" s="1085">
        <f t="shared" si="17"/>
        <v>9567500</v>
      </c>
      <c r="H537" s="1062" t="s">
        <v>1173</v>
      </c>
    </row>
    <row r="538" spans="1:8" ht="36">
      <c r="A538" s="1083"/>
      <c r="B538" s="1080" t="s">
        <v>758</v>
      </c>
      <c r="C538" s="1070" t="s">
        <v>1176</v>
      </c>
      <c r="D538" s="1064">
        <f>'Rashodi-2020'!M110</f>
        <v>6700000</v>
      </c>
      <c r="E538" s="1181">
        <f t="shared" si="16"/>
        <v>0.015067801858666434</v>
      </c>
      <c r="F538" s="1064">
        <f>'Rashodi-2020'!T110</f>
        <v>15590000</v>
      </c>
      <c r="G538" s="1085">
        <f t="shared" si="17"/>
        <v>22290000</v>
      </c>
      <c r="H538" s="1062" t="s">
        <v>1173</v>
      </c>
    </row>
    <row r="539" spans="1:8" ht="12.75">
      <c r="A539" s="1083"/>
      <c r="B539" s="1080" t="s">
        <v>759</v>
      </c>
      <c r="C539" s="1060" t="s">
        <v>1287</v>
      </c>
      <c r="D539" s="1064">
        <f>'Rashodi-2020'!M119</f>
        <v>1750000</v>
      </c>
      <c r="E539" s="1181">
        <f t="shared" si="16"/>
        <v>0.003935619888457651</v>
      </c>
      <c r="F539" s="1065">
        <f>'Rashodi-2020'!T119</f>
        <v>1748375.1</v>
      </c>
      <c r="G539" s="1085">
        <f t="shared" si="17"/>
        <v>3498375.1</v>
      </c>
      <c r="H539" s="1062" t="s">
        <v>1173</v>
      </c>
    </row>
    <row r="540" spans="1:8" ht="12.75" hidden="1">
      <c r="A540" s="1083"/>
      <c r="B540" s="1080" t="s">
        <v>760</v>
      </c>
      <c r="C540" s="1060">
        <f>_xlfn.IFERROR(VLOOKUP(B540,'[1]ПО КОРИСНИЦИМА'!$C$3:$J$11609,5,FALSE),"")</f>
      </c>
      <c r="D540" s="1064"/>
      <c r="E540" s="1058">
        <f t="shared" si="16"/>
        <v>0</v>
      </c>
      <c r="F540" s="1065"/>
      <c r="G540" s="1085">
        <f t="shared" si="17"/>
        <v>0</v>
      </c>
      <c r="H540" s="1062"/>
    </row>
    <row r="541" spans="1:8" ht="12.75" hidden="1">
      <c r="A541" s="1083"/>
      <c r="B541" s="1080" t="s">
        <v>761</v>
      </c>
      <c r="C541" s="1060">
        <f>_xlfn.IFERROR(VLOOKUP(B541,'[1]ПО КОРИСНИЦИМА'!$C$3:$J$11609,5,FALSE),"")</f>
      </c>
      <c r="D541" s="1064"/>
      <c r="E541" s="1058">
        <f t="shared" si="16"/>
        <v>0</v>
      </c>
      <c r="F541" s="1065"/>
      <c r="G541" s="1085">
        <f t="shared" si="17"/>
        <v>0</v>
      </c>
      <c r="H541" s="1062"/>
    </row>
    <row r="542" spans="1:8" ht="12.75" hidden="1">
      <c r="A542" s="1083"/>
      <c r="B542" s="1080" t="s">
        <v>762</v>
      </c>
      <c r="C542" s="1060">
        <f>_xlfn.IFERROR(VLOOKUP(B542,'[1]ПО КОРИСНИЦИМА'!$C$3:$J$11609,5,FALSE),"")</f>
      </c>
      <c r="D542" s="1064"/>
      <c r="E542" s="1058">
        <f t="shared" si="16"/>
        <v>0</v>
      </c>
      <c r="F542" s="1065"/>
      <c r="G542" s="1085">
        <f t="shared" si="17"/>
        <v>0</v>
      </c>
      <c r="H542" s="1062"/>
    </row>
    <row r="543" spans="1:8" ht="12.75" hidden="1">
      <c r="A543" s="1083"/>
      <c r="B543" s="1080" t="s">
        <v>763</v>
      </c>
      <c r="C543" s="1060">
        <f>_xlfn.IFERROR(VLOOKUP(B543,'[1]ПО КОРИСНИЦИМА'!$C$3:$J$11609,5,FALSE),"")</f>
      </c>
      <c r="D543" s="1064"/>
      <c r="E543" s="1058">
        <f t="shared" si="16"/>
        <v>0</v>
      </c>
      <c r="F543" s="1065"/>
      <c r="G543" s="1085">
        <f t="shared" si="17"/>
        <v>0</v>
      </c>
      <c r="H543" s="1062"/>
    </row>
    <row r="544" spans="1:8" ht="12.75" hidden="1">
      <c r="A544" s="1083"/>
      <c r="B544" s="1080" t="s">
        <v>764</v>
      </c>
      <c r="C544" s="1060">
        <f>_xlfn.IFERROR(VLOOKUP(B544,'[1]ПО КОРИСНИЦИМА'!$C$3:$J$11609,5,FALSE),"")</f>
      </c>
      <c r="D544" s="1064"/>
      <c r="E544" s="1058">
        <f t="shared" si="16"/>
        <v>0</v>
      </c>
      <c r="F544" s="1065"/>
      <c r="G544" s="1085">
        <f t="shared" si="17"/>
        <v>0</v>
      </c>
      <c r="H544" s="1062"/>
    </row>
    <row r="545" spans="1:8" ht="12.75" hidden="1">
      <c r="A545" s="1083"/>
      <c r="B545" s="1080" t="s">
        <v>765</v>
      </c>
      <c r="C545" s="1060">
        <f>_xlfn.IFERROR(VLOOKUP(B545,'[1]ПО КОРИСНИЦИМА'!$C$3:$J$11609,5,FALSE),"")</f>
      </c>
      <c r="D545" s="1064" t="e">
        <f>SUMIF('[1]ПО КОРИСНИЦИМА'!$G$3:$G$11609,"Свега за пројекат 0602-П10:",'[1]ПО КОРИСНИЦИМА'!$H$3:$H$11609)</f>
        <v>#VALUE!</v>
      </c>
      <c r="E545" s="1058" t="e">
        <f t="shared" si="16"/>
        <v>#VALUE!</v>
      </c>
      <c r="F545" s="1065" t="e">
        <f>SUMIF('[1]ПО КОРИСНИЦИМА'!$G$3:$G$11609,"Свега за пројекат 0602-П10:",'[1]ПО КОРИСНИЦИМА'!$I$3:$I$11609)</f>
        <v>#VALUE!</v>
      </c>
      <c r="G545" s="1092" t="e">
        <f t="shared" si="17"/>
        <v>#VALUE!</v>
      </c>
      <c r="H545" s="1062"/>
    </row>
    <row r="546" spans="1:8" ht="12.75" hidden="1">
      <c r="A546" s="1083"/>
      <c r="B546" s="1080" t="s">
        <v>766</v>
      </c>
      <c r="C546" s="1060">
        <f>_xlfn.IFERROR(VLOOKUP(B546,'[1]ПО КОРИСНИЦИМА'!$C$3:$J$11609,5,FALSE),"")</f>
      </c>
      <c r="D546" s="1064" t="e">
        <f>SUMIF('[1]ПО КОРИСНИЦИМА'!$G$3:$G$11609,"Свега за пројекат 0602-П11:",'[1]ПО КОРИСНИЦИМА'!$H$3:$H$11609)</f>
        <v>#VALUE!</v>
      </c>
      <c r="E546" s="1058" t="e">
        <f t="shared" si="16"/>
        <v>#VALUE!</v>
      </c>
      <c r="F546" s="1065" t="e">
        <f>SUMIF('[1]ПО КОРИСНИЦИМА'!$G$3:$G$11609,"Свега за пројекат 0602-П11:",'[1]ПО КОРИСНИЦИМА'!$I$3:$I$11609)</f>
        <v>#VALUE!</v>
      </c>
      <c r="G546" s="1092" t="e">
        <f t="shared" si="17"/>
        <v>#VALUE!</v>
      </c>
      <c r="H546" s="1062"/>
    </row>
    <row r="547" spans="1:8" ht="12.75" hidden="1">
      <c r="A547" s="1083"/>
      <c r="B547" s="1080" t="s">
        <v>767</v>
      </c>
      <c r="C547" s="1060">
        <f>_xlfn.IFERROR(VLOOKUP(B547,'[1]ПО КОРИСНИЦИМА'!$C$3:$J$11609,5,FALSE),"")</f>
      </c>
      <c r="D547" s="1064" t="e">
        <f>SUMIF('[1]ПО КОРИСНИЦИМА'!$G$3:$G$11609,"Свега за пројекат 0602-П12:",'[1]ПО КОРИСНИЦИМА'!$H$3:$H$11609)</f>
        <v>#VALUE!</v>
      </c>
      <c r="E547" s="1058" t="e">
        <f t="shared" si="16"/>
        <v>#VALUE!</v>
      </c>
      <c r="F547" s="1065" t="e">
        <f>SUMIF('[1]ПО КОРИСНИЦИМА'!$G$3:$G$11609,"Свега за пројекат 0602-П12:",'[1]ПО КОРИСНИЦИМА'!$I$3:$I$11609)</f>
        <v>#VALUE!</v>
      </c>
      <c r="G547" s="1092" t="e">
        <f t="shared" si="17"/>
        <v>#VALUE!</v>
      </c>
      <c r="H547" s="1062"/>
    </row>
    <row r="548" spans="1:8" ht="12.75" hidden="1">
      <c r="A548" s="1083"/>
      <c r="B548" s="1080" t="s">
        <v>768</v>
      </c>
      <c r="C548" s="1060">
        <f>_xlfn.IFERROR(VLOOKUP(B548,'[1]ПО КОРИСНИЦИМА'!$C$3:$J$11609,5,FALSE),"")</f>
      </c>
      <c r="D548" s="1064" t="e">
        <f>SUMIF('[1]ПО КОРИСНИЦИМА'!$G$3:$G$11609,"Свега за пројекат 0602-П13:",'[1]ПО КОРИСНИЦИМА'!$H$3:$H$11609)</f>
        <v>#VALUE!</v>
      </c>
      <c r="E548" s="1058" t="e">
        <f t="shared" si="16"/>
        <v>#VALUE!</v>
      </c>
      <c r="F548" s="1065" t="e">
        <f>SUMIF('[1]ПО КОРИСНИЦИМА'!$G$3:$G$11609,"Свега за пројекат 0602-П13:",'[1]ПО КОРИСНИЦИМА'!$I$3:$I$11609)</f>
        <v>#VALUE!</v>
      </c>
      <c r="G548" s="1092" t="e">
        <f t="shared" si="17"/>
        <v>#VALUE!</v>
      </c>
      <c r="H548" s="1062"/>
    </row>
    <row r="549" spans="1:8" ht="12.75" hidden="1">
      <c r="A549" s="1083"/>
      <c r="B549" s="1080" t="s">
        <v>769</v>
      </c>
      <c r="C549" s="1060">
        <f>_xlfn.IFERROR(VLOOKUP(B549,'[1]ПО КОРИСНИЦИМА'!$C$3:$J$11609,5,FALSE),"")</f>
      </c>
      <c r="D549" s="1064" t="e">
        <f>SUMIF('[1]ПО КОРИСНИЦИМА'!$G$3:$G$11609,"Свега за пројекат 0602-П14:",'[1]ПО КОРИСНИЦИМА'!$H$3:$H$11609)</f>
        <v>#VALUE!</v>
      </c>
      <c r="E549" s="1058" t="e">
        <f t="shared" si="16"/>
        <v>#VALUE!</v>
      </c>
      <c r="F549" s="1065" t="e">
        <f>SUMIF('[1]ПО КОРИСНИЦИМА'!$G$3:$G$11609,"Свега за пројекат 0602-П14:",'[1]ПО КОРИСНИЦИМА'!$I$3:$I$11609)</f>
        <v>#VALUE!</v>
      </c>
      <c r="G549" s="1092" t="e">
        <f t="shared" si="17"/>
        <v>#VALUE!</v>
      </c>
      <c r="H549" s="1062"/>
    </row>
    <row r="550" spans="1:8" ht="12.75" hidden="1">
      <c r="A550" s="1083"/>
      <c r="B550" s="1080" t="s">
        <v>770</v>
      </c>
      <c r="C550" s="1060">
        <f>_xlfn.IFERROR(VLOOKUP(B550,'[1]ПО КОРИСНИЦИМА'!$C$3:$J$11609,5,FALSE),"")</f>
      </c>
      <c r="D550" s="1064" t="e">
        <f>SUMIF('[1]ПО КОРИСНИЦИМА'!$G$3:$G$11609,"Свега за пројекат 0602-П15:",'[1]ПО КОРИСНИЦИМА'!$H$3:$H$11609)</f>
        <v>#VALUE!</v>
      </c>
      <c r="E550" s="1058" t="e">
        <f t="shared" si="16"/>
        <v>#VALUE!</v>
      </c>
      <c r="F550" s="1065" t="e">
        <f>SUMIF('[1]ПО КОРИСНИЦИМА'!$G$3:$G$11609,"Свега за пројекат 0602-П15:",'[1]ПО КОРИСНИЦИМА'!$I$3:$I$11609)</f>
        <v>#VALUE!</v>
      </c>
      <c r="G550" s="1092" t="e">
        <f t="shared" si="17"/>
        <v>#VALUE!</v>
      </c>
      <c r="H550" s="1062"/>
    </row>
    <row r="551" spans="1:8" ht="12.75" hidden="1">
      <c r="A551" s="1083"/>
      <c r="B551" s="1080" t="s">
        <v>771</v>
      </c>
      <c r="C551" s="1060">
        <f>_xlfn.IFERROR(VLOOKUP(B551,'[1]ПО КОРИСНИЦИМА'!$C$3:$J$11609,5,FALSE),"")</f>
      </c>
      <c r="D551" s="1064" t="e">
        <f>SUMIF('[1]ПО КОРИСНИЦИМА'!$G$3:$G$11609,"Свега за пројекат 0602-П16:",'[1]ПО КОРИСНИЦИМА'!$H$3:$H$11609)</f>
        <v>#VALUE!</v>
      </c>
      <c r="E551" s="1058" t="e">
        <f t="shared" si="16"/>
        <v>#VALUE!</v>
      </c>
      <c r="F551" s="1065" t="e">
        <f>SUMIF('[1]ПО КОРИСНИЦИМА'!$G$3:$G$11609,"Свега за пројекат 0602-П16:",'[1]ПО КОРИСНИЦИМА'!$I$3:$I$11609)</f>
        <v>#VALUE!</v>
      </c>
      <c r="G551" s="1092" t="e">
        <f t="shared" si="17"/>
        <v>#VALUE!</v>
      </c>
      <c r="H551" s="1062"/>
    </row>
    <row r="552" spans="1:8" ht="12.75" hidden="1">
      <c r="A552" s="1083"/>
      <c r="B552" s="1080" t="s">
        <v>772</v>
      </c>
      <c r="C552" s="1060">
        <f>_xlfn.IFERROR(VLOOKUP(B552,'[1]ПО КОРИСНИЦИМА'!$C$3:$J$11609,5,FALSE),"")</f>
      </c>
      <c r="D552" s="1064" t="e">
        <f>SUMIF('[1]ПО КОРИСНИЦИМА'!$G$3:$G$11609,"Свега за пројекат 0602-П17:",'[1]ПО КОРИСНИЦИМА'!$H$3:$H$11609)</f>
        <v>#VALUE!</v>
      </c>
      <c r="E552" s="1058" t="e">
        <f t="shared" si="16"/>
        <v>#VALUE!</v>
      </c>
      <c r="F552" s="1065" t="e">
        <f>SUMIF('[1]ПО КОРИСНИЦИМА'!$G$3:$G$11609,"Свега за пројекат 0602-П17:",'[1]ПО КОРИСНИЦИМА'!$I$3:$I$11609)</f>
        <v>#VALUE!</v>
      </c>
      <c r="G552" s="1092" t="e">
        <f t="shared" si="17"/>
        <v>#VALUE!</v>
      </c>
      <c r="H552" s="1062"/>
    </row>
    <row r="553" spans="1:8" ht="12.75" hidden="1">
      <c r="A553" s="1083"/>
      <c r="B553" s="1080" t="s">
        <v>773</v>
      </c>
      <c r="C553" s="1060">
        <f>_xlfn.IFERROR(VLOOKUP(B553,'[1]ПО КОРИСНИЦИМА'!$C$3:$J$11609,5,FALSE),"")</f>
      </c>
      <c r="D553" s="1064" t="e">
        <f>SUMIF('[1]ПО КОРИСНИЦИМА'!$G$3:$G$11609,"Свега за пројекат 0602-П18:",'[1]ПО КОРИСНИЦИМА'!$H$3:$H$11609)</f>
        <v>#VALUE!</v>
      </c>
      <c r="E553" s="1058" t="e">
        <f t="shared" si="16"/>
        <v>#VALUE!</v>
      </c>
      <c r="F553" s="1065" t="e">
        <f>SUMIF('[1]ПО КОРИСНИЦИМА'!$G$3:$G$11609,"Свега за пројекат 0602-П18:",'[1]ПО КОРИСНИЦИМА'!$I$3:$I$11609)</f>
        <v>#VALUE!</v>
      </c>
      <c r="G553" s="1092" t="e">
        <f t="shared" si="17"/>
        <v>#VALUE!</v>
      </c>
      <c r="H553" s="1062"/>
    </row>
    <row r="554" spans="1:8" ht="12.75" hidden="1">
      <c r="A554" s="1083"/>
      <c r="B554" s="1080" t="s">
        <v>774</v>
      </c>
      <c r="C554" s="1060">
        <f>_xlfn.IFERROR(VLOOKUP(B554,'[1]ПО КОРИСНИЦИМА'!$C$3:$J$11609,5,FALSE),"")</f>
      </c>
      <c r="D554" s="1064" t="e">
        <f>SUMIF('[1]ПО КОРИСНИЦИМА'!$G$3:$G$11609,"Свега за пројекат 0602-П19:",'[1]ПО КОРИСНИЦИМА'!$H$3:$H$11609)</f>
        <v>#VALUE!</v>
      </c>
      <c r="E554" s="1058" t="e">
        <f t="shared" si="16"/>
        <v>#VALUE!</v>
      </c>
      <c r="F554" s="1065" t="e">
        <f>SUMIF('[1]ПО КОРИСНИЦИМА'!$G$3:$G$11609,"Свега за пројекат 0602-П19:",'[1]ПО КОРИСНИЦИМА'!$I$3:$I$11609)</f>
        <v>#VALUE!</v>
      </c>
      <c r="G554" s="1092" t="e">
        <f t="shared" si="17"/>
        <v>#VALUE!</v>
      </c>
      <c r="H554" s="1062"/>
    </row>
    <row r="555" spans="1:8" ht="12.75" hidden="1">
      <c r="A555" s="1083"/>
      <c r="B555" s="1080" t="s">
        <v>775</v>
      </c>
      <c r="C555" s="1060">
        <f>_xlfn.IFERROR(VLOOKUP(B555,'[1]ПО КОРИСНИЦИМА'!$C$3:$J$11609,5,FALSE),"")</f>
      </c>
      <c r="D555" s="1064" t="e">
        <f>SUMIF('[1]ПО КОРИСНИЦИМА'!$G$3:$G$11609,"Свега за пројекат 0602-П20:",'[1]ПО КОРИСНИЦИМА'!$H$3:$H$11609)</f>
        <v>#VALUE!</v>
      </c>
      <c r="E555" s="1058" t="e">
        <f t="shared" si="16"/>
        <v>#VALUE!</v>
      </c>
      <c r="F555" s="1065" t="e">
        <f>SUMIF('[1]ПО КОРИСНИЦИМА'!$G$3:$G$11609,"Свега за пројекат 0602-П20:",'[1]ПО КОРИСНИЦИМА'!$I$3:$I$11609)</f>
        <v>#VALUE!</v>
      </c>
      <c r="G555" s="1092" t="e">
        <f t="shared" si="17"/>
        <v>#VALUE!</v>
      </c>
      <c r="H555" s="1062"/>
    </row>
    <row r="556" spans="1:8" ht="12.75" hidden="1">
      <c r="A556" s="1083"/>
      <c r="B556" s="1080" t="s">
        <v>776</v>
      </c>
      <c r="C556" s="1060">
        <f>_xlfn.IFERROR(VLOOKUP(B556,'[1]ПО КОРИСНИЦИМА'!$C$3:$J$11609,5,FALSE),"")</f>
      </c>
      <c r="D556" s="1064" t="e">
        <f>SUMIF('[1]ПО КОРИСНИЦИМА'!$G$3:$G$11609,"Свега за пројекат 0602-П21:",'[1]ПО КОРИСНИЦИМА'!$H$3:$H$11609)</f>
        <v>#VALUE!</v>
      </c>
      <c r="E556" s="1058" t="e">
        <f t="shared" si="16"/>
        <v>#VALUE!</v>
      </c>
      <c r="F556" s="1065" t="e">
        <f>SUMIF('[1]ПО КОРИСНИЦИМА'!$G$3:$G$11609,"Свега за пројекат 0602-П21:",'[1]ПО КОРИСНИЦИМА'!$I$3:$I$11609)</f>
        <v>#VALUE!</v>
      </c>
      <c r="G556" s="1092" t="e">
        <f t="shared" si="17"/>
        <v>#VALUE!</v>
      </c>
      <c r="H556" s="1062"/>
    </row>
    <row r="557" spans="1:8" ht="12.75" hidden="1">
      <c r="A557" s="1083"/>
      <c r="B557" s="1080" t="s">
        <v>777</v>
      </c>
      <c r="C557" s="1060">
        <f>_xlfn.IFERROR(VLOOKUP(B557,'[1]ПО КОРИСНИЦИМА'!$C$3:$J$11609,5,FALSE),"")</f>
      </c>
      <c r="D557" s="1064" t="e">
        <f>SUMIF('[1]ПО КОРИСНИЦИМА'!$G$3:$G$11609,"Свега за пројекат 0602-П22:",'[1]ПО КОРИСНИЦИМА'!$H$3:$H$11609)</f>
        <v>#VALUE!</v>
      </c>
      <c r="E557" s="1058" t="e">
        <f t="shared" si="16"/>
        <v>#VALUE!</v>
      </c>
      <c r="F557" s="1065" t="e">
        <f>SUMIF('[1]ПО КОРИСНИЦИМА'!$G$3:$G$11609,"Свега за пројекат 0602-П22:",'[1]ПО КОРИСНИЦИМА'!$I$3:$I$11609)</f>
        <v>#VALUE!</v>
      </c>
      <c r="G557" s="1092" t="e">
        <f t="shared" si="17"/>
        <v>#VALUE!</v>
      </c>
      <c r="H557" s="1062"/>
    </row>
    <row r="558" spans="1:8" ht="12.75" hidden="1">
      <c r="A558" s="1083"/>
      <c r="B558" s="1080" t="s">
        <v>778</v>
      </c>
      <c r="C558" s="1060">
        <f>_xlfn.IFERROR(VLOOKUP(B558,'[1]ПО КОРИСНИЦИМА'!$C$3:$J$11609,5,FALSE),"")</f>
      </c>
      <c r="D558" s="1064" t="e">
        <f>SUMIF('[1]ПО КОРИСНИЦИМА'!$G$3:$G$11609,"Свега за пројекат 0602-П23:",'[1]ПО КОРИСНИЦИМА'!$H$3:$H$11609)</f>
        <v>#VALUE!</v>
      </c>
      <c r="E558" s="1058" t="e">
        <f t="shared" si="16"/>
        <v>#VALUE!</v>
      </c>
      <c r="F558" s="1065" t="e">
        <f>SUMIF('[1]ПО КОРИСНИЦИМА'!$G$3:$G$11609,"Свега за пројекат 0602-П23:",'[1]ПО КОРИСНИЦИМА'!$I$3:$I$11609)</f>
        <v>#VALUE!</v>
      </c>
      <c r="G558" s="1092" t="e">
        <f t="shared" si="17"/>
        <v>#VALUE!</v>
      </c>
      <c r="H558" s="1062"/>
    </row>
    <row r="559" spans="1:8" ht="12.75" hidden="1">
      <c r="A559" s="1083"/>
      <c r="B559" s="1080" t="s">
        <v>779</v>
      </c>
      <c r="C559" s="1060">
        <f>_xlfn.IFERROR(VLOOKUP(B559,'[1]ПО КОРИСНИЦИМА'!$C$3:$J$11609,5,FALSE),"")</f>
      </c>
      <c r="D559" s="1064" t="e">
        <f>SUMIF('[1]ПО КОРИСНИЦИМА'!$G$3:$G$11609,"Свега за пројекат 0602-П24:",'[1]ПО КОРИСНИЦИМА'!$H$3:$H$11609)</f>
        <v>#VALUE!</v>
      </c>
      <c r="E559" s="1058" t="e">
        <f t="shared" si="16"/>
        <v>#VALUE!</v>
      </c>
      <c r="F559" s="1065" t="e">
        <f>SUMIF('[1]ПО КОРИСНИЦИМА'!$G$3:$G$11609,"Свега за пројекат 0602-П24:",'[1]ПО КОРИСНИЦИМА'!$I$3:$I$11609)</f>
        <v>#VALUE!</v>
      </c>
      <c r="G559" s="1092" t="e">
        <f t="shared" si="17"/>
        <v>#VALUE!</v>
      </c>
      <c r="H559" s="1062"/>
    </row>
    <row r="560" spans="1:8" ht="12.75" hidden="1">
      <c r="A560" s="1083"/>
      <c r="B560" s="1080" t="s">
        <v>780</v>
      </c>
      <c r="C560" s="1060">
        <f>_xlfn.IFERROR(VLOOKUP(B560,'[1]ПО КОРИСНИЦИМА'!$C$3:$J$11609,5,FALSE),"")</f>
      </c>
      <c r="D560" s="1064" t="e">
        <f>SUMIF('[1]ПО КОРИСНИЦИМА'!$G$3:$G$11609,"Свега за пројекат 0602-П25:",'[1]ПО КОРИСНИЦИМА'!$H$3:$H$11609)</f>
        <v>#VALUE!</v>
      </c>
      <c r="E560" s="1058" t="e">
        <f t="shared" si="16"/>
        <v>#VALUE!</v>
      </c>
      <c r="F560" s="1065" t="e">
        <f>SUMIF('[1]ПО КОРИСНИЦИМА'!$G$3:$G$11609,"Свега за пројекат 0602-П25:",'[1]ПО КОРИСНИЦИМА'!$I$3:$I$11609)</f>
        <v>#VALUE!</v>
      </c>
      <c r="G560" s="1092" t="e">
        <f t="shared" si="17"/>
        <v>#VALUE!</v>
      </c>
      <c r="H560" s="1062"/>
    </row>
    <row r="561" spans="1:8" ht="12.75" hidden="1">
      <c r="A561" s="1083"/>
      <c r="B561" s="1080" t="s">
        <v>781</v>
      </c>
      <c r="C561" s="1060">
        <f>_xlfn.IFERROR(VLOOKUP(B561,'[1]ПО КОРИСНИЦИМА'!$C$3:$J$11609,5,FALSE),"")</f>
      </c>
      <c r="D561" s="1064" t="e">
        <f>SUMIF('[1]ПО КОРИСНИЦИМА'!$G$3:$G$11609,"Свега за пројекат 0602-П26:",'[1]ПО КОРИСНИЦИМА'!$H$3:$H$11609)</f>
        <v>#VALUE!</v>
      </c>
      <c r="E561" s="1058" t="e">
        <f t="shared" si="16"/>
        <v>#VALUE!</v>
      </c>
      <c r="F561" s="1065" t="e">
        <f>SUMIF('[1]ПО КОРИСНИЦИМА'!$G$3:$G$11609,"Свега за пројекат 0602-П26:",'[1]ПО КОРИСНИЦИМА'!$I$3:$I$11609)</f>
        <v>#VALUE!</v>
      </c>
      <c r="G561" s="1092" t="e">
        <f t="shared" si="17"/>
        <v>#VALUE!</v>
      </c>
      <c r="H561" s="1062"/>
    </row>
    <row r="562" spans="1:8" ht="12.75" hidden="1">
      <c r="A562" s="1083"/>
      <c r="B562" s="1080" t="s">
        <v>782</v>
      </c>
      <c r="C562" s="1060">
        <f>_xlfn.IFERROR(VLOOKUP(B562,'[1]ПО КОРИСНИЦИМА'!$C$3:$J$11609,5,FALSE),"")</f>
      </c>
      <c r="D562" s="1064" t="e">
        <f>SUMIF('[1]ПО КОРИСНИЦИМА'!$G$3:$G$11609,"Свега за пројекат 0602-П27:",'[1]ПО КОРИСНИЦИМА'!$H$3:$H$11609)</f>
        <v>#VALUE!</v>
      </c>
      <c r="E562" s="1058" t="e">
        <f t="shared" si="16"/>
        <v>#VALUE!</v>
      </c>
      <c r="F562" s="1065" t="e">
        <f>SUMIF('[1]ПО КОРИСНИЦИМА'!$G$3:$G$11609,"Свега за пројекат 0602-П27:",'[1]ПО КОРИСНИЦИМА'!$I$3:$I$11609)</f>
        <v>#VALUE!</v>
      </c>
      <c r="G562" s="1092" t="e">
        <f t="shared" si="17"/>
        <v>#VALUE!</v>
      </c>
      <c r="H562" s="1062"/>
    </row>
    <row r="563" spans="1:8" ht="12.75" hidden="1">
      <c r="A563" s="1083"/>
      <c r="B563" s="1080" t="s">
        <v>783</v>
      </c>
      <c r="C563" s="1060">
        <f>_xlfn.IFERROR(VLOOKUP(B563,'[1]ПО КОРИСНИЦИМА'!$C$3:$J$11609,5,FALSE),"")</f>
      </c>
      <c r="D563" s="1064" t="e">
        <f>SUMIF('[1]ПО КОРИСНИЦИМА'!$G$3:$G$11609,"Свега за пројекат 0602-П28:",'[1]ПО КОРИСНИЦИМА'!$H$3:$H$11609)</f>
        <v>#VALUE!</v>
      </c>
      <c r="E563" s="1058" t="e">
        <f t="shared" si="16"/>
        <v>#VALUE!</v>
      </c>
      <c r="F563" s="1065" t="e">
        <f>SUMIF('[1]ПО КОРИСНИЦИМА'!$G$3:$G$11609,"Свега за пројекат 0602-П28:",'[1]ПО КОРИСНИЦИМА'!$I$3:$I$11609)</f>
        <v>#VALUE!</v>
      </c>
      <c r="G563" s="1092" t="e">
        <f t="shared" si="17"/>
        <v>#VALUE!</v>
      </c>
      <c r="H563" s="1062"/>
    </row>
    <row r="564" spans="1:8" ht="12.75" hidden="1">
      <c r="A564" s="1083"/>
      <c r="B564" s="1080" t="s">
        <v>784</v>
      </c>
      <c r="C564" s="1060">
        <f>_xlfn.IFERROR(VLOOKUP(B564,'[1]ПО КОРИСНИЦИМА'!$C$3:$J$11609,5,FALSE),"")</f>
      </c>
      <c r="D564" s="1064" t="e">
        <f>SUMIF('[1]ПО КОРИСНИЦИМА'!$G$3:$G$11609,"Свега за пројекат 0602-П29:",'[1]ПО КОРИСНИЦИМА'!$H$3:$H$11609)</f>
        <v>#VALUE!</v>
      </c>
      <c r="E564" s="1058" t="e">
        <f t="shared" si="16"/>
        <v>#VALUE!</v>
      </c>
      <c r="F564" s="1065" t="e">
        <f>SUMIF('[1]ПО КОРИСНИЦИМА'!$G$3:$G$11609,"Свега за пројекат 0602-П29:",'[1]ПО КОРИСНИЦИМА'!$I$3:$I$11609)</f>
        <v>#VALUE!</v>
      </c>
      <c r="G564" s="1092" t="e">
        <f t="shared" si="17"/>
        <v>#VALUE!</v>
      </c>
      <c r="H564" s="1062"/>
    </row>
    <row r="565" spans="1:8" ht="12.75" hidden="1">
      <c r="A565" s="1083"/>
      <c r="B565" s="1080" t="s">
        <v>785</v>
      </c>
      <c r="C565" s="1060">
        <f>_xlfn.IFERROR(VLOOKUP(B565,'[1]ПО КОРИСНИЦИМА'!$C$3:$J$11609,5,FALSE),"")</f>
      </c>
      <c r="D565" s="1064" t="e">
        <f>SUMIF('[1]ПО КОРИСНИЦИМА'!$G$3:$G$11609,"Свега за пројекат 0602-П30:",'[1]ПО КОРИСНИЦИМА'!$H$3:$H$11609)</f>
        <v>#VALUE!</v>
      </c>
      <c r="E565" s="1058" t="e">
        <f t="shared" si="16"/>
        <v>#VALUE!</v>
      </c>
      <c r="F565" s="1065" t="e">
        <f>SUMIF('[1]ПО КОРИСНИЦИМА'!$G$3:$G$11609,"Свега за пројекат 0602-П30:",'[1]ПО КОРИСНИЦИМА'!$I$3:$I$11609)</f>
        <v>#VALUE!</v>
      </c>
      <c r="G565" s="1092" t="e">
        <f t="shared" si="17"/>
        <v>#VALUE!</v>
      </c>
      <c r="H565" s="1062"/>
    </row>
    <row r="566" spans="1:8" ht="12.75" hidden="1">
      <c r="A566" s="1083"/>
      <c r="B566" s="1080" t="s">
        <v>786</v>
      </c>
      <c r="C566" s="1060">
        <f>_xlfn.IFERROR(VLOOKUP(B566,'[1]ПО КОРИСНИЦИМА'!$C$3:$J$11609,5,FALSE),"")</f>
      </c>
      <c r="D566" s="1064" t="e">
        <f>SUMIF('[1]ПО КОРИСНИЦИМА'!$G$3:$G$11609,"Свега за пројекат 0602-П31:",'[1]ПО КОРИСНИЦИМА'!$H$3:$H$11609)</f>
        <v>#VALUE!</v>
      </c>
      <c r="E566" s="1058" t="e">
        <f t="shared" si="16"/>
        <v>#VALUE!</v>
      </c>
      <c r="F566" s="1065" t="e">
        <f>SUMIF('[1]ПО КОРИСНИЦИМА'!$G$3:$G$11609,"Свега за пројекат 0602-П31:",'[1]ПО КОРИСНИЦИМА'!$I$3:$I$11609)</f>
        <v>#VALUE!</v>
      </c>
      <c r="G566" s="1092" t="e">
        <f t="shared" si="17"/>
        <v>#VALUE!</v>
      </c>
      <c r="H566" s="1062"/>
    </row>
    <row r="567" spans="1:8" ht="12.75" hidden="1">
      <c r="A567" s="1083"/>
      <c r="B567" s="1080" t="s">
        <v>787</v>
      </c>
      <c r="C567" s="1060">
        <f>_xlfn.IFERROR(VLOOKUP(B567,'[1]ПО КОРИСНИЦИМА'!$C$3:$J$11609,5,FALSE),"")</f>
      </c>
      <c r="D567" s="1064" t="e">
        <f>SUMIF('[1]ПО КОРИСНИЦИМА'!$G$3:$G$11609,"Свега за пројекат 0602-П32:",'[1]ПО КОРИСНИЦИМА'!$H$3:$H$11609)</f>
        <v>#VALUE!</v>
      </c>
      <c r="E567" s="1058" t="e">
        <f t="shared" si="16"/>
        <v>#VALUE!</v>
      </c>
      <c r="F567" s="1065" t="e">
        <f>SUMIF('[1]ПО КОРИСНИЦИМА'!$G$3:$G$11609,"Свега за пројекат 0602-П32:",'[1]ПО КОРИСНИЦИМА'!$I$3:$I$11609)</f>
        <v>#VALUE!</v>
      </c>
      <c r="G567" s="1092" t="e">
        <f t="shared" si="17"/>
        <v>#VALUE!</v>
      </c>
      <c r="H567" s="1062"/>
    </row>
    <row r="568" spans="1:8" ht="12.75" hidden="1">
      <c r="A568" s="1083"/>
      <c r="B568" s="1080" t="s">
        <v>788</v>
      </c>
      <c r="C568" s="1060">
        <f>_xlfn.IFERROR(VLOOKUP(B568,'[1]ПО КОРИСНИЦИМА'!$C$3:$J$11609,5,FALSE),"")</f>
      </c>
      <c r="D568" s="1064" t="e">
        <f>SUMIF('[1]ПО КОРИСНИЦИМА'!$G$3:$G$11609,"Свега за пројекат 0602-П33:",'[1]ПО КОРИСНИЦИМА'!$H$3:$H$11609)</f>
        <v>#VALUE!</v>
      </c>
      <c r="E568" s="1058" t="e">
        <f t="shared" si="16"/>
        <v>#VALUE!</v>
      </c>
      <c r="F568" s="1065" t="e">
        <f>SUMIF('[1]ПО КОРИСНИЦИМА'!$G$3:$G$11609,"Свега за пројекат 0602-П33:",'[1]ПО КОРИСНИЦИМА'!$I$3:$I$11609)</f>
        <v>#VALUE!</v>
      </c>
      <c r="G568" s="1092" t="e">
        <f t="shared" si="17"/>
        <v>#VALUE!</v>
      </c>
      <c r="H568" s="1062"/>
    </row>
    <row r="569" spans="1:8" ht="12.75" hidden="1">
      <c r="A569" s="1083"/>
      <c r="B569" s="1080" t="s">
        <v>789</v>
      </c>
      <c r="C569" s="1060">
        <f>_xlfn.IFERROR(VLOOKUP(B569,'[1]ПО КОРИСНИЦИМА'!$C$3:$J$11609,5,FALSE),"")</f>
      </c>
      <c r="D569" s="1064" t="e">
        <f>SUMIF('[1]ПО КОРИСНИЦИМА'!$G$3:$G$11609,"Свега за пројекат 0602-П34:",'[1]ПО КОРИСНИЦИМА'!$H$3:$H$11609)</f>
        <v>#VALUE!</v>
      </c>
      <c r="E569" s="1058" t="e">
        <f t="shared" si="16"/>
        <v>#VALUE!</v>
      </c>
      <c r="F569" s="1065" t="e">
        <f>SUMIF('[1]ПО КОРИСНИЦИМА'!$G$3:$G$11609,"Свега за пројекат 0602-П34:",'[1]ПО КОРИСНИЦИМА'!$I$3:$I$11609)</f>
        <v>#VALUE!</v>
      </c>
      <c r="G569" s="1092" t="e">
        <f t="shared" si="17"/>
        <v>#VALUE!</v>
      </c>
      <c r="H569" s="1062"/>
    </row>
    <row r="570" spans="1:8" ht="12.75" hidden="1">
      <c r="A570" s="1083"/>
      <c r="B570" s="1080" t="s">
        <v>790</v>
      </c>
      <c r="C570" s="1060">
        <f>_xlfn.IFERROR(VLOOKUP(B570,'[1]ПО КОРИСНИЦИМА'!$C$3:$J$11609,5,FALSE),"")</f>
      </c>
      <c r="D570" s="1064" t="e">
        <f>SUMIF('[1]ПО КОРИСНИЦИМА'!$G$3:$G$11609,"Свега за пројекат 0602-П35:",'[1]ПО КОРИСНИЦИМА'!$H$3:$H$11609)</f>
        <v>#VALUE!</v>
      </c>
      <c r="E570" s="1058" t="e">
        <f t="shared" si="16"/>
        <v>#VALUE!</v>
      </c>
      <c r="F570" s="1065" t="e">
        <f>SUMIF('[1]ПО КОРИСНИЦИМА'!$G$3:$G$11609,"Свега за пројекат 0602-П35:",'[1]ПО КОРИСНИЦИМА'!$I$3:$I$11609)</f>
        <v>#VALUE!</v>
      </c>
      <c r="G570" s="1092" t="e">
        <f t="shared" si="17"/>
        <v>#VALUE!</v>
      </c>
      <c r="H570" s="1062"/>
    </row>
    <row r="571" spans="1:8" ht="12.75" hidden="1">
      <c r="A571" s="1083"/>
      <c r="B571" s="1080" t="s">
        <v>791</v>
      </c>
      <c r="C571" s="1060">
        <f>_xlfn.IFERROR(VLOOKUP(B571,'[1]ПО КОРИСНИЦИМА'!$C$3:$J$11609,5,FALSE),"")</f>
      </c>
      <c r="D571" s="1064" t="e">
        <f>SUMIF('[1]ПО КОРИСНИЦИМА'!$G$3:$G$11609,"Свега за пројекат 0602-П36:",'[1]ПО КОРИСНИЦИМА'!$H$3:$H$11609)</f>
        <v>#VALUE!</v>
      </c>
      <c r="E571" s="1058" t="e">
        <f t="shared" si="16"/>
        <v>#VALUE!</v>
      </c>
      <c r="F571" s="1065" t="e">
        <f>SUMIF('[1]ПО КОРИСНИЦИМА'!$G$3:$G$11609,"Свега за пројекат 0602-П36:",'[1]ПО КОРИСНИЦИМА'!$I$3:$I$11609)</f>
        <v>#VALUE!</v>
      </c>
      <c r="G571" s="1092" t="e">
        <f t="shared" si="17"/>
        <v>#VALUE!</v>
      </c>
      <c r="H571" s="1062"/>
    </row>
    <row r="572" spans="1:8" ht="12.75" hidden="1">
      <c r="A572" s="1083"/>
      <c r="B572" s="1080" t="s">
        <v>792</v>
      </c>
      <c r="C572" s="1060">
        <f>_xlfn.IFERROR(VLOOKUP(B572,'[1]ПО КОРИСНИЦИМА'!$C$3:$J$11609,5,FALSE),"")</f>
      </c>
      <c r="D572" s="1064" t="e">
        <f>SUMIF('[1]ПО КОРИСНИЦИМА'!$G$3:$G$11609,"Свега за пројекат 0602-П37:",'[1]ПО КОРИСНИЦИМА'!$H$3:$H$11609)</f>
        <v>#VALUE!</v>
      </c>
      <c r="E572" s="1058" t="e">
        <f t="shared" si="16"/>
        <v>#VALUE!</v>
      </c>
      <c r="F572" s="1065" t="e">
        <f>SUMIF('[1]ПО КОРИСНИЦИМА'!$G$3:$G$11609,"Свега за пројекат 0602-П37:",'[1]ПО КОРИСНИЦИМА'!$I$3:$I$11609)</f>
        <v>#VALUE!</v>
      </c>
      <c r="G572" s="1092" t="e">
        <f t="shared" si="17"/>
        <v>#VALUE!</v>
      </c>
      <c r="H572" s="1062"/>
    </row>
    <row r="573" spans="1:8" ht="12.75" hidden="1">
      <c r="A573" s="1083"/>
      <c r="B573" s="1080" t="s">
        <v>793</v>
      </c>
      <c r="C573" s="1060">
        <f>_xlfn.IFERROR(VLOOKUP(B573,'[1]ПО КОРИСНИЦИМА'!$C$3:$J$11609,5,FALSE),"")</f>
      </c>
      <c r="D573" s="1064" t="e">
        <f>SUMIF('[1]ПО КОРИСНИЦИМА'!$G$3:$G$11609,"Свега за пројекат 0602-П38:",'[1]ПО КОРИСНИЦИМА'!$H$3:$H$11609)</f>
        <v>#VALUE!</v>
      </c>
      <c r="E573" s="1058" t="e">
        <f t="shared" si="16"/>
        <v>#VALUE!</v>
      </c>
      <c r="F573" s="1065" t="e">
        <f>SUMIF('[1]ПО КОРИСНИЦИМА'!$G$3:$G$11609,"Свега за пројекат 0602-П38:",'[1]ПО КОРИСНИЦИМА'!$I$3:$I$11609)</f>
        <v>#VALUE!</v>
      </c>
      <c r="G573" s="1092" t="e">
        <f t="shared" si="17"/>
        <v>#VALUE!</v>
      </c>
      <c r="H573" s="1062"/>
    </row>
    <row r="574" spans="1:8" ht="12.75" hidden="1">
      <c r="A574" s="1083"/>
      <c r="B574" s="1080" t="s">
        <v>794</v>
      </c>
      <c r="C574" s="1060">
        <f>_xlfn.IFERROR(VLOOKUP(B574,'[1]ПО КОРИСНИЦИМА'!$C$3:$J$11609,5,FALSE),"")</f>
      </c>
      <c r="D574" s="1064" t="e">
        <f>SUMIF('[1]ПО КОРИСНИЦИМА'!$G$3:$G$11609,"Свега за пројекат 0602-П39:",'[1]ПО КОРИСНИЦИМА'!$H$3:$H$11609)</f>
        <v>#VALUE!</v>
      </c>
      <c r="E574" s="1058" t="e">
        <f t="shared" si="16"/>
        <v>#VALUE!</v>
      </c>
      <c r="F574" s="1065" t="e">
        <f>SUMIF('[1]ПО КОРИСНИЦИМА'!$G$3:$G$11609,"Свега за пројекат 0602-П39:",'[1]ПО КОРИСНИЦИМА'!$I$3:$I$11609)</f>
        <v>#VALUE!</v>
      </c>
      <c r="G574" s="1092" t="e">
        <f t="shared" si="17"/>
        <v>#VALUE!</v>
      </c>
      <c r="H574" s="1062"/>
    </row>
    <row r="575" spans="1:8" ht="12.75" hidden="1">
      <c r="A575" s="1083"/>
      <c r="B575" s="1080" t="s">
        <v>795</v>
      </c>
      <c r="C575" s="1060">
        <f>_xlfn.IFERROR(VLOOKUP(B575,'[1]ПО КОРИСНИЦИМА'!$C$3:$J$11609,5,FALSE),"")</f>
      </c>
      <c r="D575" s="1064" t="e">
        <f>SUMIF('[1]ПО КОРИСНИЦИМА'!$G$3:$G$11609,"Свега за пројекат 0602-П40:",'[1]ПО КОРИСНИЦИМА'!$H$3:$H$11609)</f>
        <v>#VALUE!</v>
      </c>
      <c r="E575" s="1058" t="e">
        <f t="shared" si="16"/>
        <v>#VALUE!</v>
      </c>
      <c r="F575" s="1065" t="e">
        <f>SUMIF('[1]ПО КОРИСНИЦИМА'!$G$3:$G$11609,"Свега за пројекат 0602-П40:",'[1]ПО КОРИСНИЦИМА'!$I$3:$I$11609)</f>
        <v>#VALUE!</v>
      </c>
      <c r="G575" s="1092" t="e">
        <f t="shared" si="17"/>
        <v>#VALUE!</v>
      </c>
      <c r="H575" s="1062"/>
    </row>
    <row r="576" spans="1:8" ht="12.75" hidden="1">
      <c r="A576" s="1083"/>
      <c r="B576" s="1080" t="s">
        <v>796</v>
      </c>
      <c r="C576" s="1060">
        <f>_xlfn.IFERROR(VLOOKUP(B576,'[1]ПО КОРИСНИЦИМА'!$C$3:$J$11609,5,FALSE),"")</f>
      </c>
      <c r="D576" s="1064" t="e">
        <f>SUMIF('[1]ПО КОРИСНИЦИМА'!$G$3:$G$11609,"Свега за пројекат 0602-П41:",'[1]ПО КОРИСНИЦИМА'!$H$3:$H$11609)</f>
        <v>#VALUE!</v>
      </c>
      <c r="E576" s="1058" t="e">
        <f t="shared" si="16"/>
        <v>#VALUE!</v>
      </c>
      <c r="F576" s="1065" t="e">
        <f>SUMIF('[1]ПО КОРИСНИЦИМА'!$G$3:$G$11609,"Свега за пројекат 0602-П41:",'[1]ПО КОРИСНИЦИМА'!$I$3:$I$11609)</f>
        <v>#VALUE!</v>
      </c>
      <c r="G576" s="1092" t="e">
        <f t="shared" si="17"/>
        <v>#VALUE!</v>
      </c>
      <c r="H576" s="1062"/>
    </row>
    <row r="577" spans="1:8" ht="12.75" hidden="1">
      <c r="A577" s="1083"/>
      <c r="B577" s="1080" t="s">
        <v>797</v>
      </c>
      <c r="C577" s="1060">
        <f>_xlfn.IFERROR(VLOOKUP(B577,'[1]ПО КОРИСНИЦИМА'!$C$3:$J$11609,5,FALSE),"")</f>
      </c>
      <c r="D577" s="1064" t="e">
        <f>SUMIF('[1]ПО КОРИСНИЦИМА'!$G$3:$G$11609,"Свега за пројекат 0602-П42:",'[1]ПО КОРИСНИЦИМА'!$H$3:$H$11609)</f>
        <v>#VALUE!</v>
      </c>
      <c r="E577" s="1058" t="e">
        <f t="shared" si="16"/>
        <v>#VALUE!</v>
      </c>
      <c r="F577" s="1065" t="e">
        <f>SUMIF('[1]ПО КОРИСНИЦИМА'!$G$3:$G$11609,"Свега за пројекат 0602-П42:",'[1]ПО КОРИСНИЦИМА'!$I$3:$I$11609)</f>
        <v>#VALUE!</v>
      </c>
      <c r="G577" s="1092" t="e">
        <f t="shared" si="17"/>
        <v>#VALUE!</v>
      </c>
      <c r="H577" s="1062"/>
    </row>
    <row r="578" spans="1:8" ht="12.75" hidden="1">
      <c r="A578" s="1083"/>
      <c r="B578" s="1080" t="s">
        <v>798</v>
      </c>
      <c r="C578" s="1060">
        <f>_xlfn.IFERROR(VLOOKUP(B578,'[1]ПО КОРИСНИЦИМА'!$C$3:$J$11609,5,FALSE),"")</f>
      </c>
      <c r="D578" s="1064" t="e">
        <f>SUMIF('[1]ПО КОРИСНИЦИМА'!$G$3:$G$11609,"Свега за пројекат 0602-П43:",'[1]ПО КОРИСНИЦИМА'!$H$3:$H$11609)</f>
        <v>#VALUE!</v>
      </c>
      <c r="E578" s="1058" t="e">
        <f t="shared" si="16"/>
        <v>#VALUE!</v>
      </c>
      <c r="F578" s="1065" t="e">
        <f>SUMIF('[1]ПО КОРИСНИЦИМА'!$G$3:$G$11609,"Свега за пројекат 0602-П43:",'[1]ПО КОРИСНИЦИМА'!$I$3:$I$11609)</f>
        <v>#VALUE!</v>
      </c>
      <c r="G578" s="1092" t="e">
        <f t="shared" si="17"/>
        <v>#VALUE!</v>
      </c>
      <c r="H578" s="1062"/>
    </row>
    <row r="579" spans="1:8" ht="12.75" hidden="1">
      <c r="A579" s="1083"/>
      <c r="B579" s="1080" t="s">
        <v>799</v>
      </c>
      <c r="C579" s="1060">
        <f>_xlfn.IFERROR(VLOOKUP(B579,'[1]ПО КОРИСНИЦИМА'!$C$3:$J$11609,5,FALSE),"")</f>
      </c>
      <c r="D579" s="1064" t="e">
        <f>SUMIF('[1]ПО КОРИСНИЦИМА'!$G$3:$G$11609,"Свега за пројекат 0602-П44:",'[1]ПО КОРИСНИЦИМА'!$H$3:$H$11609)</f>
        <v>#VALUE!</v>
      </c>
      <c r="E579" s="1058" t="e">
        <f t="shared" si="16"/>
        <v>#VALUE!</v>
      </c>
      <c r="F579" s="1065" t="e">
        <f>SUMIF('[1]ПО КОРИСНИЦИМА'!$G$3:$G$11609,"Свега за пројекат 0602-П44:",'[1]ПО КОРИСНИЦИМА'!$I$3:$I$11609)</f>
        <v>#VALUE!</v>
      </c>
      <c r="G579" s="1092" t="e">
        <f t="shared" si="17"/>
        <v>#VALUE!</v>
      </c>
      <c r="H579" s="1062"/>
    </row>
    <row r="580" spans="1:8" ht="12.75" hidden="1">
      <c r="A580" s="1083"/>
      <c r="B580" s="1080" t="s">
        <v>800</v>
      </c>
      <c r="C580" s="1060">
        <f>_xlfn.IFERROR(VLOOKUP(B580,'[1]ПО КОРИСНИЦИМА'!$C$3:$J$11609,5,FALSE),"")</f>
      </c>
      <c r="D580" s="1064" t="e">
        <f>SUMIF('[1]ПО КОРИСНИЦИМА'!$G$3:$G$11609,"Свега за пројекат 0602-П45:",'[1]ПО КОРИСНИЦИМА'!$H$3:$H$11609)</f>
        <v>#VALUE!</v>
      </c>
      <c r="E580" s="1058" t="e">
        <f t="shared" si="16"/>
        <v>#VALUE!</v>
      </c>
      <c r="F580" s="1065" t="e">
        <f>SUMIF('[1]ПО КОРИСНИЦИМА'!$G$3:$G$11609,"Свега за пројекат 0602-П45:",'[1]ПО КОРИСНИЦИМА'!$I$3:$I$11609)</f>
        <v>#VALUE!</v>
      </c>
      <c r="G580" s="1092" t="e">
        <f t="shared" si="17"/>
        <v>#VALUE!</v>
      </c>
      <c r="H580" s="1062"/>
    </row>
    <row r="581" spans="1:8" ht="12.75" hidden="1">
      <c r="A581" s="1083"/>
      <c r="B581" s="1080" t="s">
        <v>801</v>
      </c>
      <c r="C581" s="1060">
        <f>_xlfn.IFERROR(VLOOKUP(B581,'[1]ПО КОРИСНИЦИМА'!$C$3:$J$11609,5,FALSE),"")</f>
      </c>
      <c r="D581" s="1064" t="e">
        <f>SUMIF('[1]ПО КОРИСНИЦИМА'!$G$3:$G$11609,"Свега за пројекат 0602-П46:",'[1]ПО КОРИСНИЦИМА'!$H$3:$H$11609)</f>
        <v>#VALUE!</v>
      </c>
      <c r="E581" s="1058" t="e">
        <f t="shared" si="16"/>
        <v>#VALUE!</v>
      </c>
      <c r="F581" s="1065" t="e">
        <f>SUMIF('[1]ПО КОРИСНИЦИМА'!$G$3:$G$11609,"Свега за пројекат 0602-П46:",'[1]ПО КОРИСНИЦИМА'!$I$3:$I$11609)</f>
        <v>#VALUE!</v>
      </c>
      <c r="G581" s="1092" t="e">
        <f aca="true" t="shared" si="18" ref="G581:G612">D581+F581</f>
        <v>#VALUE!</v>
      </c>
      <c r="H581" s="1062"/>
    </row>
    <row r="582" spans="1:8" ht="12.75" hidden="1">
      <c r="A582" s="1083"/>
      <c r="B582" s="1080" t="s">
        <v>802</v>
      </c>
      <c r="C582" s="1060">
        <f>_xlfn.IFERROR(VLOOKUP(B582,'[1]ПО КОРИСНИЦИМА'!$C$3:$J$11609,5,FALSE),"")</f>
      </c>
      <c r="D582" s="1064" t="e">
        <f>SUMIF('[1]ПО КОРИСНИЦИМА'!$G$3:$G$11609,"Свега за пројекат 0602-П47:",'[1]ПО КОРИСНИЦИМА'!$H$3:$H$11609)</f>
        <v>#VALUE!</v>
      </c>
      <c r="E582" s="1058" t="e">
        <f aca="true" t="shared" si="19" ref="E582:E612">D582/444656763</f>
        <v>#VALUE!</v>
      </c>
      <c r="F582" s="1065" t="e">
        <f>SUMIF('[1]ПО КОРИСНИЦИМА'!$G$3:$G$11609,"Свега за пројекат 0602-П47:",'[1]ПО КОРИСНИЦИМА'!$I$3:$I$11609)</f>
        <v>#VALUE!</v>
      </c>
      <c r="G582" s="1092" t="e">
        <f t="shared" si="18"/>
        <v>#VALUE!</v>
      </c>
      <c r="H582" s="1062"/>
    </row>
    <row r="583" spans="1:8" ht="12.75" hidden="1">
      <c r="A583" s="1083"/>
      <c r="B583" s="1080" t="s">
        <v>803</v>
      </c>
      <c r="C583" s="1060">
        <f>_xlfn.IFERROR(VLOOKUP(B583,'[1]ПО КОРИСНИЦИМА'!$C$3:$J$11609,5,FALSE),"")</f>
      </c>
      <c r="D583" s="1064" t="e">
        <f>SUMIF('[1]ПО КОРИСНИЦИМА'!$G$3:$G$11609,"Свега за пројекат 0602-П48:",'[1]ПО КОРИСНИЦИМА'!$H$3:$H$11609)</f>
        <v>#VALUE!</v>
      </c>
      <c r="E583" s="1058" t="e">
        <f t="shared" si="19"/>
        <v>#VALUE!</v>
      </c>
      <c r="F583" s="1065" t="e">
        <f>SUMIF('[1]ПО КОРИСНИЦИМА'!$G$3:$G$11609,"Свега за пројекат 0602-П48:",'[1]ПО КОРИСНИЦИМА'!$I$3:$I$11609)</f>
        <v>#VALUE!</v>
      </c>
      <c r="G583" s="1092" t="e">
        <f t="shared" si="18"/>
        <v>#VALUE!</v>
      </c>
      <c r="H583" s="1062"/>
    </row>
    <row r="584" spans="1:8" ht="12.75" hidden="1">
      <c r="A584" s="1083"/>
      <c r="B584" s="1080" t="s">
        <v>804</v>
      </c>
      <c r="C584" s="1060">
        <f>_xlfn.IFERROR(VLOOKUP(B584,'[1]ПО КОРИСНИЦИМА'!$C$3:$J$11609,5,FALSE),"")</f>
      </c>
      <c r="D584" s="1064" t="e">
        <f>SUMIF('[1]ПО КОРИСНИЦИМА'!$G$3:$G$11609,"Свега за пројекат 0602-П49:",'[1]ПО КОРИСНИЦИМА'!$H$3:$H$11609)</f>
        <v>#VALUE!</v>
      </c>
      <c r="E584" s="1058" t="e">
        <f t="shared" si="19"/>
        <v>#VALUE!</v>
      </c>
      <c r="F584" s="1065" t="e">
        <f>SUMIF('[1]ПО КОРИСНИЦИМА'!$G$3:$G$11609,"Свега за пројекат 0602-П49:",'[1]ПО КОРИСНИЦИМА'!$I$3:$I$11609)</f>
        <v>#VALUE!</v>
      </c>
      <c r="G584" s="1092" t="e">
        <f t="shared" si="18"/>
        <v>#VALUE!</v>
      </c>
      <c r="H584" s="1062"/>
    </row>
    <row r="585" spans="1:8" ht="12.75" hidden="1">
      <c r="A585" s="1083"/>
      <c r="B585" s="1080" t="s">
        <v>805</v>
      </c>
      <c r="C585" s="1060">
        <f>_xlfn.IFERROR(VLOOKUP(B585,'[1]ПО КОРИСНИЦИМА'!$C$3:$J$11609,5,FALSE),"")</f>
      </c>
      <c r="D585" s="1064" t="e">
        <f>SUMIF('[1]ПО КОРИСНИЦИМА'!$G$3:$G$11609,"Свега за пројекат 0602-П50:",'[1]ПО КОРИСНИЦИМА'!$H$3:$H$11609)</f>
        <v>#VALUE!</v>
      </c>
      <c r="E585" s="1058" t="e">
        <f t="shared" si="19"/>
        <v>#VALUE!</v>
      </c>
      <c r="F585" s="1065" t="e">
        <f>SUMIF('[1]ПО КОРИСНИЦИМА'!$G$3:$G$11609,"Свега за пројекат 0602-П50:",'[1]ПО КОРИСНИЦИМА'!$I$3:$I$11609)</f>
        <v>#VALUE!</v>
      </c>
      <c r="G585" s="1092" t="e">
        <f t="shared" si="18"/>
        <v>#VALUE!</v>
      </c>
      <c r="H585" s="1062"/>
    </row>
    <row r="586" spans="1:8" ht="12.75" hidden="1">
      <c r="A586" s="1083"/>
      <c r="B586" s="1080" t="s">
        <v>806</v>
      </c>
      <c r="C586" s="1060">
        <f>_xlfn.IFERROR(VLOOKUP(B586,'[1]ПО КОРИСНИЦИМА'!$C$3:$J$11609,5,FALSE),"")</f>
      </c>
      <c r="D586" s="1064" t="e">
        <f>SUMIF('[1]ПО КОРИСНИЦИМА'!$G$3:$G$11609,"Свега за пројекат 0602-П51:",'[1]ПО КОРИСНИЦИМА'!$H$3:$H$11609)</f>
        <v>#VALUE!</v>
      </c>
      <c r="E586" s="1058" t="e">
        <f t="shared" si="19"/>
        <v>#VALUE!</v>
      </c>
      <c r="F586" s="1065" t="e">
        <f>SUMIF('[1]ПО КОРИСНИЦИМА'!$G$3:$G$11609,"Свега за пројекат 0602-П51:",'[1]ПО КОРИСНИЦИМА'!$I$3:$I$11609)</f>
        <v>#VALUE!</v>
      </c>
      <c r="G586" s="1092" t="e">
        <f t="shared" si="18"/>
        <v>#VALUE!</v>
      </c>
      <c r="H586" s="1062"/>
    </row>
    <row r="587" spans="1:8" ht="12.75" hidden="1">
      <c r="A587" s="1083"/>
      <c r="B587" s="1080" t="s">
        <v>807</v>
      </c>
      <c r="C587" s="1060">
        <f>_xlfn.IFERROR(VLOOKUP(B587,'[1]ПО КОРИСНИЦИМА'!$C$3:$J$11609,5,FALSE),"")</f>
      </c>
      <c r="D587" s="1064" t="e">
        <f>SUMIF('[1]ПО КОРИСНИЦИМА'!$G$3:$G$11609,"Свега за пројекат 0602-П52:",'[1]ПО КОРИСНИЦИМА'!$H$3:$H$11609)</f>
        <v>#VALUE!</v>
      </c>
      <c r="E587" s="1058" t="e">
        <f t="shared" si="19"/>
        <v>#VALUE!</v>
      </c>
      <c r="F587" s="1065" t="e">
        <f>SUMIF('[1]ПО КОРИСНИЦИМА'!$G$3:$G$11609,"Свега за пројекат 0602-П52:",'[1]ПО КОРИСНИЦИМА'!$I$3:$I$11609)</f>
        <v>#VALUE!</v>
      </c>
      <c r="G587" s="1092" t="e">
        <f t="shared" si="18"/>
        <v>#VALUE!</v>
      </c>
      <c r="H587" s="1062"/>
    </row>
    <row r="588" spans="1:8" ht="12.75" hidden="1">
      <c r="A588" s="1083"/>
      <c r="B588" s="1080" t="s">
        <v>808</v>
      </c>
      <c r="C588" s="1060">
        <f>_xlfn.IFERROR(VLOOKUP(B588,'[1]ПО КОРИСНИЦИМА'!$C$3:$J$11609,5,FALSE),"")</f>
      </c>
      <c r="D588" s="1064" t="e">
        <f>SUMIF('[1]ПО КОРИСНИЦИМА'!$G$3:$G$11609,"Свега за пројекат 0602-П53:",'[1]ПО КОРИСНИЦИМА'!$H$3:$H$11609)</f>
        <v>#VALUE!</v>
      </c>
      <c r="E588" s="1058" t="e">
        <f t="shared" si="19"/>
        <v>#VALUE!</v>
      </c>
      <c r="F588" s="1065" t="e">
        <f>SUMIF('[1]ПО КОРИСНИЦИМА'!$G$3:$G$11609,"Свега за пројекат 0602-П53:",'[1]ПО КОРИСНИЦИМА'!$I$3:$I$11609)</f>
        <v>#VALUE!</v>
      </c>
      <c r="G588" s="1092" t="e">
        <f t="shared" si="18"/>
        <v>#VALUE!</v>
      </c>
      <c r="H588" s="1062"/>
    </row>
    <row r="589" spans="1:8" ht="12.75" hidden="1">
      <c r="A589" s="1083"/>
      <c r="B589" s="1080" t="s">
        <v>809</v>
      </c>
      <c r="C589" s="1060">
        <f>_xlfn.IFERROR(VLOOKUP(B589,'[1]ПО КОРИСНИЦИМА'!$C$3:$J$11609,5,FALSE),"")</f>
      </c>
      <c r="D589" s="1064" t="e">
        <f>SUMIF('[1]ПО КОРИСНИЦИМА'!$G$3:$G$11609,"Свега за пројекат 0602-П54:",'[1]ПО КОРИСНИЦИМА'!$H$3:$H$11609)</f>
        <v>#VALUE!</v>
      </c>
      <c r="E589" s="1058" t="e">
        <f t="shared" si="19"/>
        <v>#VALUE!</v>
      </c>
      <c r="F589" s="1065" t="e">
        <f>SUMIF('[1]ПО КОРИСНИЦИМА'!$G$3:$G$11609,"Свега за пројекат 0602-П54:",'[1]ПО КОРИСНИЦИМА'!$I$3:$I$11609)</f>
        <v>#VALUE!</v>
      </c>
      <c r="G589" s="1092" t="e">
        <f t="shared" si="18"/>
        <v>#VALUE!</v>
      </c>
      <c r="H589" s="1062"/>
    </row>
    <row r="590" spans="1:8" ht="12.75" hidden="1">
      <c r="A590" s="1083"/>
      <c r="B590" s="1080" t="s">
        <v>810</v>
      </c>
      <c r="C590" s="1060">
        <f>_xlfn.IFERROR(VLOOKUP(B590,'[1]ПО КОРИСНИЦИМА'!$C$3:$J$11609,5,FALSE),"")</f>
      </c>
      <c r="D590" s="1064" t="e">
        <f>SUMIF('[1]ПО КОРИСНИЦИМА'!$G$3:$G$11609,"Свега за пројекат 0602-П55:",'[1]ПО КОРИСНИЦИМА'!$H$3:$H$11609)</f>
        <v>#VALUE!</v>
      </c>
      <c r="E590" s="1058" t="e">
        <f t="shared" si="19"/>
        <v>#VALUE!</v>
      </c>
      <c r="F590" s="1065" t="e">
        <f>SUMIF('[1]ПО КОРИСНИЦИМА'!$G$3:$G$11609,"Свега за пројекат 0602-П55:",'[1]ПО КОРИСНИЦИМА'!$I$3:$I$11609)</f>
        <v>#VALUE!</v>
      </c>
      <c r="G590" s="1092" t="e">
        <f t="shared" si="18"/>
        <v>#VALUE!</v>
      </c>
      <c r="H590" s="1062"/>
    </row>
    <row r="591" spans="1:8" ht="12.75" hidden="1">
      <c r="A591" s="1083"/>
      <c r="B591" s="1080" t="s">
        <v>811</v>
      </c>
      <c r="C591" s="1060">
        <f>_xlfn.IFERROR(VLOOKUP(B591,'[1]ПО КОРИСНИЦИМА'!$C$3:$J$11609,5,FALSE),"")</f>
      </c>
      <c r="D591" s="1064" t="e">
        <f>SUMIF('[1]ПО КОРИСНИЦИМА'!$G$3:$G$11609,"Свега за пројекат 0602-П56:",'[1]ПО КОРИСНИЦИМА'!$H$3:$H$11609)</f>
        <v>#VALUE!</v>
      </c>
      <c r="E591" s="1058" t="e">
        <f t="shared" si="19"/>
        <v>#VALUE!</v>
      </c>
      <c r="F591" s="1065" t="e">
        <f>SUMIF('[1]ПО КОРИСНИЦИМА'!$G$3:$G$11609,"Свега за пројекат 0602-П56:",'[1]ПО КОРИСНИЦИМА'!$I$3:$I$11609)</f>
        <v>#VALUE!</v>
      </c>
      <c r="G591" s="1092" t="e">
        <f t="shared" si="18"/>
        <v>#VALUE!</v>
      </c>
      <c r="H591" s="1062"/>
    </row>
    <row r="592" spans="1:8" ht="12.75" hidden="1">
      <c r="A592" s="1083"/>
      <c r="B592" s="1080" t="s">
        <v>812</v>
      </c>
      <c r="C592" s="1060">
        <f>_xlfn.IFERROR(VLOOKUP(B592,'[1]ПО КОРИСНИЦИМА'!$C$3:$J$11609,5,FALSE),"")</f>
      </c>
      <c r="D592" s="1064" t="e">
        <f>SUMIF('[1]ПО КОРИСНИЦИМА'!$G$3:$G$11609,"Свега за пројекат 0602-П57:",'[1]ПО КОРИСНИЦИМА'!$H$3:$H$11609)</f>
        <v>#VALUE!</v>
      </c>
      <c r="E592" s="1058" t="e">
        <f t="shared" si="19"/>
        <v>#VALUE!</v>
      </c>
      <c r="F592" s="1065" t="e">
        <f>SUMIF('[1]ПО КОРИСНИЦИМА'!$G$3:$G$11609,"Свега за пројекат 0602-П57:",'[1]ПО КОРИСНИЦИМА'!$I$3:$I$11609)</f>
        <v>#VALUE!</v>
      </c>
      <c r="G592" s="1092" t="e">
        <f t="shared" si="18"/>
        <v>#VALUE!</v>
      </c>
      <c r="H592" s="1062"/>
    </row>
    <row r="593" spans="1:8" ht="12.75" hidden="1">
      <c r="A593" s="1083"/>
      <c r="B593" s="1080" t="s">
        <v>813</v>
      </c>
      <c r="C593" s="1060">
        <f>_xlfn.IFERROR(VLOOKUP(B593,'[1]ПО КОРИСНИЦИМА'!$C$3:$J$11609,5,FALSE),"")</f>
      </c>
      <c r="D593" s="1064" t="e">
        <f>SUMIF('[1]ПО КОРИСНИЦИМА'!$G$3:$G$11609,"Свега за пројекат 0602-П58:",'[1]ПО КОРИСНИЦИМА'!$H$3:$H$11609)</f>
        <v>#VALUE!</v>
      </c>
      <c r="E593" s="1058" t="e">
        <f t="shared" si="19"/>
        <v>#VALUE!</v>
      </c>
      <c r="F593" s="1065" t="e">
        <f>SUMIF('[1]ПО КОРИСНИЦИМА'!$G$3:$G$11609,"Свега за пројекат 0602-П58:",'[1]ПО КОРИСНИЦИМА'!$I$3:$I$11609)</f>
        <v>#VALUE!</v>
      </c>
      <c r="G593" s="1092" t="e">
        <f t="shared" si="18"/>
        <v>#VALUE!</v>
      </c>
      <c r="H593" s="1062"/>
    </row>
    <row r="594" spans="1:8" ht="12.75" hidden="1">
      <c r="A594" s="1083"/>
      <c r="B594" s="1080" t="s">
        <v>814</v>
      </c>
      <c r="C594" s="1060">
        <f>_xlfn.IFERROR(VLOOKUP(B594,'[1]ПО КОРИСНИЦИМА'!$C$3:$J$11609,5,FALSE),"")</f>
      </c>
      <c r="D594" s="1064" t="e">
        <f>SUMIF('[1]ПО КОРИСНИЦИМА'!$G$3:$G$11609,"Свега за пројекат 0602-П59:",'[1]ПО КОРИСНИЦИМА'!$H$3:$H$11609)</f>
        <v>#VALUE!</v>
      </c>
      <c r="E594" s="1058" t="e">
        <f t="shared" si="19"/>
        <v>#VALUE!</v>
      </c>
      <c r="F594" s="1065" t="e">
        <f>SUMIF('[1]ПО КОРИСНИЦИМА'!$G$3:$G$11609,"Свега за пројекат 0602-П59:",'[1]ПО КОРИСНИЦИМА'!$I$3:$I$11609)</f>
        <v>#VALUE!</v>
      </c>
      <c r="G594" s="1092" t="e">
        <f t="shared" si="18"/>
        <v>#VALUE!</v>
      </c>
      <c r="H594" s="1062"/>
    </row>
    <row r="595" spans="1:8" ht="12.75" hidden="1">
      <c r="A595" s="1083"/>
      <c r="B595" s="1080" t="s">
        <v>815</v>
      </c>
      <c r="C595" s="1060">
        <f>_xlfn.IFERROR(VLOOKUP(B595,'[1]ПО КОРИСНИЦИМА'!$C$3:$J$11609,5,FALSE),"")</f>
      </c>
      <c r="D595" s="1064" t="e">
        <f>SUMIF('[1]ПО КОРИСНИЦИМА'!$G$3:$G$11609,"Свега за пројекат 0602-П60:",'[1]ПО КОРИСНИЦИМА'!$H$3:$H$11609)</f>
        <v>#VALUE!</v>
      </c>
      <c r="E595" s="1058" t="e">
        <f t="shared" si="19"/>
        <v>#VALUE!</v>
      </c>
      <c r="F595" s="1065" t="e">
        <f>SUMIF('[1]ПО КОРИСНИЦИМА'!$G$3:$G$11609,"Свега за пројекат 0602-П60:",'[1]ПО КОРИСНИЦИМА'!$I$3:$I$11609)</f>
        <v>#VALUE!</v>
      </c>
      <c r="G595" s="1092" t="e">
        <f t="shared" si="18"/>
        <v>#VALUE!</v>
      </c>
      <c r="H595" s="1062"/>
    </row>
    <row r="596" spans="1:8" ht="12.75" hidden="1">
      <c r="A596" s="1083"/>
      <c r="B596" s="1080" t="s">
        <v>816</v>
      </c>
      <c r="C596" s="1060">
        <f>_xlfn.IFERROR(VLOOKUP(B596,'[1]ПО КОРИСНИЦИМА'!$C$3:$J$11609,5,FALSE),"")</f>
      </c>
      <c r="D596" s="1064" t="e">
        <f>SUMIF('[1]ПО КОРИСНИЦИМА'!$G$3:$G$11609,"Свега за пројекат 0602-П61:",'[1]ПО КОРИСНИЦИМА'!$H$3:$H$11609)</f>
        <v>#VALUE!</v>
      </c>
      <c r="E596" s="1058" t="e">
        <f t="shared" si="19"/>
        <v>#VALUE!</v>
      </c>
      <c r="F596" s="1065" t="e">
        <f>SUMIF('[1]ПО КОРИСНИЦИМА'!$G$3:$G$11609,"Свега за пројекат 0602-П61:",'[1]ПО КОРИСНИЦИМА'!$I$3:$I$11609)</f>
        <v>#VALUE!</v>
      </c>
      <c r="G596" s="1092" t="e">
        <f t="shared" si="18"/>
        <v>#VALUE!</v>
      </c>
      <c r="H596" s="1062"/>
    </row>
    <row r="597" spans="1:8" ht="12.75" hidden="1">
      <c r="A597" s="1083"/>
      <c r="B597" s="1080" t="s">
        <v>817</v>
      </c>
      <c r="C597" s="1060">
        <f>_xlfn.IFERROR(VLOOKUP(B597,'[1]ПО КОРИСНИЦИМА'!$C$3:$J$11609,5,FALSE),"")</f>
      </c>
      <c r="D597" s="1064" t="e">
        <f>SUMIF('[1]ПО КОРИСНИЦИМА'!$G$3:$G$11609,"Свега за пројекат 0602-П62:",'[1]ПО КОРИСНИЦИМА'!$H$3:$H$11609)</f>
        <v>#VALUE!</v>
      </c>
      <c r="E597" s="1058" t="e">
        <f t="shared" si="19"/>
        <v>#VALUE!</v>
      </c>
      <c r="F597" s="1065" t="e">
        <f>SUMIF('[1]ПО КОРИСНИЦИМА'!$G$3:$G$11609,"Свега за пројекат 0602-П62:",'[1]ПО КОРИСНИЦИМА'!$I$3:$I$11609)</f>
        <v>#VALUE!</v>
      </c>
      <c r="G597" s="1092" t="e">
        <f t="shared" si="18"/>
        <v>#VALUE!</v>
      </c>
      <c r="H597" s="1062"/>
    </row>
    <row r="598" spans="1:8" ht="12.75" hidden="1">
      <c r="A598" s="1083"/>
      <c r="B598" s="1080" t="s">
        <v>818</v>
      </c>
      <c r="C598" s="1060">
        <f>_xlfn.IFERROR(VLOOKUP(B598,'[1]ПО КОРИСНИЦИМА'!$C$3:$J$11609,5,FALSE),"")</f>
      </c>
      <c r="D598" s="1064" t="e">
        <f>SUMIF('[1]ПО КОРИСНИЦИМА'!$G$3:$G$11609,"Свега за пројекат 0602-П63:",'[1]ПО КОРИСНИЦИМА'!$H$3:$H$11609)</f>
        <v>#VALUE!</v>
      </c>
      <c r="E598" s="1058" t="e">
        <f t="shared" si="19"/>
        <v>#VALUE!</v>
      </c>
      <c r="F598" s="1065" t="e">
        <f>SUMIF('[1]ПО КОРИСНИЦИМА'!$G$3:$G$11609,"Свега за пројекат 0602-П63:",'[1]ПО КОРИСНИЦИМА'!$I$3:$I$11609)</f>
        <v>#VALUE!</v>
      </c>
      <c r="G598" s="1092" t="e">
        <f t="shared" si="18"/>
        <v>#VALUE!</v>
      </c>
      <c r="H598" s="1062"/>
    </row>
    <row r="599" spans="1:8" ht="12.75" hidden="1">
      <c r="A599" s="1083"/>
      <c r="B599" s="1080" t="s">
        <v>819</v>
      </c>
      <c r="C599" s="1060">
        <f>_xlfn.IFERROR(VLOOKUP(B599,'[1]ПО КОРИСНИЦИМА'!$C$3:$J$11609,5,FALSE),"")</f>
      </c>
      <c r="D599" s="1064" t="e">
        <f>SUMIF('[1]ПО КОРИСНИЦИМА'!$G$3:$G$11609,"Свега за пројекат 0602-П64:",'[1]ПО КОРИСНИЦИМА'!$H$3:$H$11609)</f>
        <v>#VALUE!</v>
      </c>
      <c r="E599" s="1058" t="e">
        <f t="shared" si="19"/>
        <v>#VALUE!</v>
      </c>
      <c r="F599" s="1065" t="e">
        <f>SUMIF('[1]ПО КОРИСНИЦИМА'!$G$3:$G$11609,"Свега за пројекат 0602-П64:",'[1]ПО КОРИСНИЦИМА'!$I$3:$I$11609)</f>
        <v>#VALUE!</v>
      </c>
      <c r="G599" s="1092" t="e">
        <f t="shared" si="18"/>
        <v>#VALUE!</v>
      </c>
      <c r="H599" s="1062"/>
    </row>
    <row r="600" spans="1:8" ht="12.75" hidden="1">
      <c r="A600" s="1083"/>
      <c r="B600" s="1080" t="s">
        <v>820</v>
      </c>
      <c r="C600" s="1060">
        <f>_xlfn.IFERROR(VLOOKUP(B600,'[1]ПО КОРИСНИЦИМА'!$C$3:$J$11609,5,FALSE),"")</f>
      </c>
      <c r="D600" s="1064" t="e">
        <f>SUMIF('[1]ПО КОРИСНИЦИМА'!$G$3:$G$11609,"Свега за пројекат 0602-П65:",'[1]ПО КОРИСНИЦИМА'!$H$3:$H$11609)</f>
        <v>#VALUE!</v>
      </c>
      <c r="E600" s="1058" t="e">
        <f t="shared" si="19"/>
        <v>#VALUE!</v>
      </c>
      <c r="F600" s="1065" t="e">
        <f>SUMIF('[1]ПО КОРИСНИЦИМА'!$G$3:$G$11609,"Свега за пројекат 0602-П65:",'[1]ПО КОРИСНИЦИМА'!$I$3:$I$11609)</f>
        <v>#VALUE!</v>
      </c>
      <c r="G600" s="1092" t="e">
        <f t="shared" si="18"/>
        <v>#VALUE!</v>
      </c>
      <c r="H600" s="1062"/>
    </row>
    <row r="601" spans="1:8" ht="12.75" hidden="1">
      <c r="A601" s="1083"/>
      <c r="B601" s="1080" t="s">
        <v>821</v>
      </c>
      <c r="C601" s="1060">
        <f>_xlfn.IFERROR(VLOOKUP(B601,'[1]ПО КОРИСНИЦИМА'!$C$3:$J$11609,5,FALSE),"")</f>
      </c>
      <c r="D601" s="1064" t="e">
        <f>SUMIF('[1]ПО КОРИСНИЦИМА'!$G$3:$G$11609,"Свега за пројекат 0602-П66:",'[1]ПО КОРИСНИЦИМА'!$H$3:$H$11609)</f>
        <v>#VALUE!</v>
      </c>
      <c r="E601" s="1058" t="e">
        <f t="shared" si="19"/>
        <v>#VALUE!</v>
      </c>
      <c r="F601" s="1065" t="e">
        <f>SUMIF('[1]ПО КОРИСНИЦИМА'!$G$3:$G$11609,"Свега за пројекат 0602-П66:",'[1]ПО КОРИСНИЦИМА'!$I$3:$I$11609)</f>
        <v>#VALUE!</v>
      </c>
      <c r="G601" s="1092" t="e">
        <f t="shared" si="18"/>
        <v>#VALUE!</v>
      </c>
      <c r="H601" s="1062"/>
    </row>
    <row r="602" spans="1:8" ht="12.75" hidden="1">
      <c r="A602" s="1083"/>
      <c r="B602" s="1080" t="s">
        <v>822</v>
      </c>
      <c r="C602" s="1060">
        <f>_xlfn.IFERROR(VLOOKUP(B602,'[1]ПО КОРИСНИЦИМА'!$C$3:$J$11609,5,FALSE),"")</f>
      </c>
      <c r="D602" s="1064" t="e">
        <f>SUMIF('[1]ПО КОРИСНИЦИМА'!$G$3:$G$11609,"Свега за пројекат 0602-П67:",'[1]ПО КОРИСНИЦИМА'!$H$3:$H$11609)</f>
        <v>#VALUE!</v>
      </c>
      <c r="E602" s="1058" t="e">
        <f t="shared" si="19"/>
        <v>#VALUE!</v>
      </c>
      <c r="F602" s="1065" t="e">
        <f>SUMIF('[1]ПО КОРИСНИЦИМА'!$G$3:$G$11609,"Свега за пројекат 0602-П67:",'[1]ПО КОРИСНИЦИМА'!$I$3:$I$11609)</f>
        <v>#VALUE!</v>
      </c>
      <c r="G602" s="1092" t="e">
        <f t="shared" si="18"/>
        <v>#VALUE!</v>
      </c>
      <c r="H602" s="1062"/>
    </row>
    <row r="603" spans="1:8" ht="12.75" hidden="1">
      <c r="A603" s="1083"/>
      <c r="B603" s="1080" t="s">
        <v>823</v>
      </c>
      <c r="C603" s="1060">
        <f>_xlfn.IFERROR(VLOOKUP(B603,'[1]ПО КОРИСНИЦИМА'!$C$3:$J$11609,5,FALSE),"")</f>
      </c>
      <c r="D603" s="1064" t="e">
        <f>SUMIF('[1]ПО КОРИСНИЦИМА'!$G$3:$G$11609,"Свега за пројекат 0602-П68:",'[1]ПО КОРИСНИЦИМА'!$H$3:$H$11609)</f>
        <v>#VALUE!</v>
      </c>
      <c r="E603" s="1058" t="e">
        <f t="shared" si="19"/>
        <v>#VALUE!</v>
      </c>
      <c r="F603" s="1065" t="e">
        <f>SUMIF('[1]ПО КОРИСНИЦИМА'!$G$3:$G$11609,"Свега за пројекат 0602-П68:",'[1]ПО КОРИСНИЦИМА'!$I$3:$I$11609)</f>
        <v>#VALUE!</v>
      </c>
      <c r="G603" s="1092" t="e">
        <f t="shared" si="18"/>
        <v>#VALUE!</v>
      </c>
      <c r="H603" s="1062"/>
    </row>
    <row r="604" spans="1:8" ht="12.75" hidden="1">
      <c r="A604" s="1083"/>
      <c r="B604" s="1080" t="s">
        <v>824</v>
      </c>
      <c r="C604" s="1060">
        <f>_xlfn.IFERROR(VLOOKUP(B604,'[1]ПО КОРИСНИЦИМА'!$C$3:$J$11609,5,FALSE),"")</f>
      </c>
      <c r="D604" s="1064" t="e">
        <f>SUMIF('[1]ПО КОРИСНИЦИМА'!$G$3:$G$11609,"Свега за пројекат 0602-П69:",'[1]ПО КОРИСНИЦИМА'!$H$3:$H$11609)</f>
        <v>#VALUE!</v>
      </c>
      <c r="E604" s="1058" t="e">
        <f t="shared" si="19"/>
        <v>#VALUE!</v>
      </c>
      <c r="F604" s="1065" t="e">
        <f>SUMIF('[1]ПО КОРИСНИЦИМА'!$G$3:$G$11609,"Свега за пројекат 0602-П69:",'[1]ПО КОРИСНИЦИМА'!$I$3:$I$11609)</f>
        <v>#VALUE!</v>
      </c>
      <c r="G604" s="1092" t="e">
        <f t="shared" si="18"/>
        <v>#VALUE!</v>
      </c>
      <c r="H604" s="1062"/>
    </row>
    <row r="605" spans="1:8" ht="12.75" hidden="1">
      <c r="A605" s="1083"/>
      <c r="B605" s="1080" t="s">
        <v>825</v>
      </c>
      <c r="C605" s="1060">
        <f>_xlfn.IFERROR(VLOOKUP(B605,'[1]ПО КОРИСНИЦИМА'!$C$3:$J$11609,5,FALSE),"")</f>
      </c>
      <c r="D605" s="1064" t="e">
        <f>SUMIF('[1]ПО КОРИСНИЦИМА'!$G$3:$G$11609,"Свега за пројекат 0602-П70:",'[1]ПО КОРИСНИЦИМА'!$H$3:$H$11609)</f>
        <v>#VALUE!</v>
      </c>
      <c r="E605" s="1058" t="e">
        <f t="shared" si="19"/>
        <v>#VALUE!</v>
      </c>
      <c r="F605" s="1065" t="e">
        <f>SUMIF('[1]ПО КОРИСНИЦИМА'!$G$3:$G$11609,"Свега за пројекат 0602-П70:",'[1]ПО КОРИСНИЦИМА'!$I$3:$I$11609)</f>
        <v>#VALUE!</v>
      </c>
      <c r="G605" s="1092" t="e">
        <f t="shared" si="18"/>
        <v>#VALUE!</v>
      </c>
      <c r="H605" s="1062"/>
    </row>
    <row r="606" spans="1:8" s="325" customFormat="1" ht="12.75">
      <c r="A606" s="1054" t="s">
        <v>1212</v>
      </c>
      <c r="B606" s="1055"/>
      <c r="C606" s="1056" t="s">
        <v>1215</v>
      </c>
      <c r="D606" s="1057">
        <f>SUM(D607:D608)</f>
        <v>30827000</v>
      </c>
      <c r="E606" s="1058">
        <f t="shared" si="19"/>
        <v>0.06932763102941943</v>
      </c>
      <c r="F606" s="1057">
        <f>SUM(F607:F608)</f>
        <v>0</v>
      </c>
      <c r="G606" s="1057">
        <f t="shared" si="18"/>
        <v>30827000</v>
      </c>
      <c r="H606" s="1072"/>
    </row>
    <row r="607" spans="1:8" ht="12.75">
      <c r="A607" s="1083"/>
      <c r="B607" s="1075" t="s">
        <v>1213</v>
      </c>
      <c r="C607" s="1090" t="s">
        <v>1214</v>
      </c>
      <c r="D607" s="1061">
        <f>'Rashodi-2020'!M9</f>
        <v>11609000</v>
      </c>
      <c r="E607" s="1181">
        <f t="shared" si="19"/>
        <v>0.02610777787720278</v>
      </c>
      <c r="F607" s="1061"/>
      <c r="G607" s="1085">
        <f t="shared" si="18"/>
        <v>11609000</v>
      </c>
      <c r="H607" s="1062" t="s">
        <v>1312</v>
      </c>
    </row>
    <row r="608" spans="1:8" ht="12.75">
      <c r="A608" s="1083"/>
      <c r="B608" s="1075" t="s">
        <v>1216</v>
      </c>
      <c r="C608" s="1090" t="s">
        <v>1217</v>
      </c>
      <c r="D608" s="1061">
        <f>'Rashodi-2020'!M42+'Rashodi-2020'!M60</f>
        <v>19218000</v>
      </c>
      <c r="E608" s="1181">
        <f t="shared" si="19"/>
        <v>0.043219853152216645</v>
      </c>
      <c r="F608" s="1061"/>
      <c r="G608" s="1085">
        <f t="shared" si="18"/>
        <v>19218000</v>
      </c>
      <c r="H608" s="1062" t="s">
        <v>1313</v>
      </c>
    </row>
    <row r="609" spans="1:8" s="325" customFormat="1" ht="12.75">
      <c r="A609" s="1054" t="s">
        <v>1265</v>
      </c>
      <c r="B609" s="1055"/>
      <c r="C609" s="1056" t="s">
        <v>1294</v>
      </c>
      <c r="D609" s="1057">
        <f>SUM(D610:D611)</f>
        <v>4000000</v>
      </c>
      <c r="E609" s="1058">
        <f t="shared" si="19"/>
        <v>0.008995702602188916</v>
      </c>
      <c r="F609" s="1057">
        <f>SUM(F610:F611)</f>
        <v>13000000</v>
      </c>
      <c r="G609" s="1057">
        <f t="shared" si="18"/>
        <v>17000000</v>
      </c>
      <c r="H609" s="1072"/>
    </row>
    <row r="610" spans="1:8" ht="12.75">
      <c r="A610" s="1083"/>
      <c r="B610" s="1075" t="s">
        <v>1266</v>
      </c>
      <c r="C610" s="1090" t="s">
        <v>1562</v>
      </c>
      <c r="D610" s="1061">
        <f>'Rashodi-2020'!M342</f>
        <v>4000000</v>
      </c>
      <c r="E610" s="1181">
        <f t="shared" si="19"/>
        <v>0.008995702602188916</v>
      </c>
      <c r="F610" s="1061">
        <f>'Rashodi-2020'!T342</f>
        <v>13000000</v>
      </c>
      <c r="G610" s="1085">
        <f t="shared" si="18"/>
        <v>17000000</v>
      </c>
      <c r="H610" s="1062" t="s">
        <v>1173</v>
      </c>
    </row>
    <row r="611" spans="1:8" ht="12.75" hidden="1">
      <c r="A611" s="1083"/>
      <c r="B611" s="1075"/>
      <c r="C611" s="1090"/>
      <c r="D611" s="1061"/>
      <c r="E611" s="1058">
        <f t="shared" si="19"/>
        <v>0</v>
      </c>
      <c r="F611" s="1061"/>
      <c r="G611" s="1085">
        <f t="shared" si="18"/>
        <v>0</v>
      </c>
      <c r="H611" s="1062" t="s">
        <v>1173</v>
      </c>
    </row>
    <row r="612" spans="1:8" ht="27.75" customHeight="1">
      <c r="A612" s="1437"/>
      <c r="B612" s="1437"/>
      <c r="C612" s="1093" t="s">
        <v>876</v>
      </c>
      <c r="D612" s="1094">
        <f>D609+D606+D524+D470+D417+D380+D343+D311+D279+D247+D194+D174+D155+D98+D32+D5</f>
        <v>444656763</v>
      </c>
      <c r="E612" s="1183">
        <f t="shared" si="19"/>
        <v>1</v>
      </c>
      <c r="F612" s="1094">
        <f>F609+F606+F524+F470+F417+F380+F343+F311+F279+F247+F194+F174+F155+F98+F32+F5</f>
        <v>292232273.1</v>
      </c>
      <c r="G612" s="1094">
        <f t="shared" si="18"/>
        <v>736889036.1</v>
      </c>
      <c r="H612" s="1095"/>
    </row>
    <row r="613" spans="4:7" ht="12.75">
      <c r="D613" s="327"/>
      <c r="F613" s="328"/>
      <c r="G613" s="329">
        <f>Ukupno_izdaci-'[1]Програмска'!G598</f>
        <v>0</v>
      </c>
    </row>
    <row r="618" spans="1:2" ht="12.75">
      <c r="A618" s="331" t="s">
        <v>1167</v>
      </c>
      <c r="B618" s="332">
        <f>D5</f>
        <v>10503000</v>
      </c>
    </row>
    <row r="619" spans="1:2" ht="12.75">
      <c r="A619" s="331" t="s">
        <v>1168</v>
      </c>
      <c r="B619" s="332">
        <f>D32</f>
        <v>43142000</v>
      </c>
    </row>
    <row r="620" spans="1:2" ht="12.75">
      <c r="A620" s="331" t="s">
        <v>1169</v>
      </c>
      <c r="B620" s="332">
        <f>D98</f>
        <v>6543000</v>
      </c>
    </row>
    <row r="621" spans="1:2" ht="12.75">
      <c r="A621" s="331" t="s">
        <v>1170</v>
      </c>
      <c r="B621" s="332">
        <f>D128</f>
        <v>0</v>
      </c>
    </row>
    <row r="622" spans="1:2" ht="12.75">
      <c r="A622" s="331" t="s">
        <v>0</v>
      </c>
      <c r="B622" s="332">
        <f>D155</f>
        <v>9000000</v>
      </c>
    </row>
    <row r="623" spans="1:2" ht="12.75">
      <c r="A623" s="331" t="s">
        <v>1</v>
      </c>
      <c r="B623" s="332">
        <f>D174</f>
        <v>13150000</v>
      </c>
    </row>
    <row r="624" spans="1:2" ht="12.75">
      <c r="A624" s="331" t="s">
        <v>2</v>
      </c>
      <c r="B624" s="332">
        <f>D194</f>
        <v>12190000</v>
      </c>
    </row>
    <row r="625" spans="1:2" ht="12.75">
      <c r="A625" s="331" t="s">
        <v>3</v>
      </c>
      <c r="B625" s="332">
        <f>D247</f>
        <v>57491686</v>
      </c>
    </row>
    <row r="626" spans="1:2" ht="12.75">
      <c r="A626" s="331" t="s">
        <v>4</v>
      </c>
      <c r="B626" s="332">
        <f>D279</f>
        <v>33132772</v>
      </c>
    </row>
    <row r="627" spans="1:2" ht="12.75">
      <c r="A627" s="331" t="s">
        <v>5</v>
      </c>
      <c r="B627" s="332">
        <f>D311</f>
        <v>5437550</v>
      </c>
    </row>
    <row r="628" spans="1:2" ht="12.75">
      <c r="A628" s="331" t="s">
        <v>6</v>
      </c>
      <c r="B628" s="332">
        <f>D343</f>
        <v>51136000</v>
      </c>
    </row>
    <row r="629" spans="1:2" ht="12.75">
      <c r="A629" s="331" t="s">
        <v>7</v>
      </c>
      <c r="B629" s="332">
        <f>D380</f>
        <v>20561897</v>
      </c>
    </row>
    <row r="630" spans="1:2" ht="12.75">
      <c r="A630" s="331" t="s">
        <v>8</v>
      </c>
      <c r="B630" s="332">
        <f>D413</f>
        <v>0</v>
      </c>
    </row>
    <row r="631" spans="1:2" ht="12.75">
      <c r="A631" s="331" t="s">
        <v>9</v>
      </c>
      <c r="B631" s="332">
        <f>D470</f>
        <v>7900000</v>
      </c>
    </row>
    <row r="632" spans="1:2" ht="12.75">
      <c r="A632" s="331" t="s">
        <v>10</v>
      </c>
      <c r="B632" s="332">
        <f>D524</f>
        <v>108617923</v>
      </c>
    </row>
  </sheetData>
  <sheetProtection/>
  <mergeCells count="9">
    <mergeCell ref="A612:B612"/>
    <mergeCell ref="A1:H1"/>
    <mergeCell ref="A2:B2"/>
    <mergeCell ref="C2:C3"/>
    <mergeCell ref="D2:D3"/>
    <mergeCell ref="E2:E3"/>
    <mergeCell ref="F2:F3"/>
    <mergeCell ref="G2:G3"/>
    <mergeCell ref="H2:H3"/>
  </mergeCells>
  <conditionalFormatting sqref="D613:G613">
    <cfRule type="cellIs" priority="1" dxfId="2" operator="notEqual" stopIfTrue="1">
      <formula>0</formula>
    </cfRule>
  </conditionalFormatting>
  <dataValidations count="1">
    <dataValidation type="whole" operator="equal" showInputMessage="1" showErrorMessage="1" errorTitle="gjkgkjgjh" error="jklhlglkjhkjhlk" sqref="D61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6"/>
  <sheetViews>
    <sheetView zoomScale="89" zoomScaleNormal="89" workbookViewId="0" topLeftCell="A13">
      <selection activeCell="D123" sqref="D123"/>
    </sheetView>
  </sheetViews>
  <sheetFormatPr defaultColWidth="9.140625" defaultRowHeight="12.75"/>
  <cols>
    <col min="1" max="1" width="10.00390625" style="324" customWidth="1"/>
    <col min="2" max="2" width="46.57421875" style="295" customWidth="1"/>
    <col min="3" max="3" width="18.7109375" style="295" customWidth="1"/>
    <col min="4" max="4" width="10.28125" style="687" customWidth="1"/>
    <col min="5" max="5" width="18.00390625" style="295" customWidth="1"/>
    <col min="6" max="6" width="16.7109375" style="295" customWidth="1"/>
    <col min="7" max="7" width="9.140625" style="295" customWidth="1"/>
    <col min="8" max="16" width="9.140625" style="296" customWidth="1"/>
    <col min="17" max="16384" width="9.140625" style="295" customWidth="1"/>
  </cols>
  <sheetData>
    <row r="1" spans="1:6" ht="15" customHeight="1">
      <c r="A1" s="1443" t="s">
        <v>425</v>
      </c>
      <c r="B1" s="1443"/>
      <c r="C1" s="1443"/>
      <c r="D1" s="1443"/>
      <c r="E1" s="1443"/>
      <c r="F1" s="1443"/>
    </row>
    <row r="2" spans="1:6" ht="29.25" customHeight="1">
      <c r="A2" s="297" t="s">
        <v>426</v>
      </c>
      <c r="B2" s="297" t="s">
        <v>427</v>
      </c>
      <c r="C2" s="298" t="s">
        <v>15</v>
      </c>
      <c r="D2" s="699" t="s">
        <v>410</v>
      </c>
      <c r="E2" s="298" t="s">
        <v>409</v>
      </c>
      <c r="F2" s="298" t="s">
        <v>595</v>
      </c>
    </row>
    <row r="3" spans="1:6" ht="12.75">
      <c r="A3" s="299" t="s">
        <v>14</v>
      </c>
      <c r="B3" s="300">
        <v>2</v>
      </c>
      <c r="C3" s="301">
        <v>3</v>
      </c>
      <c r="D3" s="700"/>
      <c r="E3" s="301">
        <v>5</v>
      </c>
      <c r="F3" s="301">
        <v>6</v>
      </c>
    </row>
    <row r="4" spans="1:6" ht="12.75">
      <c r="A4" s="302" t="s">
        <v>21</v>
      </c>
      <c r="B4" s="303" t="s">
        <v>363</v>
      </c>
      <c r="C4" s="304">
        <f>SUM(C5:C13)</f>
        <v>51136000</v>
      </c>
      <c r="D4" s="701">
        <f>C4/444656763</f>
        <v>0.1150010620663831</v>
      </c>
      <c r="E4" s="304">
        <f>SUM(E5:E13)</f>
        <v>3971372</v>
      </c>
      <c r="F4" s="304">
        <f>C4+E4</f>
        <v>55107372</v>
      </c>
    </row>
    <row r="5" spans="1:6" ht="12.75" hidden="1">
      <c r="A5" s="305" t="s">
        <v>428</v>
      </c>
      <c r="B5" s="306" t="s">
        <v>429</v>
      </c>
      <c r="C5" s="307"/>
      <c r="D5" s="701">
        <f aca="true" t="shared" si="0" ref="D5:D68">C5/444656763</f>
        <v>0</v>
      </c>
      <c r="E5" s="307"/>
      <c r="F5" s="307">
        <f>SUM(E5,C5)</f>
        <v>0</v>
      </c>
    </row>
    <row r="6" spans="1:6" ht="12.75" hidden="1">
      <c r="A6" s="305" t="s">
        <v>430</v>
      </c>
      <c r="B6" s="306" t="s">
        <v>431</v>
      </c>
      <c r="C6" s="307"/>
      <c r="D6" s="701">
        <f t="shared" si="0"/>
        <v>0</v>
      </c>
      <c r="E6" s="307"/>
      <c r="F6" s="307">
        <f>SUM(E6,C6)</f>
        <v>0</v>
      </c>
    </row>
    <row r="7" spans="1:6" ht="12.75" hidden="1">
      <c r="A7" s="305" t="s">
        <v>432</v>
      </c>
      <c r="B7" s="306" t="s">
        <v>433</v>
      </c>
      <c r="C7" s="307"/>
      <c r="D7" s="701">
        <f t="shared" si="0"/>
        <v>0</v>
      </c>
      <c r="E7" s="307"/>
      <c r="F7" s="307">
        <f>SUM(E7,C7)</f>
        <v>0</v>
      </c>
    </row>
    <row r="8" spans="1:6" ht="12.75">
      <c r="A8" s="305" t="s">
        <v>22</v>
      </c>
      <c r="B8" s="306" t="s">
        <v>434</v>
      </c>
      <c r="C8" s="307">
        <f>'Rashodi-2020'!M241</f>
        <v>14550000</v>
      </c>
      <c r="D8" s="1174">
        <f t="shared" si="0"/>
        <v>0.032721868215462184</v>
      </c>
      <c r="E8" s="307">
        <f>'Rashodi-2020'!T241</f>
        <v>2478872</v>
      </c>
      <c r="F8" s="307">
        <f aca="true" t="shared" si="1" ref="F8:F71">C8+E8</f>
        <v>17028872</v>
      </c>
    </row>
    <row r="9" spans="1:6" ht="12.75" hidden="1">
      <c r="A9" s="305" t="s">
        <v>287</v>
      </c>
      <c r="B9" s="306" t="s">
        <v>435</v>
      </c>
      <c r="C9" s="307"/>
      <c r="D9" s="1174">
        <f t="shared" si="0"/>
        <v>0</v>
      </c>
      <c r="E9" s="307"/>
      <c r="F9" s="307">
        <f t="shared" si="1"/>
        <v>0</v>
      </c>
    </row>
    <row r="10" spans="1:6" ht="12.75" hidden="1">
      <c r="A10" s="305" t="s">
        <v>436</v>
      </c>
      <c r="B10" s="306" t="s">
        <v>437</v>
      </c>
      <c r="C10" s="307"/>
      <c r="D10" s="1174">
        <f t="shared" si="0"/>
        <v>0</v>
      </c>
      <c r="E10" s="307"/>
      <c r="F10" s="307">
        <f t="shared" si="1"/>
        <v>0</v>
      </c>
    </row>
    <row r="11" spans="1:6" ht="25.5" hidden="1">
      <c r="A11" s="305" t="s">
        <v>438</v>
      </c>
      <c r="B11" s="306" t="s">
        <v>439</v>
      </c>
      <c r="C11" s="307"/>
      <c r="D11" s="1174">
        <f t="shared" si="0"/>
        <v>0</v>
      </c>
      <c r="E11" s="307"/>
      <c r="F11" s="307">
        <f t="shared" si="1"/>
        <v>0</v>
      </c>
    </row>
    <row r="12" spans="1:6" ht="12.75" hidden="1">
      <c r="A12" s="305" t="s">
        <v>440</v>
      </c>
      <c r="B12" s="306" t="s">
        <v>441</v>
      </c>
      <c r="C12" s="307"/>
      <c r="D12" s="1174">
        <f t="shared" si="0"/>
        <v>0</v>
      </c>
      <c r="E12" s="307"/>
      <c r="F12" s="307">
        <f t="shared" si="1"/>
        <v>0</v>
      </c>
    </row>
    <row r="13" spans="1:6" ht="25.5">
      <c r="A13" s="305" t="s">
        <v>21</v>
      </c>
      <c r="B13" s="306" t="s">
        <v>111</v>
      </c>
      <c r="C13" s="307">
        <f>'Rashodi-2020'!M214+'Rashodi-2020'!M232+'Rashodi-2020'!M249</f>
        <v>36586000</v>
      </c>
      <c r="D13" s="1174">
        <f t="shared" si="0"/>
        <v>0.08227919385092092</v>
      </c>
      <c r="E13" s="307">
        <f>'Rashodi-2020'!T214+'Rashodi-2020'!T232+'Rashodi-2020'!T249</f>
        <v>1492500</v>
      </c>
      <c r="F13" s="307">
        <f t="shared" si="1"/>
        <v>38078500</v>
      </c>
    </row>
    <row r="14" spans="1:6" ht="12.75">
      <c r="A14" s="308" t="s">
        <v>442</v>
      </c>
      <c r="B14" s="309" t="s">
        <v>364</v>
      </c>
      <c r="C14" s="304">
        <f>SUM(C15:C30)</f>
        <v>132312923</v>
      </c>
      <c r="D14" s="701">
        <f t="shared" si="0"/>
        <v>0.2975619264335804</v>
      </c>
      <c r="E14" s="304">
        <f>SUM(E15:E30)</f>
        <v>23638895</v>
      </c>
      <c r="F14" s="304">
        <f t="shared" si="1"/>
        <v>155951818</v>
      </c>
    </row>
    <row r="15" spans="1:6" ht="25.5">
      <c r="A15" s="310" t="s">
        <v>443</v>
      </c>
      <c r="B15" s="311" t="s">
        <v>444</v>
      </c>
      <c r="C15" s="307">
        <f>'Rashodi-2020'!M10+'Rashodi-2020'!M43+'Rashodi-2020'!M61</f>
        <v>30827000</v>
      </c>
      <c r="D15" s="1174">
        <f t="shared" si="0"/>
        <v>0.06932763102941943</v>
      </c>
      <c r="E15" s="307">
        <f>'Rashodi-2020'!T10+'Rashodi-2020'!T43+'Rashodi-2020'!T61</f>
        <v>0</v>
      </c>
      <c r="F15" s="307">
        <f t="shared" si="1"/>
        <v>30827000</v>
      </c>
    </row>
    <row r="16" spans="1:6" ht="12.75" hidden="1">
      <c r="A16" s="310" t="s">
        <v>445</v>
      </c>
      <c r="B16" s="311" t="s">
        <v>365</v>
      </c>
      <c r="C16" s="307"/>
      <c r="D16" s="1174">
        <f t="shared" si="0"/>
        <v>0</v>
      </c>
      <c r="E16" s="307"/>
      <c r="F16" s="307">
        <f t="shared" si="1"/>
        <v>0</v>
      </c>
    </row>
    <row r="17" spans="1:6" ht="12.75" hidden="1">
      <c r="A17" s="310" t="s">
        <v>446</v>
      </c>
      <c r="B17" s="311" t="s">
        <v>366</v>
      </c>
      <c r="C17" s="307"/>
      <c r="D17" s="1174">
        <f t="shared" si="0"/>
        <v>0</v>
      </c>
      <c r="E17" s="307"/>
      <c r="F17" s="307">
        <f t="shared" si="1"/>
        <v>0</v>
      </c>
    </row>
    <row r="18" spans="1:6" ht="12.75" hidden="1">
      <c r="A18" s="310" t="s">
        <v>447</v>
      </c>
      <c r="B18" s="311" t="s">
        <v>367</v>
      </c>
      <c r="C18" s="307"/>
      <c r="D18" s="1174">
        <f t="shared" si="0"/>
        <v>0</v>
      </c>
      <c r="E18" s="307"/>
      <c r="F18" s="307">
        <f t="shared" si="1"/>
        <v>0</v>
      </c>
    </row>
    <row r="19" spans="1:6" ht="12.75" hidden="1">
      <c r="A19" s="310" t="s">
        <v>448</v>
      </c>
      <c r="B19" s="311" t="s">
        <v>449</v>
      </c>
      <c r="C19" s="307"/>
      <c r="D19" s="1174">
        <f t="shared" si="0"/>
        <v>0</v>
      </c>
      <c r="E19" s="307"/>
      <c r="F19" s="307">
        <f t="shared" si="1"/>
        <v>0</v>
      </c>
    </row>
    <row r="20" spans="1:6" ht="15" customHeight="1" hidden="1">
      <c r="A20" s="310" t="s">
        <v>450</v>
      </c>
      <c r="B20" s="311" t="s">
        <v>368</v>
      </c>
      <c r="C20" s="307"/>
      <c r="D20" s="1174">
        <f t="shared" si="0"/>
        <v>0</v>
      </c>
      <c r="E20" s="307"/>
      <c r="F20" s="307">
        <f t="shared" si="1"/>
        <v>0</v>
      </c>
    </row>
    <row r="21" spans="1:6" ht="25.5" hidden="1">
      <c r="A21" s="310" t="s">
        <v>451</v>
      </c>
      <c r="B21" s="311" t="s">
        <v>369</v>
      </c>
      <c r="C21" s="307"/>
      <c r="D21" s="1174">
        <f t="shared" si="0"/>
        <v>0</v>
      </c>
      <c r="E21" s="307"/>
      <c r="F21" s="307">
        <f t="shared" si="1"/>
        <v>0</v>
      </c>
    </row>
    <row r="22" spans="1:6" ht="12.75">
      <c r="A22" s="310" t="s">
        <v>76</v>
      </c>
      <c r="B22" s="311" t="s">
        <v>452</v>
      </c>
      <c r="C22" s="307">
        <f>'Rashodi-2020'!M78+'Rashodi-2020'!M111+'Rashodi-2020'!M132+'Rashodi-2020'!M135+'Rashodi-2020'!M28</f>
        <v>86130000</v>
      </c>
      <c r="D22" s="1174">
        <f t="shared" si="0"/>
        <v>0.19369996628163283</v>
      </c>
      <c r="E22" s="307">
        <f>'Rashodi-2020'!T78+'Rashodi-2020'!T111</f>
        <v>20047000</v>
      </c>
      <c r="F22" s="307">
        <f t="shared" si="1"/>
        <v>106177000</v>
      </c>
    </row>
    <row r="23" spans="1:6" ht="12.75" hidden="1">
      <c r="A23" s="310" t="s">
        <v>453</v>
      </c>
      <c r="B23" s="311" t="s">
        <v>370</v>
      </c>
      <c r="C23" s="307"/>
      <c r="D23" s="1174">
        <f t="shared" si="0"/>
        <v>0</v>
      </c>
      <c r="E23" s="307"/>
      <c r="F23" s="307">
        <f t="shared" si="1"/>
        <v>0</v>
      </c>
    </row>
    <row r="24" spans="1:6" ht="12.75" hidden="1">
      <c r="A24" s="310" t="s">
        <v>454</v>
      </c>
      <c r="B24" s="311" t="s">
        <v>371</v>
      </c>
      <c r="C24" s="307"/>
      <c r="D24" s="1174">
        <f t="shared" si="0"/>
        <v>0</v>
      </c>
      <c r="E24" s="307"/>
      <c r="F24" s="307">
        <f t="shared" si="1"/>
        <v>0</v>
      </c>
    </row>
    <row r="25" spans="1:6" ht="12.75" hidden="1">
      <c r="A25" s="310" t="s">
        <v>455</v>
      </c>
      <c r="B25" s="311" t="s">
        <v>372</v>
      </c>
      <c r="C25" s="307"/>
      <c r="D25" s="1174">
        <f t="shared" si="0"/>
        <v>0</v>
      </c>
      <c r="E25" s="307"/>
      <c r="F25" s="307">
        <f t="shared" si="1"/>
        <v>0</v>
      </c>
    </row>
    <row r="26" spans="1:6" ht="12.75" hidden="1">
      <c r="A26" s="310" t="s">
        <v>456</v>
      </c>
      <c r="B26" s="311" t="s">
        <v>457</v>
      </c>
      <c r="C26" s="307"/>
      <c r="D26" s="1174">
        <f t="shared" si="0"/>
        <v>0</v>
      </c>
      <c r="E26" s="307"/>
      <c r="F26" s="307">
        <f t="shared" si="1"/>
        <v>0</v>
      </c>
    </row>
    <row r="27" spans="1:6" ht="12.75" hidden="1">
      <c r="A27" s="310" t="s">
        <v>458</v>
      </c>
      <c r="B27" s="311" t="s">
        <v>459</v>
      </c>
      <c r="C27" s="307"/>
      <c r="D27" s="1174">
        <f t="shared" si="0"/>
        <v>0</v>
      </c>
      <c r="E27" s="307"/>
      <c r="F27" s="307">
        <f t="shared" si="1"/>
        <v>0</v>
      </c>
    </row>
    <row r="28" spans="1:6" ht="25.5">
      <c r="A28" s="310" t="s">
        <v>284</v>
      </c>
      <c r="B28" s="311" t="s">
        <v>460</v>
      </c>
      <c r="C28" s="307">
        <f>'Rashodi-2020'!M430+'Rashodi-2020'!M439+'Rashodi-2020'!M457+'Rashodi-2020'!M470+'Rashodi-2020'!M483+'Rashodi-2020'!M496+'Rashodi-2020'!M507</f>
        <v>15355923</v>
      </c>
      <c r="D28" s="1174">
        <f t="shared" si="0"/>
        <v>0.03453432912252816</v>
      </c>
      <c r="E28" s="307">
        <f>'Rashodi-2020'!T430+'Rashodi-2020'!T439+'Rashodi-2020'!T457+'Rashodi-2020'!T470+'Rashodi-2020'!T483+'Rashodi-2020'!T496+'Rashodi-2020'!T507</f>
        <v>3591895</v>
      </c>
      <c r="F28" s="307">
        <f t="shared" si="1"/>
        <v>18947818</v>
      </c>
    </row>
    <row r="29" spans="1:6" ht="12.75" hidden="1">
      <c r="A29" s="310" t="s">
        <v>461</v>
      </c>
      <c r="B29" s="311" t="s">
        <v>462</v>
      </c>
      <c r="C29" s="307"/>
      <c r="D29" s="701">
        <f t="shared" si="0"/>
        <v>0</v>
      </c>
      <c r="E29" s="307"/>
      <c r="F29" s="307">
        <f t="shared" si="1"/>
        <v>0</v>
      </c>
    </row>
    <row r="30" spans="1:6" ht="25.5" hidden="1">
      <c r="A30" s="310" t="s">
        <v>463</v>
      </c>
      <c r="B30" s="311" t="s">
        <v>373</v>
      </c>
      <c r="C30" s="307"/>
      <c r="D30" s="701">
        <f t="shared" si="0"/>
        <v>0</v>
      </c>
      <c r="E30" s="307"/>
      <c r="F30" s="307">
        <f t="shared" si="1"/>
        <v>0</v>
      </c>
    </row>
    <row r="31" spans="1:6" ht="12.75">
      <c r="A31" s="308" t="s">
        <v>1270</v>
      </c>
      <c r="B31" s="312" t="s">
        <v>1271</v>
      </c>
      <c r="C31" s="304">
        <f>C34</f>
        <v>3900000</v>
      </c>
      <c r="D31" s="701">
        <f t="shared" si="0"/>
        <v>0.008770810037134194</v>
      </c>
      <c r="E31" s="304">
        <f>SUM(E32:E37)</f>
        <v>5667500</v>
      </c>
      <c r="F31" s="304">
        <f t="shared" si="1"/>
        <v>9567500</v>
      </c>
    </row>
    <row r="32" spans="1:6" ht="12.75" hidden="1">
      <c r="A32" s="310" t="s">
        <v>465</v>
      </c>
      <c r="B32" s="311" t="s">
        <v>466</v>
      </c>
      <c r="C32" s="307"/>
      <c r="D32" s="701">
        <f t="shared" si="0"/>
        <v>0</v>
      </c>
      <c r="E32" s="307"/>
      <c r="F32" s="307">
        <f t="shared" si="1"/>
        <v>0</v>
      </c>
    </row>
    <row r="33" spans="1:6" ht="12.75" hidden="1">
      <c r="A33" s="310" t="s">
        <v>467</v>
      </c>
      <c r="B33" s="311" t="s">
        <v>468</v>
      </c>
      <c r="C33" s="307"/>
      <c r="D33" s="701">
        <f t="shared" si="0"/>
        <v>0</v>
      </c>
      <c r="E33" s="307"/>
      <c r="F33" s="307">
        <f t="shared" si="1"/>
        <v>0</v>
      </c>
    </row>
    <row r="34" spans="1:6" ht="12.75">
      <c r="A34" s="676" t="s">
        <v>1272</v>
      </c>
      <c r="B34" s="677" t="s">
        <v>1273</v>
      </c>
      <c r="C34" s="307">
        <f>'Rashodi-2020'!M125</f>
        <v>3900000</v>
      </c>
      <c r="D34" s="1174">
        <f t="shared" si="0"/>
        <v>0.008770810037134194</v>
      </c>
      <c r="E34" s="307">
        <f>'Rashodi-2020'!T125</f>
        <v>5667500</v>
      </c>
      <c r="F34" s="307">
        <f t="shared" si="1"/>
        <v>9567500</v>
      </c>
    </row>
    <row r="35" spans="1:6" ht="12.75" hidden="1">
      <c r="A35" s="310"/>
      <c r="B35" s="311"/>
      <c r="C35" s="307"/>
      <c r="D35" s="701">
        <f t="shared" si="0"/>
        <v>0</v>
      </c>
      <c r="E35" s="307"/>
      <c r="F35" s="307">
        <f t="shared" si="1"/>
        <v>0</v>
      </c>
    </row>
    <row r="36" spans="1:6" ht="12.75">
      <c r="A36" s="308" t="s">
        <v>464</v>
      </c>
      <c r="B36" s="312" t="s">
        <v>374</v>
      </c>
      <c r="C36" s="304">
        <f>SUM(C37:C42)</f>
        <v>1482000</v>
      </c>
      <c r="D36" s="701">
        <f t="shared" si="0"/>
        <v>0.0033329078141109934</v>
      </c>
      <c r="E36" s="304">
        <f>SUM(E37:E42)</f>
        <v>0</v>
      </c>
      <c r="F36" s="304">
        <f t="shared" si="1"/>
        <v>1482000</v>
      </c>
    </row>
    <row r="37" spans="1:6" ht="12.75" hidden="1">
      <c r="A37" s="310" t="s">
        <v>465</v>
      </c>
      <c r="B37" s="311" t="s">
        <v>466</v>
      </c>
      <c r="C37" s="307"/>
      <c r="D37" s="701">
        <f t="shared" si="0"/>
        <v>0</v>
      </c>
      <c r="E37" s="307"/>
      <c r="F37" s="307">
        <f t="shared" si="1"/>
        <v>0</v>
      </c>
    </row>
    <row r="38" spans="1:6" ht="12.75" hidden="1">
      <c r="A38" s="310" t="s">
        <v>467</v>
      </c>
      <c r="B38" s="311" t="s">
        <v>468</v>
      </c>
      <c r="C38" s="307"/>
      <c r="D38" s="701">
        <f t="shared" si="0"/>
        <v>0</v>
      </c>
      <c r="E38" s="307"/>
      <c r="F38" s="307">
        <f t="shared" si="1"/>
        <v>0</v>
      </c>
    </row>
    <row r="39" spans="1:6" ht="12.75">
      <c r="A39" s="310" t="s">
        <v>469</v>
      </c>
      <c r="B39" s="311" t="s">
        <v>470</v>
      </c>
      <c r="C39" s="307">
        <f>'Rashodi-2020'!M33</f>
        <v>1482000</v>
      </c>
      <c r="D39" s="1174">
        <f t="shared" si="0"/>
        <v>0.0033329078141109934</v>
      </c>
      <c r="E39" s="307">
        <f>'Rashodi-2020'!N33+'Rashodi-2020'!O33+'Rashodi-2020'!P33+'Rashodi-2020'!Q33+'Rashodi-2020'!R33+'Rashodi-2020'!S33</f>
        <v>0</v>
      </c>
      <c r="F39" s="307">
        <f t="shared" si="1"/>
        <v>1482000</v>
      </c>
    </row>
    <row r="40" spans="1:6" ht="12.75" hidden="1">
      <c r="A40" s="310" t="s">
        <v>471</v>
      </c>
      <c r="B40" s="311" t="s">
        <v>472</v>
      </c>
      <c r="C40" s="307"/>
      <c r="D40" s="701">
        <f t="shared" si="0"/>
        <v>0</v>
      </c>
      <c r="E40" s="307"/>
      <c r="F40" s="307">
        <f t="shared" si="1"/>
        <v>0</v>
      </c>
    </row>
    <row r="41" spans="1:6" ht="12.75" hidden="1">
      <c r="A41" s="310" t="s">
        <v>473</v>
      </c>
      <c r="B41" s="311" t="s">
        <v>474</v>
      </c>
      <c r="C41" s="307"/>
      <c r="D41" s="701">
        <f t="shared" si="0"/>
        <v>0</v>
      </c>
      <c r="E41" s="307"/>
      <c r="F41" s="307">
        <f t="shared" si="1"/>
        <v>0</v>
      </c>
    </row>
    <row r="42" spans="1:6" ht="25.5" hidden="1">
      <c r="A42" s="310" t="s">
        <v>475</v>
      </c>
      <c r="B42" s="311" t="s">
        <v>476</v>
      </c>
      <c r="C42" s="307"/>
      <c r="D42" s="701">
        <f t="shared" si="0"/>
        <v>0</v>
      </c>
      <c r="E42" s="307"/>
      <c r="F42" s="307">
        <f t="shared" si="1"/>
        <v>0</v>
      </c>
    </row>
    <row r="43" spans="1:6" ht="12.75">
      <c r="A43" s="308" t="s">
        <v>477</v>
      </c>
      <c r="B43" s="309" t="s">
        <v>375</v>
      </c>
      <c r="C43" s="304">
        <f>SUM(C44:C82)</f>
        <v>25350000</v>
      </c>
      <c r="D43" s="701">
        <f t="shared" si="0"/>
        <v>0.05701026524137225</v>
      </c>
      <c r="E43" s="304">
        <f>SUM(E44:E82)</f>
        <v>155338375.1</v>
      </c>
      <c r="F43" s="304">
        <f t="shared" si="1"/>
        <v>180688375.1</v>
      </c>
    </row>
    <row r="44" spans="1:6" ht="25.5" hidden="1">
      <c r="A44" s="310" t="s">
        <v>411</v>
      </c>
      <c r="B44" s="313" t="s">
        <v>478</v>
      </c>
      <c r="C44" s="307"/>
      <c r="D44" s="701">
        <f t="shared" si="0"/>
        <v>0</v>
      </c>
      <c r="E44" s="307"/>
      <c r="F44" s="307">
        <f t="shared" si="1"/>
        <v>0</v>
      </c>
    </row>
    <row r="45" spans="1:6" ht="12.75" hidden="1">
      <c r="A45" s="310" t="s">
        <v>479</v>
      </c>
      <c r="B45" s="313" t="s">
        <v>376</v>
      </c>
      <c r="C45" s="307"/>
      <c r="D45" s="701">
        <f t="shared" si="0"/>
        <v>0</v>
      </c>
      <c r="E45" s="307"/>
      <c r="F45" s="307">
        <f t="shared" si="1"/>
        <v>0</v>
      </c>
    </row>
    <row r="46" spans="1:6" ht="12.75">
      <c r="A46" s="310" t="s">
        <v>480</v>
      </c>
      <c r="B46" s="313" t="s">
        <v>377</v>
      </c>
      <c r="C46" s="307">
        <f>'Rashodi-2020'!M361</f>
        <v>1500000</v>
      </c>
      <c r="D46" s="1174">
        <f t="shared" si="0"/>
        <v>0.0033733884758208434</v>
      </c>
      <c r="E46" s="307">
        <f>'Rashodi-2020'!T361</f>
        <v>0</v>
      </c>
      <c r="F46" s="307">
        <f t="shared" si="1"/>
        <v>1500000</v>
      </c>
    </row>
    <row r="47" spans="1:6" ht="12.75">
      <c r="A47" s="310" t="s">
        <v>412</v>
      </c>
      <c r="B47" s="311" t="s">
        <v>481</v>
      </c>
      <c r="C47" s="307">
        <f>'Rashodi-2020'!M272</f>
        <v>8000000</v>
      </c>
      <c r="D47" s="1174">
        <f t="shared" si="0"/>
        <v>0.017991405204377833</v>
      </c>
      <c r="E47" s="307">
        <f>'Rashodi-2020'!T272</f>
        <v>73600000</v>
      </c>
      <c r="F47" s="307">
        <f t="shared" si="1"/>
        <v>81600000</v>
      </c>
    </row>
    <row r="48" spans="1:6" ht="12.75" hidden="1">
      <c r="A48" s="310" t="s">
        <v>413</v>
      </c>
      <c r="B48" s="311" t="s">
        <v>378</v>
      </c>
      <c r="C48" s="307"/>
      <c r="D48" s="1174">
        <f t="shared" si="0"/>
        <v>0</v>
      </c>
      <c r="E48" s="307"/>
      <c r="F48" s="307">
        <f t="shared" si="1"/>
        <v>0</v>
      </c>
    </row>
    <row r="49" spans="1:6" ht="12.75" hidden="1">
      <c r="A49" s="310" t="s">
        <v>482</v>
      </c>
      <c r="B49" s="311" t="s">
        <v>379</v>
      </c>
      <c r="C49" s="307"/>
      <c r="D49" s="1174">
        <f t="shared" si="0"/>
        <v>0</v>
      </c>
      <c r="E49" s="307"/>
      <c r="F49" s="307">
        <f t="shared" si="1"/>
        <v>0</v>
      </c>
    </row>
    <row r="50" spans="1:6" ht="12.75" hidden="1">
      <c r="A50" s="310" t="s">
        <v>311</v>
      </c>
      <c r="B50" s="311" t="s">
        <v>380</v>
      </c>
      <c r="C50" s="307"/>
      <c r="D50" s="1174">
        <f t="shared" si="0"/>
        <v>0</v>
      </c>
      <c r="E50" s="307"/>
      <c r="F50" s="307">
        <f t="shared" si="1"/>
        <v>0</v>
      </c>
    </row>
    <row r="51" spans="1:6" ht="12.75" hidden="1">
      <c r="A51" s="310" t="s">
        <v>414</v>
      </c>
      <c r="B51" s="311" t="s">
        <v>483</v>
      </c>
      <c r="C51" s="307"/>
      <c r="D51" s="1174">
        <f t="shared" si="0"/>
        <v>0</v>
      </c>
      <c r="E51" s="307"/>
      <c r="F51" s="307">
        <f t="shared" si="1"/>
        <v>0</v>
      </c>
    </row>
    <row r="52" spans="1:6" ht="12.75" hidden="1">
      <c r="A52" s="310" t="s">
        <v>484</v>
      </c>
      <c r="B52" s="311" t="s">
        <v>381</v>
      </c>
      <c r="C52" s="307"/>
      <c r="D52" s="1174">
        <f t="shared" si="0"/>
        <v>0</v>
      </c>
      <c r="E52" s="307"/>
      <c r="F52" s="307">
        <f t="shared" si="1"/>
        <v>0</v>
      </c>
    </row>
    <row r="53" spans="1:6" ht="12.75" hidden="1">
      <c r="A53" s="310" t="s">
        <v>485</v>
      </c>
      <c r="B53" s="311" t="s">
        <v>382</v>
      </c>
      <c r="C53" s="307"/>
      <c r="D53" s="1174">
        <f t="shared" si="0"/>
        <v>0</v>
      </c>
      <c r="E53" s="307"/>
      <c r="F53" s="307">
        <f t="shared" si="1"/>
        <v>0</v>
      </c>
    </row>
    <row r="54" spans="1:6" ht="12.75" hidden="1">
      <c r="A54" s="310" t="s">
        <v>486</v>
      </c>
      <c r="B54" s="311" t="s">
        <v>383</v>
      </c>
      <c r="C54" s="307"/>
      <c r="D54" s="1174">
        <f t="shared" si="0"/>
        <v>0</v>
      </c>
      <c r="E54" s="307"/>
      <c r="F54" s="307">
        <f t="shared" si="1"/>
        <v>0</v>
      </c>
    </row>
    <row r="55" spans="1:6" ht="12.75" hidden="1">
      <c r="A55" s="310" t="s">
        <v>487</v>
      </c>
      <c r="B55" s="311" t="s">
        <v>384</v>
      </c>
      <c r="C55" s="307"/>
      <c r="D55" s="1174">
        <f t="shared" si="0"/>
        <v>0</v>
      </c>
      <c r="E55" s="307"/>
      <c r="F55" s="307">
        <f t="shared" si="1"/>
        <v>0</v>
      </c>
    </row>
    <row r="56" spans="1:6" ht="12.75" hidden="1">
      <c r="A56" s="310" t="s">
        <v>488</v>
      </c>
      <c r="B56" s="311" t="s">
        <v>385</v>
      </c>
      <c r="C56" s="307"/>
      <c r="D56" s="1174">
        <f t="shared" si="0"/>
        <v>0</v>
      </c>
      <c r="E56" s="307"/>
      <c r="F56" s="307">
        <f t="shared" si="1"/>
        <v>0</v>
      </c>
    </row>
    <row r="57" spans="1:6" ht="12.75" hidden="1">
      <c r="A57" s="310" t="s">
        <v>489</v>
      </c>
      <c r="B57" s="311" t="s">
        <v>386</v>
      </c>
      <c r="C57" s="307"/>
      <c r="D57" s="1174">
        <f t="shared" si="0"/>
        <v>0</v>
      </c>
      <c r="E57" s="307"/>
      <c r="F57" s="307">
        <f t="shared" si="1"/>
        <v>0</v>
      </c>
    </row>
    <row r="58" spans="1:6" ht="12.75" hidden="1">
      <c r="A58" s="310" t="s">
        <v>415</v>
      </c>
      <c r="B58" s="311" t="s">
        <v>490</v>
      </c>
      <c r="C58" s="307"/>
      <c r="D58" s="1174">
        <f t="shared" si="0"/>
        <v>0</v>
      </c>
      <c r="E58" s="307"/>
      <c r="F58" s="307">
        <f t="shared" si="1"/>
        <v>0</v>
      </c>
    </row>
    <row r="59" spans="1:6" ht="25.5" hidden="1">
      <c r="A59" s="310" t="s">
        <v>491</v>
      </c>
      <c r="B59" s="311" t="s">
        <v>387</v>
      </c>
      <c r="C59" s="307"/>
      <c r="D59" s="1174">
        <f t="shared" si="0"/>
        <v>0</v>
      </c>
      <c r="E59" s="307"/>
      <c r="F59" s="307">
        <f t="shared" si="1"/>
        <v>0</v>
      </c>
    </row>
    <row r="60" spans="1:6" ht="12.75" hidden="1">
      <c r="A60" s="310" t="s">
        <v>492</v>
      </c>
      <c r="B60" s="311" t="s">
        <v>388</v>
      </c>
      <c r="C60" s="307"/>
      <c r="D60" s="1174">
        <f t="shared" si="0"/>
        <v>0</v>
      </c>
      <c r="E60" s="307"/>
      <c r="F60" s="307">
        <f t="shared" si="1"/>
        <v>0</v>
      </c>
    </row>
    <row r="61" spans="1:6" ht="12.75" hidden="1">
      <c r="A61" s="310" t="s">
        <v>493</v>
      </c>
      <c r="B61" s="311" t="s">
        <v>389</v>
      </c>
      <c r="C61" s="307"/>
      <c r="D61" s="1174">
        <f t="shared" si="0"/>
        <v>0</v>
      </c>
      <c r="E61" s="307"/>
      <c r="F61" s="307">
        <f t="shared" si="1"/>
        <v>0</v>
      </c>
    </row>
    <row r="62" spans="1:6" ht="12.75" hidden="1">
      <c r="A62" s="310" t="s">
        <v>416</v>
      </c>
      <c r="B62" s="311" t="s">
        <v>494</v>
      </c>
      <c r="C62" s="307"/>
      <c r="D62" s="1174">
        <f t="shared" si="0"/>
        <v>0</v>
      </c>
      <c r="E62" s="307"/>
      <c r="F62" s="307">
        <f t="shared" si="1"/>
        <v>0</v>
      </c>
    </row>
    <row r="63" spans="1:6" ht="12.75">
      <c r="A63" s="305" t="s">
        <v>495</v>
      </c>
      <c r="B63" s="311" t="s">
        <v>390</v>
      </c>
      <c r="C63" s="307">
        <f>'Rashodi-2020'!M365+'Rashodi-2020'!M120</f>
        <v>13940000</v>
      </c>
      <c r="D63" s="1174">
        <f t="shared" si="0"/>
        <v>0.03135002356862837</v>
      </c>
      <c r="E63" s="307">
        <f>'Rashodi-2020'!T120+'Rashodi-2020'!T365</f>
        <v>81738375.1</v>
      </c>
      <c r="F63" s="307">
        <f t="shared" si="1"/>
        <v>95678375.1</v>
      </c>
    </row>
    <row r="64" spans="1:6" ht="12.75" hidden="1">
      <c r="A64" s="305" t="s">
        <v>424</v>
      </c>
      <c r="B64" s="311" t="s">
        <v>391</v>
      </c>
      <c r="C64" s="307"/>
      <c r="D64" s="1174">
        <f t="shared" si="0"/>
        <v>0</v>
      </c>
      <c r="E64" s="307"/>
      <c r="F64" s="307">
        <f t="shared" si="1"/>
        <v>0</v>
      </c>
    </row>
    <row r="65" spans="1:6" ht="12.75" hidden="1">
      <c r="A65" s="305" t="s">
        <v>496</v>
      </c>
      <c r="B65" s="311" t="s">
        <v>392</v>
      </c>
      <c r="C65" s="307"/>
      <c r="D65" s="1174">
        <f t="shared" si="0"/>
        <v>0</v>
      </c>
      <c r="E65" s="307"/>
      <c r="F65" s="307">
        <f t="shared" si="1"/>
        <v>0</v>
      </c>
    </row>
    <row r="66" spans="1:6" ht="12.75" hidden="1">
      <c r="A66" s="305" t="s">
        <v>497</v>
      </c>
      <c r="B66" s="311" t="s">
        <v>393</v>
      </c>
      <c r="C66" s="307"/>
      <c r="D66" s="1174">
        <f t="shared" si="0"/>
        <v>0</v>
      </c>
      <c r="E66" s="307"/>
      <c r="F66" s="307">
        <f t="shared" si="1"/>
        <v>0</v>
      </c>
    </row>
    <row r="67" spans="1:6" ht="12.75" hidden="1">
      <c r="A67" s="305" t="s">
        <v>498</v>
      </c>
      <c r="B67" s="311" t="s">
        <v>394</v>
      </c>
      <c r="C67" s="307"/>
      <c r="D67" s="1174">
        <f t="shared" si="0"/>
        <v>0</v>
      </c>
      <c r="E67" s="307"/>
      <c r="F67" s="307">
        <f t="shared" si="1"/>
        <v>0</v>
      </c>
    </row>
    <row r="68" spans="1:6" ht="12.75" hidden="1">
      <c r="A68" s="310" t="s">
        <v>417</v>
      </c>
      <c r="B68" s="311" t="s">
        <v>499</v>
      </c>
      <c r="C68" s="307"/>
      <c r="D68" s="1174">
        <f t="shared" si="0"/>
        <v>0</v>
      </c>
      <c r="E68" s="307"/>
      <c r="F68" s="307">
        <f t="shared" si="1"/>
        <v>0</v>
      </c>
    </row>
    <row r="69" spans="1:6" ht="12.75" hidden="1">
      <c r="A69" s="310" t="s">
        <v>418</v>
      </c>
      <c r="B69" s="311" t="s">
        <v>500</v>
      </c>
      <c r="C69" s="307"/>
      <c r="D69" s="1174">
        <f aca="true" t="shared" si="2" ref="D69:D132">C69/444656763</f>
        <v>0</v>
      </c>
      <c r="E69" s="307"/>
      <c r="F69" s="307">
        <f t="shared" si="1"/>
        <v>0</v>
      </c>
    </row>
    <row r="70" spans="1:6" ht="12.75" hidden="1">
      <c r="A70" s="310" t="s">
        <v>501</v>
      </c>
      <c r="B70" s="311" t="s">
        <v>395</v>
      </c>
      <c r="C70" s="307"/>
      <c r="D70" s="1174">
        <f t="shared" si="2"/>
        <v>0</v>
      </c>
      <c r="E70" s="307"/>
      <c r="F70" s="307">
        <f t="shared" si="1"/>
        <v>0</v>
      </c>
    </row>
    <row r="71" spans="1:6" ht="12.75" hidden="1">
      <c r="A71" s="310" t="s">
        <v>502</v>
      </c>
      <c r="B71" s="311" t="s">
        <v>396</v>
      </c>
      <c r="C71" s="307"/>
      <c r="D71" s="1174">
        <f t="shared" si="2"/>
        <v>0</v>
      </c>
      <c r="E71" s="307"/>
      <c r="F71" s="307">
        <f t="shared" si="1"/>
        <v>0</v>
      </c>
    </row>
    <row r="72" spans="1:6" ht="12.75" hidden="1">
      <c r="A72" s="310" t="s">
        <v>503</v>
      </c>
      <c r="B72" s="311" t="s">
        <v>397</v>
      </c>
      <c r="C72" s="307"/>
      <c r="D72" s="1174">
        <f t="shared" si="2"/>
        <v>0</v>
      </c>
      <c r="E72" s="307"/>
      <c r="F72" s="307">
        <f aca="true" t="shared" si="3" ref="F72:F134">C72+E72</f>
        <v>0</v>
      </c>
    </row>
    <row r="73" spans="1:6" ht="12.75" hidden="1">
      <c r="A73" s="310" t="s">
        <v>504</v>
      </c>
      <c r="B73" s="311" t="s">
        <v>398</v>
      </c>
      <c r="C73" s="307"/>
      <c r="D73" s="1174">
        <f t="shared" si="2"/>
        <v>0</v>
      </c>
      <c r="E73" s="307"/>
      <c r="F73" s="307">
        <f t="shared" si="3"/>
        <v>0</v>
      </c>
    </row>
    <row r="74" spans="1:6" ht="12.75" hidden="1">
      <c r="A74" s="310" t="s">
        <v>419</v>
      </c>
      <c r="B74" s="311" t="s">
        <v>505</v>
      </c>
      <c r="C74" s="307"/>
      <c r="D74" s="1174">
        <f t="shared" si="2"/>
        <v>0</v>
      </c>
      <c r="E74" s="307"/>
      <c r="F74" s="307">
        <f t="shared" si="3"/>
        <v>0</v>
      </c>
    </row>
    <row r="75" spans="1:6" ht="25.5" hidden="1">
      <c r="A75" s="310" t="s">
        <v>506</v>
      </c>
      <c r="B75" s="311" t="s">
        <v>399</v>
      </c>
      <c r="C75" s="307"/>
      <c r="D75" s="1174">
        <f t="shared" si="2"/>
        <v>0</v>
      </c>
      <c r="E75" s="307"/>
      <c r="F75" s="307">
        <f t="shared" si="3"/>
        <v>0</v>
      </c>
    </row>
    <row r="76" spans="1:6" ht="25.5" hidden="1">
      <c r="A76" s="310" t="s">
        <v>507</v>
      </c>
      <c r="B76" s="311" t="s">
        <v>400</v>
      </c>
      <c r="C76" s="307"/>
      <c r="D76" s="1174">
        <f t="shared" si="2"/>
        <v>0</v>
      </c>
      <c r="E76" s="307"/>
      <c r="F76" s="307">
        <f t="shared" si="3"/>
        <v>0</v>
      </c>
    </row>
    <row r="77" spans="1:6" ht="12.75" hidden="1">
      <c r="A77" s="310" t="s">
        <v>508</v>
      </c>
      <c r="B77" s="311" t="s">
        <v>401</v>
      </c>
      <c r="C77" s="307"/>
      <c r="D77" s="1174">
        <f t="shared" si="2"/>
        <v>0</v>
      </c>
      <c r="E77" s="307"/>
      <c r="F77" s="307">
        <f t="shared" si="3"/>
        <v>0</v>
      </c>
    </row>
    <row r="78" spans="1:6" ht="25.5" hidden="1">
      <c r="A78" s="310" t="s">
        <v>509</v>
      </c>
      <c r="B78" s="311" t="s">
        <v>402</v>
      </c>
      <c r="C78" s="307"/>
      <c r="D78" s="1174">
        <f t="shared" si="2"/>
        <v>0</v>
      </c>
      <c r="E78" s="307"/>
      <c r="F78" s="307">
        <f t="shared" si="3"/>
        <v>0</v>
      </c>
    </row>
    <row r="79" spans="1:6" ht="12.75" hidden="1">
      <c r="A79" s="310" t="s">
        <v>510</v>
      </c>
      <c r="B79" s="311" t="s">
        <v>403</v>
      </c>
      <c r="C79" s="307"/>
      <c r="D79" s="1174">
        <f t="shared" si="2"/>
        <v>0</v>
      </c>
      <c r="E79" s="307"/>
      <c r="F79" s="307">
        <f t="shared" si="3"/>
        <v>0</v>
      </c>
    </row>
    <row r="80" spans="1:6" ht="12.75" hidden="1">
      <c r="A80" s="310" t="s">
        <v>511</v>
      </c>
      <c r="B80" s="311" t="s">
        <v>404</v>
      </c>
      <c r="C80" s="307"/>
      <c r="D80" s="1174">
        <f t="shared" si="2"/>
        <v>0</v>
      </c>
      <c r="E80" s="307"/>
      <c r="F80" s="307">
        <f t="shared" si="3"/>
        <v>0</v>
      </c>
    </row>
    <row r="81" spans="1:6" ht="12.75" hidden="1">
      <c r="A81" s="310" t="s">
        <v>512</v>
      </c>
      <c r="B81" s="311" t="s">
        <v>405</v>
      </c>
      <c r="C81" s="307"/>
      <c r="D81" s="1174">
        <f t="shared" si="2"/>
        <v>0</v>
      </c>
      <c r="E81" s="307"/>
      <c r="F81" s="307">
        <f t="shared" si="3"/>
        <v>0</v>
      </c>
    </row>
    <row r="82" spans="1:6" ht="25.5">
      <c r="A82" s="310" t="s">
        <v>513</v>
      </c>
      <c r="B82" s="311" t="s">
        <v>406</v>
      </c>
      <c r="C82" s="307">
        <f>'Rashodi-2020'!M347+'Rashodi-2020'!M358</f>
        <v>1910000</v>
      </c>
      <c r="D82" s="1174">
        <f t="shared" si="2"/>
        <v>0.0042954479925452075</v>
      </c>
      <c r="E82" s="307">
        <f>'Rashodi-2020'!T347+'Rashodi-2020'!T358</f>
        <v>0</v>
      </c>
      <c r="F82" s="307">
        <f t="shared" si="3"/>
        <v>1910000</v>
      </c>
    </row>
    <row r="83" spans="1:6" ht="12.75">
      <c r="A83" s="308" t="s">
        <v>514</v>
      </c>
      <c r="B83" s="312" t="s">
        <v>407</v>
      </c>
      <c r="C83" s="304">
        <f>SUM(C84:C89)</f>
        <v>37800000</v>
      </c>
      <c r="D83" s="701">
        <f t="shared" si="2"/>
        <v>0.08500938959068526</v>
      </c>
      <c r="E83" s="304">
        <f>SUM(E84:E89)</f>
        <v>7243000</v>
      </c>
      <c r="F83" s="304">
        <f t="shared" si="3"/>
        <v>45043000</v>
      </c>
    </row>
    <row r="84" spans="1:6" ht="12.75">
      <c r="A84" s="310" t="s">
        <v>420</v>
      </c>
      <c r="B84" s="311" t="s">
        <v>515</v>
      </c>
      <c r="C84" s="307">
        <f>'Rashodi-2020'!M289</f>
        <v>8850000</v>
      </c>
      <c r="D84" s="1174">
        <f t="shared" si="2"/>
        <v>0.019902992007342975</v>
      </c>
      <c r="E84" s="307">
        <f>'Rashodi-2020'!T289</f>
        <v>0</v>
      </c>
      <c r="F84" s="307">
        <f t="shared" si="3"/>
        <v>8850000</v>
      </c>
    </row>
    <row r="85" spans="1:6" ht="12.75">
      <c r="A85" s="676" t="s">
        <v>1372</v>
      </c>
      <c r="B85" s="677" t="s">
        <v>1373</v>
      </c>
      <c r="C85" s="307">
        <f>'Rashodi-2020'!M300</f>
        <v>500000</v>
      </c>
      <c r="D85" s="1174">
        <f t="shared" si="2"/>
        <v>0.0011244628252736145</v>
      </c>
      <c r="E85" s="307">
        <f>'Rashodi-2020'!N300+'Rashodi-2020'!O300+'Rashodi-2020'!P300+'Rashodi-2020'!Q300+'Rashodi-2020'!S300</f>
        <v>0</v>
      </c>
      <c r="F85" s="307">
        <f t="shared" si="3"/>
        <v>500000</v>
      </c>
    </row>
    <row r="86" spans="1:6" ht="12.75">
      <c r="A86" s="310" t="s">
        <v>516</v>
      </c>
      <c r="B86" s="311" t="s">
        <v>517</v>
      </c>
      <c r="C86" s="307"/>
      <c r="D86" s="1174">
        <f t="shared" si="2"/>
        <v>0</v>
      </c>
      <c r="E86" s="307"/>
      <c r="F86" s="307">
        <f t="shared" si="3"/>
        <v>0</v>
      </c>
    </row>
    <row r="87" spans="1:6" ht="12.75">
      <c r="A87" s="310" t="s">
        <v>421</v>
      </c>
      <c r="B87" s="311" t="s">
        <v>518</v>
      </c>
      <c r="C87" s="307">
        <f>'Rashodi-2020'!M308+'Rashodi-2020'!M323</f>
        <v>24650000</v>
      </c>
      <c r="D87" s="1174">
        <f t="shared" si="2"/>
        <v>0.055436017285989195</v>
      </c>
      <c r="E87" s="307">
        <f>'Rashodi-2020'!T323+'Rashodi-2020'!T308</f>
        <v>7000000</v>
      </c>
      <c r="F87" s="307">
        <f t="shared" si="3"/>
        <v>31650000</v>
      </c>
    </row>
    <row r="88" spans="1:6" ht="12.75" hidden="1">
      <c r="A88" s="310" t="s">
        <v>519</v>
      </c>
      <c r="B88" s="311" t="s">
        <v>520</v>
      </c>
      <c r="C88" s="307"/>
      <c r="D88" s="1174">
        <f t="shared" si="2"/>
        <v>0</v>
      </c>
      <c r="E88" s="307"/>
      <c r="F88" s="307">
        <f t="shared" si="3"/>
        <v>0</v>
      </c>
    </row>
    <row r="89" spans="1:6" ht="25.5">
      <c r="A89" s="310" t="s">
        <v>521</v>
      </c>
      <c r="B89" s="311" t="s">
        <v>338</v>
      </c>
      <c r="C89" s="307">
        <f>'Rashodi-2020'!M294</f>
        <v>3800000</v>
      </c>
      <c r="D89" s="1174">
        <f t="shared" si="2"/>
        <v>0.00854591747207947</v>
      </c>
      <c r="E89" s="307">
        <f>'Rashodi-2020'!T294</f>
        <v>243000</v>
      </c>
      <c r="F89" s="307">
        <f t="shared" si="3"/>
        <v>4043000</v>
      </c>
    </row>
    <row r="90" spans="1:6" ht="12.75">
      <c r="A90" s="782" t="s">
        <v>522</v>
      </c>
      <c r="B90" s="783" t="s">
        <v>523</v>
      </c>
      <c r="C90" s="781">
        <f>C91+C92+C93+C94</f>
        <v>37128000</v>
      </c>
      <c r="D90" s="701">
        <f t="shared" si="2"/>
        <v>0.08349811155351751</v>
      </c>
      <c r="E90" s="781">
        <f>SUM(E91:E95)</f>
        <v>87760000</v>
      </c>
      <c r="F90" s="781">
        <f t="shared" si="3"/>
        <v>124888000</v>
      </c>
    </row>
    <row r="91" spans="1:6" ht="12.75">
      <c r="A91" s="310" t="s">
        <v>422</v>
      </c>
      <c r="B91" s="311" t="s">
        <v>524</v>
      </c>
      <c r="C91" s="307">
        <f>'Rashodi-2020'!M350</f>
        <v>1133000</v>
      </c>
      <c r="D91" s="1174">
        <f t="shared" si="2"/>
        <v>0.0025480327620700104</v>
      </c>
      <c r="E91" s="307">
        <f>'Rashodi-2020'!T350</f>
        <v>100000</v>
      </c>
      <c r="F91" s="307">
        <f t="shared" si="3"/>
        <v>1233000</v>
      </c>
    </row>
    <row r="92" spans="1:6" ht="12.75">
      <c r="A92" s="310" t="s">
        <v>423</v>
      </c>
      <c r="B92" s="311" t="s">
        <v>525</v>
      </c>
      <c r="C92" s="307">
        <f>'Rashodi-2020'!M343+'Rashodi-2020'!M335+'Rashodi-2020'!M332+'Rashodi-2020'!M328+'Rashodi-2020'!M285+'Rashodi-2020'!M355</f>
        <v>17503000</v>
      </c>
      <c r="D92" s="1174">
        <f t="shared" si="2"/>
        <v>0.03936294566152815</v>
      </c>
      <c r="E92" s="307">
        <f>'Rashodi-2020'!T285+'Rashodi-2020'!T328+'Rashodi-2020'!T332+'Rashodi-2020'!T335+'Rashodi-2020'!T343+'Rashodi-2020'!T355</f>
        <v>41700000</v>
      </c>
      <c r="F92" s="307">
        <f t="shared" si="3"/>
        <v>59203000</v>
      </c>
    </row>
    <row r="93" spans="1:6" ht="12.75">
      <c r="A93" s="310" t="s">
        <v>526</v>
      </c>
      <c r="B93" s="311" t="s">
        <v>527</v>
      </c>
      <c r="C93" s="307">
        <f>'Rashodi-2020'!M314</f>
        <v>9642000</v>
      </c>
      <c r="D93" s="1174">
        <f t="shared" si="2"/>
        <v>0.02168414112257638</v>
      </c>
      <c r="E93" s="307">
        <f>'Rashodi-2020'!T314</f>
        <v>45260000</v>
      </c>
      <c r="F93" s="307">
        <f t="shared" si="3"/>
        <v>54902000</v>
      </c>
    </row>
    <row r="94" spans="1:6" ht="12.75">
      <c r="A94" s="310" t="s">
        <v>528</v>
      </c>
      <c r="B94" s="311" t="s">
        <v>529</v>
      </c>
      <c r="C94" s="307">
        <f>'Rashodi-2020'!M304</f>
        <v>8850000</v>
      </c>
      <c r="D94" s="1174">
        <f t="shared" si="2"/>
        <v>0.019902992007342975</v>
      </c>
      <c r="E94" s="307">
        <f>'Rashodi-2020'!T304</f>
        <v>700000</v>
      </c>
      <c r="F94" s="307">
        <f t="shared" si="3"/>
        <v>9550000</v>
      </c>
    </row>
    <row r="95" spans="1:6" ht="25.5" hidden="1">
      <c r="A95" s="310" t="s">
        <v>530</v>
      </c>
      <c r="B95" s="311" t="s">
        <v>531</v>
      </c>
      <c r="C95" s="307"/>
      <c r="D95" s="701">
        <f t="shared" si="2"/>
        <v>0</v>
      </c>
      <c r="E95" s="307"/>
      <c r="F95" s="307">
        <f t="shared" si="3"/>
        <v>0</v>
      </c>
    </row>
    <row r="96" spans="1:6" ht="12.75">
      <c r="A96" s="314">
        <v>700</v>
      </c>
      <c r="B96" s="315" t="s">
        <v>339</v>
      </c>
      <c r="C96" s="316">
        <f>SUM(C97:C113)</f>
        <v>20561897</v>
      </c>
      <c r="D96" s="701">
        <f t="shared" si="2"/>
        <v>0.046242177587210116</v>
      </c>
      <c r="E96" s="316">
        <f>SUM(E97:E113)</f>
        <v>0</v>
      </c>
      <c r="F96" s="316">
        <f t="shared" si="3"/>
        <v>20561897</v>
      </c>
    </row>
    <row r="97" spans="1:6" ht="12.75" hidden="1">
      <c r="A97" s="310" t="s">
        <v>532</v>
      </c>
      <c r="B97" s="311" t="s">
        <v>533</v>
      </c>
      <c r="C97" s="307"/>
      <c r="D97" s="701">
        <f t="shared" si="2"/>
        <v>0</v>
      </c>
      <c r="E97" s="307"/>
      <c r="F97" s="307">
        <f t="shared" si="3"/>
        <v>0</v>
      </c>
    </row>
    <row r="98" spans="1:6" ht="12.75" hidden="1">
      <c r="A98" s="310" t="s">
        <v>534</v>
      </c>
      <c r="B98" s="311" t="s">
        <v>340</v>
      </c>
      <c r="C98" s="307"/>
      <c r="D98" s="701">
        <f t="shared" si="2"/>
        <v>0</v>
      </c>
      <c r="E98" s="307"/>
      <c r="F98" s="307">
        <f t="shared" si="3"/>
        <v>0</v>
      </c>
    </row>
    <row r="99" spans="1:6" ht="12.75" hidden="1">
      <c r="A99" s="310" t="s">
        <v>535</v>
      </c>
      <c r="B99" s="311" t="s">
        <v>341</v>
      </c>
      <c r="C99" s="307"/>
      <c r="D99" s="701">
        <f t="shared" si="2"/>
        <v>0</v>
      </c>
      <c r="E99" s="307"/>
      <c r="F99" s="307">
        <f t="shared" si="3"/>
        <v>0</v>
      </c>
    </row>
    <row r="100" spans="1:6" ht="12.75" hidden="1">
      <c r="A100" s="310" t="s">
        <v>536</v>
      </c>
      <c r="B100" s="311" t="s">
        <v>342</v>
      </c>
      <c r="C100" s="307"/>
      <c r="D100" s="701">
        <f t="shared" si="2"/>
        <v>0</v>
      </c>
      <c r="E100" s="307"/>
      <c r="F100" s="307">
        <f t="shared" si="3"/>
        <v>0</v>
      </c>
    </row>
    <row r="101" spans="1:6" ht="12.75" hidden="1">
      <c r="A101" s="310" t="s">
        <v>537</v>
      </c>
      <c r="B101" s="311" t="s">
        <v>538</v>
      </c>
      <c r="C101" s="307"/>
      <c r="D101" s="701">
        <f t="shared" si="2"/>
        <v>0</v>
      </c>
      <c r="E101" s="307"/>
      <c r="F101" s="307">
        <f t="shared" si="3"/>
        <v>0</v>
      </c>
    </row>
    <row r="102" spans="1:6" ht="12.75">
      <c r="A102" s="310" t="s">
        <v>539</v>
      </c>
      <c r="B102" s="311" t="s">
        <v>343</v>
      </c>
      <c r="C102" s="307">
        <f>'Rashodi-2020'!M268</f>
        <v>200000</v>
      </c>
      <c r="D102" s="1174">
        <f t="shared" si="2"/>
        <v>0.0004497851301094458</v>
      </c>
      <c r="E102" s="307">
        <f>'Rashodi-2020'!T268</f>
        <v>0</v>
      </c>
      <c r="F102" s="307">
        <f t="shared" si="3"/>
        <v>200000</v>
      </c>
    </row>
    <row r="103" spans="1:6" ht="12.75" hidden="1">
      <c r="A103" s="310" t="s">
        <v>540</v>
      </c>
      <c r="B103" s="311" t="s">
        <v>344</v>
      </c>
      <c r="C103" s="307"/>
      <c r="D103" s="1174">
        <f t="shared" si="2"/>
        <v>0</v>
      </c>
      <c r="E103" s="307"/>
      <c r="F103" s="307">
        <f t="shared" si="3"/>
        <v>0</v>
      </c>
    </row>
    <row r="104" spans="1:6" ht="12.75" hidden="1">
      <c r="A104" s="310" t="s">
        <v>541</v>
      </c>
      <c r="B104" s="311" t="s">
        <v>345</v>
      </c>
      <c r="C104" s="307"/>
      <c r="D104" s="1174">
        <f t="shared" si="2"/>
        <v>0</v>
      </c>
      <c r="E104" s="307"/>
      <c r="F104" s="307">
        <f t="shared" si="3"/>
        <v>0</v>
      </c>
    </row>
    <row r="105" spans="1:6" ht="12.75" hidden="1">
      <c r="A105" s="310" t="s">
        <v>542</v>
      </c>
      <c r="B105" s="311" t="s">
        <v>346</v>
      </c>
      <c r="C105" s="307"/>
      <c r="D105" s="1174">
        <f t="shared" si="2"/>
        <v>0</v>
      </c>
      <c r="E105" s="307"/>
      <c r="F105" s="307">
        <f t="shared" si="3"/>
        <v>0</v>
      </c>
    </row>
    <row r="106" spans="1:6" ht="12.75" hidden="1">
      <c r="A106" s="310" t="s">
        <v>543</v>
      </c>
      <c r="B106" s="311" t="s">
        <v>544</v>
      </c>
      <c r="C106" s="307"/>
      <c r="D106" s="1174">
        <f t="shared" si="2"/>
        <v>0</v>
      </c>
      <c r="E106" s="307"/>
      <c r="F106" s="307">
        <f t="shared" si="3"/>
        <v>0</v>
      </c>
    </row>
    <row r="107" spans="1:6" ht="12.75" hidden="1">
      <c r="A107" s="310" t="s">
        <v>545</v>
      </c>
      <c r="B107" s="311" t="s">
        <v>347</v>
      </c>
      <c r="C107" s="307"/>
      <c r="D107" s="1174">
        <f t="shared" si="2"/>
        <v>0</v>
      </c>
      <c r="E107" s="307"/>
      <c r="F107" s="307">
        <f t="shared" si="3"/>
        <v>0</v>
      </c>
    </row>
    <row r="108" spans="1:6" ht="12.75" hidden="1">
      <c r="A108" s="310" t="s">
        <v>546</v>
      </c>
      <c r="B108" s="311" t="s">
        <v>348</v>
      </c>
      <c r="C108" s="307"/>
      <c r="D108" s="1174">
        <f t="shared" si="2"/>
        <v>0</v>
      </c>
      <c r="E108" s="307"/>
      <c r="F108" s="307">
        <f t="shared" si="3"/>
        <v>0</v>
      </c>
    </row>
    <row r="109" spans="1:6" ht="12.75" hidden="1">
      <c r="A109" s="310" t="s">
        <v>547</v>
      </c>
      <c r="B109" s="311" t="s">
        <v>349</v>
      </c>
      <c r="C109" s="307"/>
      <c r="D109" s="1174">
        <f t="shared" si="2"/>
        <v>0</v>
      </c>
      <c r="E109" s="307"/>
      <c r="F109" s="307">
        <f t="shared" si="3"/>
        <v>0</v>
      </c>
    </row>
    <row r="110" spans="1:6" ht="12.75" hidden="1">
      <c r="A110" s="310" t="s">
        <v>548</v>
      </c>
      <c r="B110" s="311" t="s">
        <v>549</v>
      </c>
      <c r="C110" s="307"/>
      <c r="D110" s="1174">
        <f t="shared" si="2"/>
        <v>0</v>
      </c>
      <c r="E110" s="307"/>
      <c r="F110" s="307">
        <f t="shared" si="3"/>
        <v>0</v>
      </c>
    </row>
    <row r="111" spans="1:6" ht="12.75">
      <c r="A111" s="310" t="s">
        <v>550</v>
      </c>
      <c r="B111" s="311" t="s">
        <v>551</v>
      </c>
      <c r="C111" s="307">
        <f>'Rashodi-2020'!M254+'Rashodi-2020'!M264</f>
        <v>20361897</v>
      </c>
      <c r="D111" s="1174">
        <f t="shared" si="2"/>
        <v>0.04579239245710067</v>
      </c>
      <c r="E111" s="307">
        <f>'Rashodi-2020'!T254</f>
        <v>0</v>
      </c>
      <c r="F111" s="307">
        <f t="shared" si="3"/>
        <v>20361897</v>
      </c>
    </row>
    <row r="112" spans="1:6" ht="12.75" hidden="1">
      <c r="A112" s="310" t="s">
        <v>552</v>
      </c>
      <c r="B112" s="311" t="s">
        <v>553</v>
      </c>
      <c r="C112" s="307"/>
      <c r="D112" s="701">
        <f t="shared" si="2"/>
        <v>0</v>
      </c>
      <c r="E112" s="307"/>
      <c r="F112" s="307">
        <f t="shared" si="3"/>
        <v>0</v>
      </c>
    </row>
    <row r="113" spans="1:6" ht="12.75" hidden="1">
      <c r="A113" s="310" t="s">
        <v>68</v>
      </c>
      <c r="B113" s="311" t="s">
        <v>554</v>
      </c>
      <c r="C113" s="307"/>
      <c r="D113" s="701">
        <f t="shared" si="2"/>
        <v>0</v>
      </c>
      <c r="E113" s="307"/>
      <c r="F113" s="307">
        <f t="shared" si="3"/>
        <v>0</v>
      </c>
    </row>
    <row r="114" spans="1:6" ht="12.75">
      <c r="A114" s="308" t="s">
        <v>555</v>
      </c>
      <c r="B114" s="312" t="s">
        <v>350</v>
      </c>
      <c r="C114" s="304">
        <f>SUM(C115:C120)</f>
        <v>38923935</v>
      </c>
      <c r="D114" s="701">
        <f t="shared" si="2"/>
        <v>0.08753703584173306</v>
      </c>
      <c r="E114" s="304">
        <f>SUM(E115:E120)</f>
        <v>1298001</v>
      </c>
      <c r="F114" s="304">
        <f t="shared" si="3"/>
        <v>40221936</v>
      </c>
    </row>
    <row r="115" spans="1:6" ht="12.75">
      <c r="A115" s="310" t="s">
        <v>556</v>
      </c>
      <c r="B115" s="311" t="s">
        <v>557</v>
      </c>
      <c r="C115" s="307">
        <f>'Rashodi-2020'!M148</f>
        <v>7900000</v>
      </c>
      <c r="D115" s="1174">
        <f t="shared" si="2"/>
        <v>0.01776651263932311</v>
      </c>
      <c r="E115" s="307">
        <f>'Rashodi-2020'!T148</f>
        <v>0</v>
      </c>
      <c r="F115" s="307">
        <f t="shared" si="3"/>
        <v>7900000</v>
      </c>
    </row>
    <row r="116" spans="1:6" ht="12.75">
      <c r="A116" s="310" t="s">
        <v>558</v>
      </c>
      <c r="B116" s="311" t="s">
        <v>559</v>
      </c>
      <c r="C116" s="307">
        <f>'Rashodi-2020'!M139+'Rashodi-2020'!M423+'Rashodi-2020'!M418+'Rashodi-2020'!M401</f>
        <v>26623935</v>
      </c>
      <c r="D116" s="1174">
        <f t="shared" si="2"/>
        <v>0.059875250340002135</v>
      </c>
      <c r="E116" s="307">
        <f>'Rashodi-2020'!T401+'Rashodi-2020'!T418+'Rashodi-2020'!T423+'Rashodi-2020'!T139</f>
        <v>1298001</v>
      </c>
      <c r="F116" s="307">
        <f t="shared" si="3"/>
        <v>27921936</v>
      </c>
    </row>
    <row r="117" spans="1:6" ht="12.75">
      <c r="A117" s="310" t="s">
        <v>560</v>
      </c>
      <c r="B117" s="311" t="s">
        <v>561</v>
      </c>
      <c r="C117" s="307">
        <f>'Rashodi-2020'!M144</f>
        <v>4400000</v>
      </c>
      <c r="D117" s="1174">
        <f t="shared" si="2"/>
        <v>0.009895272862407807</v>
      </c>
      <c r="E117" s="307">
        <f>'Rashodi-2020'!T144</f>
        <v>0</v>
      </c>
      <c r="F117" s="307">
        <f t="shared" si="3"/>
        <v>4400000</v>
      </c>
    </row>
    <row r="118" spans="1:6" ht="12.75" hidden="1">
      <c r="A118" s="310" t="s">
        <v>562</v>
      </c>
      <c r="B118" s="311" t="s">
        <v>563</v>
      </c>
      <c r="C118" s="307"/>
      <c r="D118" s="701">
        <f t="shared" si="2"/>
        <v>0</v>
      </c>
      <c r="E118" s="307"/>
      <c r="F118" s="307">
        <f t="shared" si="3"/>
        <v>0</v>
      </c>
    </row>
    <row r="119" spans="1:6" ht="25.5" hidden="1">
      <c r="A119" s="310" t="s">
        <v>564</v>
      </c>
      <c r="B119" s="311" t="s">
        <v>565</v>
      </c>
      <c r="C119" s="307"/>
      <c r="D119" s="701">
        <f t="shared" si="2"/>
        <v>0</v>
      </c>
      <c r="E119" s="307"/>
      <c r="F119" s="307">
        <f t="shared" si="3"/>
        <v>0</v>
      </c>
    </row>
    <row r="120" spans="1:6" ht="25.5" hidden="1">
      <c r="A120" s="310" t="s">
        <v>566</v>
      </c>
      <c r="B120" s="311" t="s">
        <v>351</v>
      </c>
      <c r="C120" s="307"/>
      <c r="D120" s="701">
        <f t="shared" si="2"/>
        <v>0</v>
      </c>
      <c r="E120" s="307"/>
      <c r="F120" s="307">
        <f t="shared" si="3"/>
        <v>0</v>
      </c>
    </row>
    <row r="121" spans="1:6" ht="12.75">
      <c r="A121" s="317" t="s">
        <v>567</v>
      </c>
      <c r="B121" s="312" t="s">
        <v>352</v>
      </c>
      <c r="C121" s="304">
        <f>SUM(C122:C142)</f>
        <v>96062008</v>
      </c>
      <c r="D121" s="701">
        <f t="shared" si="2"/>
        <v>0.2160363138342731</v>
      </c>
      <c r="E121" s="304">
        <f>SUM(E122:E142)</f>
        <v>7315130</v>
      </c>
      <c r="F121" s="304">
        <f t="shared" si="3"/>
        <v>103377138</v>
      </c>
    </row>
    <row r="122" spans="1:6" ht="12.75" hidden="1">
      <c r="A122" s="310" t="s">
        <v>568</v>
      </c>
      <c r="B122" s="311" t="s">
        <v>569</v>
      </c>
      <c r="C122" s="307"/>
      <c r="D122" s="701">
        <f t="shared" si="2"/>
        <v>0</v>
      </c>
      <c r="E122" s="307"/>
      <c r="F122" s="307">
        <f t="shared" si="3"/>
        <v>0</v>
      </c>
    </row>
    <row r="123" spans="1:6" ht="12.75">
      <c r="A123" s="310" t="s">
        <v>570</v>
      </c>
      <c r="B123" s="311" t="s">
        <v>96</v>
      </c>
      <c r="C123" s="307">
        <f>'Rashodi-2020'!M379</f>
        <v>57491686</v>
      </c>
      <c r="D123" s="1174">
        <f t="shared" si="2"/>
        <v>0.12929452733860702</v>
      </c>
      <c r="E123" s="307">
        <f>'Rashodi-2020'!T379</f>
        <v>7315130</v>
      </c>
      <c r="F123" s="307">
        <f t="shared" si="3"/>
        <v>64806816</v>
      </c>
    </row>
    <row r="124" spans="1:6" ht="12.75">
      <c r="A124" s="310" t="s">
        <v>408</v>
      </c>
      <c r="B124" s="311" t="s">
        <v>97</v>
      </c>
      <c r="C124" s="307">
        <f>'Rashodi-2020'!M153+'Rashodi-2020'!M169+'Rashodi-2020'!M184</f>
        <v>33132772</v>
      </c>
      <c r="D124" s="1174">
        <f t="shared" si="2"/>
        <v>0.07451314082453302</v>
      </c>
      <c r="E124" s="307">
        <f>'Rashodi-2020'!T153+'Rashodi-2020'!T169+'Rashodi-2020'!T184</f>
        <v>0</v>
      </c>
      <c r="F124" s="307">
        <f t="shared" si="3"/>
        <v>33132772</v>
      </c>
    </row>
    <row r="125" spans="1:6" ht="12.75" hidden="1">
      <c r="A125" s="310" t="s">
        <v>571</v>
      </c>
      <c r="B125" s="311" t="s">
        <v>353</v>
      </c>
      <c r="C125" s="307"/>
      <c r="D125" s="1174">
        <f t="shared" si="2"/>
        <v>0</v>
      </c>
      <c r="E125" s="307"/>
      <c r="F125" s="307">
        <f t="shared" si="3"/>
        <v>0</v>
      </c>
    </row>
    <row r="126" spans="1:6" ht="12.75" hidden="1">
      <c r="A126" s="310" t="s">
        <v>572</v>
      </c>
      <c r="B126" s="311" t="s">
        <v>354</v>
      </c>
      <c r="C126" s="307"/>
      <c r="D126" s="1174">
        <f t="shared" si="2"/>
        <v>0</v>
      </c>
      <c r="E126" s="307"/>
      <c r="F126" s="307">
        <f t="shared" si="3"/>
        <v>0</v>
      </c>
    </row>
    <row r="127" spans="1:6" ht="12.75" hidden="1">
      <c r="A127" s="310" t="s">
        <v>573</v>
      </c>
      <c r="B127" s="311" t="s">
        <v>355</v>
      </c>
      <c r="C127" s="307"/>
      <c r="D127" s="1174">
        <f t="shared" si="2"/>
        <v>0</v>
      </c>
      <c r="E127" s="307"/>
      <c r="F127" s="307">
        <f t="shared" si="3"/>
        <v>0</v>
      </c>
    </row>
    <row r="128" spans="1:6" ht="25.5" hidden="1">
      <c r="A128" s="310" t="s">
        <v>574</v>
      </c>
      <c r="B128" s="311" t="s">
        <v>356</v>
      </c>
      <c r="C128" s="307"/>
      <c r="D128" s="1174">
        <f t="shared" si="2"/>
        <v>0</v>
      </c>
      <c r="E128" s="307"/>
      <c r="F128" s="307">
        <f t="shared" si="3"/>
        <v>0</v>
      </c>
    </row>
    <row r="129" spans="1:6" ht="12.75">
      <c r="A129" s="310" t="s">
        <v>575</v>
      </c>
      <c r="B129" s="311" t="s">
        <v>576</v>
      </c>
      <c r="C129" s="307">
        <f>'Rashodi-2020'!M200</f>
        <v>5437550</v>
      </c>
      <c r="D129" s="1174">
        <f t="shared" si="2"/>
        <v>0.012228645671133085</v>
      </c>
      <c r="E129" s="307">
        <f>'Rashodi-2020'!T200</f>
        <v>0</v>
      </c>
      <c r="F129" s="307">
        <f t="shared" si="3"/>
        <v>5437550</v>
      </c>
    </row>
    <row r="130" spans="1:6" ht="12.75" hidden="1">
      <c r="A130" s="310" t="s">
        <v>577</v>
      </c>
      <c r="B130" s="311" t="s">
        <v>357</v>
      </c>
      <c r="C130" s="307"/>
      <c r="D130" s="701">
        <f t="shared" si="2"/>
        <v>0</v>
      </c>
      <c r="E130" s="307"/>
      <c r="F130" s="307">
        <f t="shared" si="3"/>
        <v>0</v>
      </c>
    </row>
    <row r="131" spans="1:6" ht="12.75" hidden="1">
      <c r="A131" s="310" t="s">
        <v>578</v>
      </c>
      <c r="B131" s="311" t="s">
        <v>358</v>
      </c>
      <c r="C131" s="307"/>
      <c r="D131" s="701">
        <f t="shared" si="2"/>
        <v>0</v>
      </c>
      <c r="E131" s="307"/>
      <c r="F131" s="307">
        <f t="shared" si="3"/>
        <v>0</v>
      </c>
    </row>
    <row r="132" spans="1:6" ht="12.75" hidden="1">
      <c r="A132" s="310" t="s">
        <v>579</v>
      </c>
      <c r="B132" s="311" t="s">
        <v>359</v>
      </c>
      <c r="C132" s="307"/>
      <c r="D132" s="701">
        <f t="shared" si="2"/>
        <v>0</v>
      </c>
      <c r="E132" s="307"/>
      <c r="F132" s="307">
        <f t="shared" si="3"/>
        <v>0</v>
      </c>
    </row>
    <row r="133" spans="1:6" ht="12.75" hidden="1">
      <c r="A133" s="310" t="s">
        <v>580</v>
      </c>
      <c r="B133" s="311" t="s">
        <v>581</v>
      </c>
      <c r="C133" s="307"/>
      <c r="D133" s="701">
        <f aca="true" t="shared" si="4" ref="D133:D143">C133/444656763</f>
        <v>0</v>
      </c>
      <c r="E133" s="307"/>
      <c r="F133" s="307">
        <f t="shared" si="3"/>
        <v>0</v>
      </c>
    </row>
    <row r="134" spans="1:6" ht="12.75" hidden="1">
      <c r="A134" s="310" t="s">
        <v>582</v>
      </c>
      <c r="B134" s="311" t="s">
        <v>360</v>
      </c>
      <c r="C134" s="307"/>
      <c r="D134" s="701">
        <f t="shared" si="4"/>
        <v>0</v>
      </c>
      <c r="E134" s="307"/>
      <c r="F134" s="307">
        <f t="shared" si="3"/>
        <v>0</v>
      </c>
    </row>
    <row r="135" spans="1:6" ht="12.75" hidden="1">
      <c r="A135" s="310" t="s">
        <v>583</v>
      </c>
      <c r="B135" s="311" t="s">
        <v>361</v>
      </c>
      <c r="C135" s="307"/>
      <c r="D135" s="701">
        <f t="shared" si="4"/>
        <v>0</v>
      </c>
      <c r="E135" s="307"/>
      <c r="F135" s="307">
        <f aca="true" t="shared" si="5" ref="F135:F143">C135+E135</f>
        <v>0</v>
      </c>
    </row>
    <row r="136" spans="1:6" ht="12.75" hidden="1">
      <c r="A136" s="310" t="s">
        <v>584</v>
      </c>
      <c r="B136" s="311" t="s">
        <v>585</v>
      </c>
      <c r="C136" s="307"/>
      <c r="D136" s="701">
        <f t="shared" si="4"/>
        <v>0</v>
      </c>
      <c r="E136" s="307"/>
      <c r="F136" s="307">
        <f t="shared" si="5"/>
        <v>0</v>
      </c>
    </row>
    <row r="137" spans="1:6" ht="12.75" hidden="1">
      <c r="A137" s="310" t="s">
        <v>586</v>
      </c>
      <c r="B137" s="311" t="s">
        <v>362</v>
      </c>
      <c r="C137" s="307"/>
      <c r="D137" s="701">
        <f t="shared" si="4"/>
        <v>0</v>
      </c>
      <c r="E137" s="307"/>
      <c r="F137" s="307">
        <f t="shared" si="5"/>
        <v>0</v>
      </c>
    </row>
    <row r="138" spans="1:6" ht="12.75" hidden="1">
      <c r="A138" s="310" t="s">
        <v>587</v>
      </c>
      <c r="B138" s="311" t="s">
        <v>588</v>
      </c>
      <c r="C138" s="307"/>
      <c r="D138" s="701">
        <f t="shared" si="4"/>
        <v>0</v>
      </c>
      <c r="E138" s="307"/>
      <c r="F138" s="307">
        <f t="shared" si="5"/>
        <v>0</v>
      </c>
    </row>
    <row r="139" spans="1:6" ht="12.75" hidden="1">
      <c r="A139" s="310" t="s">
        <v>589</v>
      </c>
      <c r="B139" s="311" t="s">
        <v>590</v>
      </c>
      <c r="C139" s="307"/>
      <c r="D139" s="701">
        <f t="shared" si="4"/>
        <v>0</v>
      </c>
      <c r="E139" s="307"/>
      <c r="F139" s="307">
        <f t="shared" si="5"/>
        <v>0</v>
      </c>
    </row>
    <row r="140" spans="1:6" ht="12.75" hidden="1">
      <c r="A140" s="310" t="s">
        <v>591</v>
      </c>
      <c r="B140" s="311" t="s">
        <v>592</v>
      </c>
      <c r="C140" s="307"/>
      <c r="D140" s="701">
        <f t="shared" si="4"/>
        <v>0</v>
      </c>
      <c r="E140" s="307"/>
      <c r="F140" s="307">
        <f t="shared" si="5"/>
        <v>0</v>
      </c>
    </row>
    <row r="141" spans="1:6" ht="12.75" hidden="1">
      <c r="A141" s="318" t="s">
        <v>593</v>
      </c>
      <c r="B141" s="306" t="s">
        <v>594</v>
      </c>
      <c r="C141" s="307"/>
      <c r="D141" s="701">
        <f t="shared" si="4"/>
        <v>0</v>
      </c>
      <c r="E141" s="307"/>
      <c r="F141" s="307">
        <f t="shared" si="5"/>
        <v>0</v>
      </c>
    </row>
    <row r="142" spans="1:6" ht="12.75" hidden="1">
      <c r="A142" s="310" t="s">
        <v>69</v>
      </c>
      <c r="B142" s="311" t="s">
        <v>110</v>
      </c>
      <c r="C142" s="1177"/>
      <c r="D142" s="1178">
        <f t="shared" si="4"/>
        <v>0</v>
      </c>
      <c r="E142" s="307"/>
      <c r="F142" s="307">
        <f t="shared" si="5"/>
        <v>0</v>
      </c>
    </row>
    <row r="143" spans="1:6" ht="26.25" customHeight="1">
      <c r="A143" s="319"/>
      <c r="B143" s="1175" t="s">
        <v>25</v>
      </c>
      <c r="C143" s="1179">
        <f>C121+C114+C96+C90+C83+C43+C36+C31+C14+C4</f>
        <v>444656763</v>
      </c>
      <c r="D143" s="1180">
        <f t="shared" si="4"/>
        <v>1</v>
      </c>
      <c r="E143" s="1176">
        <f>E121+E114+E96+E90+E83+E43+E36+E31+E14+E4</f>
        <v>292232273.1</v>
      </c>
      <c r="F143" s="320">
        <f t="shared" si="5"/>
        <v>736889036.1</v>
      </c>
    </row>
    <row r="144" spans="1:6" ht="12.75">
      <c r="A144" s="321"/>
      <c r="B144" s="322"/>
      <c r="C144" s="323"/>
      <c r="D144" s="702"/>
      <c r="E144" s="323"/>
      <c r="F144" s="323"/>
    </row>
    <row r="145" ht="12.75">
      <c r="F145" s="351"/>
    </row>
    <row r="146" ht="12.75">
      <c r="C146" s="328"/>
    </row>
  </sheetData>
  <sheetProtection/>
  <mergeCells count="1">
    <mergeCell ref="A1:F1"/>
  </mergeCells>
  <conditionalFormatting sqref="C144 E144:F144">
    <cfRule type="cellIs" priority="1" dxfId="1" operator="notEqual" stopIfTrue="1">
      <formula>0</formula>
    </cfRule>
  </conditionalFormatting>
  <conditionalFormatting sqref="C144:F144">
    <cfRule type="cellIs" priority="2" dxfId="0" operator="not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31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5.28125" style="520" customWidth="1"/>
    <col min="2" max="2" width="16.8515625" style="520" customWidth="1"/>
    <col min="3" max="3" width="20.28125" style="520" customWidth="1"/>
    <col min="4" max="16384" width="9.140625" style="520" customWidth="1"/>
  </cols>
  <sheetData>
    <row r="3" spans="1:6" ht="18">
      <c r="A3" s="519"/>
      <c r="B3" s="519"/>
      <c r="C3" s="519"/>
      <c r="D3" s="519"/>
      <c r="E3" s="519"/>
      <c r="F3" s="519"/>
    </row>
    <row r="4" spans="1:6" ht="18">
      <c r="A4" s="521" t="s">
        <v>1183</v>
      </c>
      <c r="B4" s="521" t="s">
        <v>1184</v>
      </c>
      <c r="C4" s="521" t="s">
        <v>1185</v>
      </c>
      <c r="D4" s="519"/>
      <c r="E4" s="519"/>
      <c r="F4" s="519"/>
    </row>
    <row r="5" spans="1:6" ht="18">
      <c r="A5" s="519" t="s">
        <v>1186</v>
      </c>
      <c r="B5" s="523">
        <v>414</v>
      </c>
      <c r="C5" s="522">
        <v>750000</v>
      </c>
      <c r="D5" s="519"/>
      <c r="E5" s="519"/>
      <c r="F5" s="519"/>
    </row>
    <row r="6" spans="1:6" ht="18">
      <c r="A6" s="519"/>
      <c r="B6" s="519"/>
      <c r="C6" s="519"/>
      <c r="D6" s="519"/>
      <c r="E6" s="519"/>
      <c r="F6" s="519"/>
    </row>
    <row r="7" spans="1:6" ht="18">
      <c r="A7" s="519"/>
      <c r="B7" s="519"/>
      <c r="C7" s="519"/>
      <c r="D7" s="519"/>
      <c r="E7" s="519"/>
      <c r="F7" s="519"/>
    </row>
    <row r="8" spans="1:6" ht="18">
      <c r="A8" s="519"/>
      <c r="B8" s="519"/>
      <c r="C8" s="519"/>
      <c r="D8" s="519"/>
      <c r="E8" s="519"/>
      <c r="F8" s="519"/>
    </row>
    <row r="9" spans="1:6" ht="18">
      <c r="A9" s="519"/>
      <c r="B9" s="519"/>
      <c r="C9" s="519"/>
      <c r="D9" s="519"/>
      <c r="E9" s="519"/>
      <c r="F9" s="519"/>
    </row>
    <row r="10" spans="1:6" ht="18">
      <c r="A10" s="519"/>
      <c r="B10" s="519"/>
      <c r="C10" s="519"/>
      <c r="D10" s="519"/>
      <c r="E10" s="519"/>
      <c r="F10" s="519"/>
    </row>
    <row r="11" spans="1:6" ht="18">
      <c r="A11" s="519"/>
      <c r="B11" s="519"/>
      <c r="C11" s="519"/>
      <c r="D11" s="519"/>
      <c r="E11" s="519"/>
      <c r="F11" s="519"/>
    </row>
    <row r="12" spans="1:6" ht="18">
      <c r="A12" s="519"/>
      <c r="B12" s="519"/>
      <c r="C12" s="519"/>
      <c r="D12" s="519"/>
      <c r="E12" s="519"/>
      <c r="F12" s="519"/>
    </row>
    <row r="13" spans="1:6" ht="18">
      <c r="A13" s="519"/>
      <c r="B13" s="519"/>
      <c r="C13" s="519"/>
      <c r="D13" s="519"/>
      <c r="E13" s="519"/>
      <c r="F13" s="519"/>
    </row>
    <row r="14" spans="1:6" ht="18">
      <c r="A14" s="519"/>
      <c r="B14" s="519"/>
      <c r="C14" s="519"/>
      <c r="D14" s="519"/>
      <c r="E14" s="519"/>
      <c r="F14" s="519"/>
    </row>
    <row r="15" spans="1:6" ht="18">
      <c r="A15" s="519"/>
      <c r="B15" s="519"/>
      <c r="C15" s="519"/>
      <c r="D15" s="519"/>
      <c r="E15" s="519"/>
      <c r="F15" s="519"/>
    </row>
    <row r="16" spans="1:6" ht="18">
      <c r="A16" s="519"/>
      <c r="B16" s="519"/>
      <c r="C16" s="519"/>
      <c r="D16" s="519"/>
      <c r="E16" s="519"/>
      <c r="F16" s="519"/>
    </row>
    <row r="17" spans="1:6" ht="18">
      <c r="A17" s="519"/>
      <c r="B17" s="519"/>
      <c r="C17" s="519"/>
      <c r="D17" s="519"/>
      <c r="E17" s="519"/>
      <c r="F17" s="519"/>
    </row>
    <row r="18" spans="1:6" ht="18">
      <c r="A18" s="519"/>
      <c r="B18" s="519"/>
      <c r="C18" s="519"/>
      <c r="D18" s="519"/>
      <c r="E18" s="519"/>
      <c r="F18" s="519"/>
    </row>
    <row r="19" spans="1:6" ht="18">
      <c r="A19" s="519"/>
      <c r="B19" s="519"/>
      <c r="C19" s="519"/>
      <c r="D19" s="519"/>
      <c r="E19" s="519"/>
      <c r="F19" s="519"/>
    </row>
    <row r="20" spans="1:6" ht="18">
      <c r="A20" s="519"/>
      <c r="B20" s="519"/>
      <c r="C20" s="519"/>
      <c r="D20" s="519"/>
      <c r="E20" s="519"/>
      <c r="F20" s="519"/>
    </row>
    <row r="21" spans="1:6" ht="18">
      <c r="A21" s="519"/>
      <c r="B21" s="519"/>
      <c r="C21" s="519"/>
      <c r="D21" s="519"/>
      <c r="E21" s="519"/>
      <c r="F21" s="519"/>
    </row>
    <row r="22" spans="1:6" ht="18">
      <c r="A22" s="519"/>
      <c r="B22" s="519"/>
      <c r="C22" s="519"/>
      <c r="D22" s="519"/>
      <c r="E22" s="519"/>
      <c r="F22" s="519"/>
    </row>
    <row r="23" spans="1:6" ht="18">
      <c r="A23" s="519"/>
      <c r="B23" s="519"/>
      <c r="C23" s="519"/>
      <c r="D23" s="519"/>
      <c r="E23" s="519"/>
      <c r="F23" s="519"/>
    </row>
    <row r="24" spans="1:6" ht="18">
      <c r="A24" s="519"/>
      <c r="B24" s="519"/>
      <c r="C24" s="519"/>
      <c r="D24" s="519"/>
      <c r="E24" s="519"/>
      <c r="F24" s="519"/>
    </row>
    <row r="25" spans="1:6" ht="18">
      <c r="A25" s="519"/>
      <c r="B25" s="519"/>
      <c r="C25" s="519"/>
      <c r="D25" s="519"/>
      <c r="E25" s="519"/>
      <c r="F25" s="519"/>
    </row>
    <row r="26" spans="1:6" ht="18">
      <c r="A26" s="519"/>
      <c r="B26" s="519"/>
      <c r="C26" s="519"/>
      <c r="D26" s="519"/>
      <c r="E26" s="519"/>
      <c r="F26" s="519"/>
    </row>
    <row r="27" spans="1:6" ht="18">
      <c r="A27" s="519"/>
      <c r="B27" s="519"/>
      <c r="C27" s="519"/>
      <c r="D27" s="519"/>
      <c r="E27" s="519"/>
      <c r="F27" s="519"/>
    </row>
    <row r="28" spans="1:6" ht="18">
      <c r="A28" s="519"/>
      <c r="B28" s="519"/>
      <c r="C28" s="519"/>
      <c r="D28" s="519"/>
      <c r="E28" s="519"/>
      <c r="F28" s="519"/>
    </row>
    <row r="29" spans="1:6" ht="18">
      <c r="A29" s="519"/>
      <c r="B29" s="519"/>
      <c r="C29" s="519"/>
      <c r="D29" s="519"/>
      <c r="E29" s="519"/>
      <c r="F29" s="519"/>
    </row>
    <row r="30" spans="1:6" ht="18">
      <c r="A30" s="519"/>
      <c r="B30" s="519"/>
      <c r="C30" s="519"/>
      <c r="D30" s="519"/>
      <c r="E30" s="519"/>
      <c r="F30" s="519"/>
    </row>
    <row r="31" spans="1:6" ht="18">
      <c r="A31" s="519"/>
      <c r="B31" s="519"/>
      <c r="C31" s="519"/>
      <c r="D31" s="519"/>
      <c r="E31" s="519"/>
      <c r="F31" s="5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Finansija1</cp:lastModifiedBy>
  <cp:lastPrinted>2020-09-22T05:15:47Z</cp:lastPrinted>
  <dcterms:created xsi:type="dcterms:W3CDTF">2006-09-18T16:16:27Z</dcterms:created>
  <dcterms:modified xsi:type="dcterms:W3CDTF">2020-10-20T06:33:09Z</dcterms:modified>
  <cp:category/>
  <cp:version/>
  <cp:contentType/>
  <cp:contentStatus/>
</cp:coreProperties>
</file>