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6570" activeTab="1"/>
  </bookViews>
  <sheets>
    <sheet name="Rashodi-2020" sheetId="1" r:id="rId1"/>
    <sheet name="Prihodi-2020." sheetId="2" r:id="rId2"/>
    <sheet name="rash.po nam." sheetId="3" state="hidden" r:id="rId3"/>
    <sheet name="prihodi 2" sheetId="4" state="hidden" r:id="rId4"/>
    <sheet name="SUf.i def.- NOVO" sheetId="5" state="hidden" r:id="rId5"/>
    <sheet name="Struktura programa" sheetId="6" state="hidden" r:id="rId6"/>
    <sheet name="Rash.po funkcijama" sheetId="7" state="hidden" r:id="rId7"/>
    <sheet name="Dodatno fin." sheetId="8" state="hidden" r:id="rId8"/>
  </sheets>
  <externalReferences>
    <externalReference r:id="rId11"/>
    <externalReference r:id="rId12"/>
  </externalReferences>
  <definedNames>
    <definedName name="_xlfn.IFERROR" hidden="1">#NAME?</definedName>
    <definedName name="ljkl">'[1]Расх по функц. '!$F$139</definedName>
    <definedName name="_xlnm.Print_Area" localSheetId="1">'Prihodi-2020.'!$A$1:$O$155</definedName>
    <definedName name="_xlnm.Print_Area" localSheetId="2">'rash.po nam.'!$A$1:$J$93</definedName>
    <definedName name="_xlnm.Print_Area" localSheetId="0">'Rashodi-2020'!$A$1:$X$508</definedName>
    <definedName name="_xlnm.Print_Titles" localSheetId="0">'Rashodi-2020'!$6:$6</definedName>
    <definedName name="Ukupno_funkcionalna">'[1]Расх по функц. '!$F$139</definedName>
    <definedName name="Ukupno_izdaci">'[1]По основ. нам.'!$F$86</definedName>
  </definedNames>
  <calcPr fullCalcOnLoad="1"/>
</workbook>
</file>

<file path=xl/sharedStrings.xml><?xml version="1.0" encoding="utf-8"?>
<sst xmlns="http://schemas.openxmlformats.org/spreadsheetml/2006/main" count="2032" uniqueCount="1578">
  <si>
    <t>Програм 5.  Развој пољопривреде</t>
  </si>
  <si>
    <t>Програм 6.  Заштита животне средине</t>
  </si>
  <si>
    <t>Програм 7.  Путна инфраструктура</t>
  </si>
  <si>
    <t>Програм 8.  Предшколско васпитање</t>
  </si>
  <si>
    <t>Програм 9.  Основно образовање</t>
  </si>
  <si>
    <t>Програм 10. Средње образовање</t>
  </si>
  <si>
    <t>Програм 11.  Социјална  и дечја заштита</t>
  </si>
  <si>
    <t>Програм 12.  Примарна здравствена заштита</t>
  </si>
  <si>
    <t>Програм 13.  Развој културе</t>
  </si>
  <si>
    <t>Програм 14.  Развој спорта и омладине</t>
  </si>
  <si>
    <t>Програм 15.  Локална самоуправа</t>
  </si>
  <si>
    <t>Структ-ура %</t>
  </si>
  <si>
    <t>Сопствени и други приходи</t>
  </si>
  <si>
    <t>Укупна средства</t>
  </si>
  <si>
    <t>1</t>
  </si>
  <si>
    <t>Средства из буџета</t>
  </si>
  <si>
    <t>01</t>
  </si>
  <si>
    <t>Mатеријал за потребе одбране</t>
  </si>
  <si>
    <t>04</t>
  </si>
  <si>
    <t>07</t>
  </si>
  <si>
    <t>06</t>
  </si>
  <si>
    <t>090</t>
  </si>
  <si>
    <t>040</t>
  </si>
  <si>
    <t>Број конта</t>
  </si>
  <si>
    <t>В Р С Т А   Р А С Х О Д А</t>
  </si>
  <si>
    <t>УКУПНО</t>
  </si>
  <si>
    <t>РАСХОДИ ЗА ЗАПОСЛЕНЕ</t>
  </si>
  <si>
    <t>Плате и додаци запослених</t>
  </si>
  <si>
    <t>Социјални доприноси</t>
  </si>
  <si>
    <t>Накнаде у натури</t>
  </si>
  <si>
    <t>Социјална давања запосленима</t>
  </si>
  <si>
    <t>Накнаде за запослене</t>
  </si>
  <si>
    <t>КОРИШЋЕЊЕ УСЛУГА И РОБА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</si>
  <si>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</si>
  <si>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</si>
  <si>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</si>
  <si>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</si>
  <si>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попр.и одрж.(усл.и матер).</t>
  </si>
  <si>
    <t>Материјал</t>
  </si>
  <si>
    <t>Употреба основних средстава</t>
  </si>
  <si>
    <t>ОТПЛАТА КАМАТА</t>
  </si>
  <si>
    <t>Отплата домаћих камата</t>
  </si>
  <si>
    <t>ДОНАЦИЈЕ  И  ТРАНСФЕРИ</t>
  </si>
  <si>
    <t>Трансф. осталим нивоима власти</t>
  </si>
  <si>
    <t>Накнаде за социјалну заштиту</t>
  </si>
  <si>
    <t>ОСТАЛИ РАСХОДИ</t>
  </si>
  <si>
    <t>Дотације невладином организац.</t>
  </si>
  <si>
    <t>Порези,обав.таксе и казне</t>
  </si>
  <si>
    <t>Средства резерве</t>
  </si>
  <si>
    <t>ОСНОВНА СРЕДСТВА</t>
  </si>
  <si>
    <t>Зграде и грађевински објекти</t>
  </si>
  <si>
    <t>Машина и опрема</t>
  </si>
  <si>
    <t>731+732</t>
  </si>
  <si>
    <t>48+49</t>
  </si>
  <si>
    <t>група конта</t>
  </si>
  <si>
    <t>ВРСТА ПРИХОДА</t>
  </si>
  <si>
    <t>Приходи Буџета                                               извор финансирања: 01</t>
  </si>
  <si>
    <t>Порези</t>
  </si>
  <si>
    <t>Донације и трансфери</t>
  </si>
  <si>
    <t>Други приходи</t>
  </si>
  <si>
    <t>Сопствени приходи корисника                        извор финансирања: 04</t>
  </si>
  <si>
    <t>Донације и трансфери од међунар.организације                                       извор финансирања: 06</t>
  </si>
  <si>
    <t>Донације и трасфери                                       извор финансирања: 07</t>
  </si>
  <si>
    <t xml:space="preserve">Донације и трасфери </t>
  </si>
  <si>
    <t>УКУПНО ЗА ИЗВОР 01:</t>
  </si>
  <si>
    <t>УКУПНО ЗА ИЗВОР 04:</t>
  </si>
  <si>
    <t>УКУПНО ЗА ИЗВОР 06:</t>
  </si>
  <si>
    <t>УКУПНО ЗА ИЗВОР 07:</t>
  </si>
  <si>
    <t>760</t>
  </si>
  <si>
    <t>980</t>
  </si>
  <si>
    <t>АДМИНИСТ. ТРАНСФ. ИЗ БУЏЕТА</t>
  </si>
  <si>
    <t>ПРАВА ИЗ СОЦ. ОСИГУРАЊА</t>
  </si>
  <si>
    <t>Новч.казне по реш. судова</t>
  </si>
  <si>
    <t>1.1</t>
  </si>
  <si>
    <t>Земљиште</t>
  </si>
  <si>
    <t>Накн.штете нанете од стране држ.орг.</t>
  </si>
  <si>
    <t>130</t>
  </si>
  <si>
    <t>О П И С</t>
  </si>
  <si>
    <t>СКУПШТИНА ОПШТИНЕ</t>
  </si>
  <si>
    <t>Социјални доприноси на терет послодавца</t>
  </si>
  <si>
    <t>Дотације невладиним организ.-политичке странке</t>
  </si>
  <si>
    <t xml:space="preserve">ПРЕДСЕДНИК ОПШТИНЕ </t>
  </si>
  <si>
    <t>Порези, обавезне таксе и казне</t>
  </si>
  <si>
    <t>Машине и опрема</t>
  </si>
  <si>
    <t>Стална резерва</t>
  </si>
  <si>
    <t>Текућа резерва</t>
  </si>
  <si>
    <t>ОПШТИНСКО ВЕЋЕ</t>
  </si>
  <si>
    <t>Услуге по уговору-за унапређивање родне равноправности</t>
  </si>
  <si>
    <t>Услуге јавног здравства</t>
  </si>
  <si>
    <t>ОПШТИНСКА УПРАВА</t>
  </si>
  <si>
    <t>Опште услуге</t>
  </si>
  <si>
    <t>Текуће поправке и одржавање</t>
  </si>
  <si>
    <t>Новчане казне и пенали</t>
  </si>
  <si>
    <t>Накнада штете нанете од стране државних органа</t>
  </si>
  <si>
    <t>Породица и деца</t>
  </si>
  <si>
    <t>ПУ "РАДОСТ"</t>
  </si>
  <si>
    <t>Предшколско образовање</t>
  </si>
  <si>
    <t>Основно образовање</t>
  </si>
  <si>
    <t>413 Накнаде у натури</t>
  </si>
  <si>
    <t>415 Накнаде за запослене</t>
  </si>
  <si>
    <t>421 Стални трошкови</t>
  </si>
  <si>
    <t>422 Трошкови путовања ученика</t>
  </si>
  <si>
    <t>423 Услуге по уговору</t>
  </si>
  <si>
    <t>424 Специјализоване услуге</t>
  </si>
  <si>
    <t>425 Текуће поправке и одржавање</t>
  </si>
  <si>
    <t>426 Материјал</t>
  </si>
  <si>
    <t>482 Порези, обавезне таксе и казне</t>
  </si>
  <si>
    <t>512 Машине и опрема</t>
  </si>
  <si>
    <t xml:space="preserve">Средње образовање </t>
  </si>
  <si>
    <t>415 Накнада за запослене</t>
  </si>
  <si>
    <t>Образовање некласификовано на другом месту</t>
  </si>
  <si>
    <t>Социјална заштита некласификована на другом месту</t>
  </si>
  <si>
    <t>411 Плате и додаци запослених</t>
  </si>
  <si>
    <t>412 Социјални доприноси на терет послодавца</t>
  </si>
  <si>
    <t>Зграде и грађ.објекти</t>
  </si>
  <si>
    <t>Стамбени развој</t>
  </si>
  <si>
    <t>Развој заједнице</t>
  </si>
  <si>
    <t>МЕСНЕ ЗАЈЕДНИЦЕ</t>
  </si>
  <si>
    <t>МЗ ЧОКА</t>
  </si>
  <si>
    <t>Остале делатности</t>
  </si>
  <si>
    <t>МЗ ПАДЕЈ</t>
  </si>
  <si>
    <t>Текуће поправке објеката</t>
  </si>
  <si>
    <t>Дотације осталим непроф.институцијама</t>
  </si>
  <si>
    <t>Порези,обавезне таксе и казне</t>
  </si>
  <si>
    <t>МЗ ОСТОЈИЋЕВО</t>
  </si>
  <si>
    <t>МЗ САНАД</t>
  </si>
  <si>
    <t>МЗ ЦРНА БАРА</t>
  </si>
  <si>
    <t>МЗ ВРБИЦА</t>
  </si>
  <si>
    <t>МЗ ЈАЗОВО</t>
  </si>
  <si>
    <t xml:space="preserve">Стални трошкови </t>
  </si>
  <si>
    <t>УКУПНО:</t>
  </si>
  <si>
    <t>РАЗДЕО</t>
  </si>
  <si>
    <t>ГЛАВА</t>
  </si>
  <si>
    <t>ФУНКЦИЈА</t>
  </si>
  <si>
    <t>Екон. класиф.</t>
  </si>
  <si>
    <t>Општина Чока</t>
  </si>
  <si>
    <t>Општинска управа</t>
  </si>
  <si>
    <t>ИЗВОР Ф.</t>
  </si>
  <si>
    <t>КЛАСА</t>
  </si>
  <si>
    <t>ГРУПА</t>
  </si>
  <si>
    <t>СИНТЕТИКА</t>
  </si>
  <si>
    <t>АНАЛИТ.</t>
  </si>
  <si>
    <t>СУБАНА</t>
  </si>
  <si>
    <t>ОПИС</t>
  </si>
  <si>
    <t>Приходи из буџета</t>
  </si>
  <si>
    <t>ТЕКУЋИ ПРИХОДИ</t>
  </si>
  <si>
    <t>ПОРЕЗ НА ДОХОДАК, ДОБИТ И КАПИТАЛНЕ ДОБИТКЕ</t>
  </si>
  <si>
    <t>Порези на доходак и капиталне добитке које плаћају физичка лица</t>
  </si>
  <si>
    <t>Порез на зараде</t>
  </si>
  <si>
    <t>ПОРЕЗ НА ФОНД ЗАРАДА</t>
  </si>
  <si>
    <t>Порез на фонд зарада</t>
  </si>
  <si>
    <t>ПОРЕЗ НА ИМОВИНУ</t>
  </si>
  <si>
    <t>Периодични порези на непокретности</t>
  </si>
  <si>
    <t>Порези на наслеђе и поклон</t>
  </si>
  <si>
    <t>Порез на наслеђе и поклон</t>
  </si>
  <si>
    <t>Порези на финансијске и капиталне трансакције</t>
  </si>
  <si>
    <t>Други периодични порези на имовину</t>
  </si>
  <si>
    <t>ПОРЕЗ НА ДОБРА И УСЛУГЕ</t>
  </si>
  <si>
    <t>Порези на појединачне услуге</t>
  </si>
  <si>
    <t>Комунална такса за коришћење рекламних паноа</t>
  </si>
  <si>
    <t>Средства за противпожарну заштиту</t>
  </si>
  <si>
    <t>Порези на употребу добара и на дозволу да се добра употребљавају или делатности обав.</t>
  </si>
  <si>
    <t>Накнада за коришћење добара од општег интереса</t>
  </si>
  <si>
    <t>ДРУГИ ПОРЕЗИ</t>
  </si>
  <si>
    <t>Други порези које искључиво плаћају предузећа, односно предузетници</t>
  </si>
  <si>
    <t>ТРАНСФЕРИ ОД ДРУГИХ НИВОА ВЛАСТИ</t>
  </si>
  <si>
    <t>Текући трансфери од других нивоа власти</t>
  </si>
  <si>
    <t>Дотације орг. из области заштите животне средине</t>
  </si>
  <si>
    <t xml:space="preserve">ПРОГРАМ 3: ЛОКАЛНИ ЕКОНОМСКИ РАЗВОЈ
</t>
  </si>
  <si>
    <t>Дотације орг.за локални економски развој</t>
  </si>
  <si>
    <t>Економски посл.некласиф.на другом месту</t>
  </si>
  <si>
    <t>Економски послови некласиф.на другом месту</t>
  </si>
  <si>
    <t>Учешће капитала у дом.нефим.јавним пред,</t>
  </si>
  <si>
    <t>Услуге културе</t>
  </si>
  <si>
    <t>Услуге рекреације и спорта</t>
  </si>
  <si>
    <t>Улична расвета</t>
  </si>
  <si>
    <t>Ненаменски трансфер од АП Војводина у корист нивоа општина</t>
  </si>
  <si>
    <t>ПРИХОДИ ОД ИМОВИНЕ</t>
  </si>
  <si>
    <t>Камате</t>
  </si>
  <si>
    <t>Закуп непроизведене имовине</t>
  </si>
  <si>
    <t>Накнада за коришћење минералних сировина</t>
  </si>
  <si>
    <t>Накнада за коришћење простора и грађевинског земљишта</t>
  </si>
  <si>
    <t>ПРИХОДИ ОД ПРОДАЈЕ ДОБАРА И УСЛУГА</t>
  </si>
  <si>
    <t>Таксе</t>
  </si>
  <si>
    <t>НОВЧАНЕ КАЗНЕ И ОДУЗЕТА ИМОВИНСКА КОРИСТ</t>
  </si>
  <si>
    <t>Приходи од новчаних казни за прекршаје</t>
  </si>
  <si>
    <t>Приходи од новчаних казни за прекршаје у корист нивоа општина</t>
  </si>
  <si>
    <t>ДОБРОВОЉНИ ТРАНСФЕРИ ОД ФИЗИЧКИХ И ПРАВНИХ ЛИЦА</t>
  </si>
  <si>
    <t>Текући добровољни трансфери од физичких и правних лица</t>
  </si>
  <si>
    <t>Текући добровољни трансфери од физичких и правних лица у корист нивоа општина</t>
  </si>
  <si>
    <t>Капит.добровољни трансф.од физич.и прав.лица</t>
  </si>
  <si>
    <t>МЕШОВИТИ И НЕОДРЕЂЕНИ ПРИХОДИ</t>
  </si>
  <si>
    <t>Мешовити и неодређени приходи</t>
  </si>
  <si>
    <t>Примања од продаје домаћих акција и осталог капитала</t>
  </si>
  <si>
    <t>Примања од продаје домаћих акција и осталог капитала у корист нивоа општина</t>
  </si>
  <si>
    <t xml:space="preserve">Сопствени приходи </t>
  </si>
  <si>
    <t>Донације од међународних организација</t>
  </si>
  <si>
    <t>ДОНАЦИЈЕ ОД МЕЂУНАРОДНИХ ОРГАНИЗАЦИЈА</t>
  </si>
  <si>
    <t>Донације од осталих нивоа власти</t>
  </si>
  <si>
    <t>УКУПНО ЗА ИЗВОР 01-ПРИХОДИ ИЗ БУЏЕТА</t>
  </si>
  <si>
    <t>УКУПНО ЗА ИЗВОР 04</t>
  </si>
  <si>
    <t>УКУПНО ЗА ИЗВОР 06</t>
  </si>
  <si>
    <t>УКУПНО ЗА ИЗВОР 07</t>
  </si>
  <si>
    <t>Награде запосленима</t>
  </si>
  <si>
    <t>416 Награде запосленима</t>
  </si>
  <si>
    <t xml:space="preserve">Социјална давања запосленима- отпремнине                  </t>
  </si>
  <si>
    <t>Социјална давања</t>
  </si>
  <si>
    <t>Набавка пољопривредног земљишта</t>
  </si>
  <si>
    <t>Порез на приходе од осигурања лица</t>
  </si>
  <si>
    <t>Приходи општинских органа управе</t>
  </si>
  <si>
    <t>Споредне продаје добара и услуга које врше државне нетржишне јединице</t>
  </si>
  <si>
    <t>Приходи од новчаних казни за саобраћајне прекршаје</t>
  </si>
  <si>
    <t>Нематеријална имовина (књиге)</t>
  </si>
  <si>
    <t xml:space="preserve">422 Трошкови путовања </t>
  </si>
  <si>
    <t xml:space="preserve">Пољопривреда </t>
  </si>
  <si>
    <t>Пратећи трошкови задуживања</t>
  </si>
  <si>
    <t>Остале дотације и трансфери</t>
  </si>
  <si>
    <t>Култивисана имовина</t>
  </si>
  <si>
    <t>Нематеријална имовина</t>
  </si>
  <si>
    <r>
      <t>К</t>
    </r>
    <r>
      <rPr>
        <i/>
        <sz val="10"/>
        <color indexed="8"/>
        <rFont val="Arial"/>
        <family val="2"/>
      </rPr>
      <t>апит.добровољни трансф.од физич.и прав.лица</t>
    </r>
  </si>
  <si>
    <t>ДОБРОВ.ТАНСФЕРИ ОД ФИЗИЧКИХ И ПРАВНИХ ЛИЦА</t>
  </si>
  <si>
    <t>Порези, обавезне таксе и казне (по програму)</t>
  </si>
  <si>
    <t>Стални трошкови (по програму)</t>
  </si>
  <si>
    <t>414 Социјална давања запосленима</t>
  </si>
  <si>
    <t>511 Зграде и грађ.објекти</t>
  </si>
  <si>
    <t>Пројекат:  Сред.за решавање стамб.потреба и др.програме за интеграцију избеглица</t>
  </si>
  <si>
    <t>13</t>
  </si>
  <si>
    <t>15</t>
  </si>
  <si>
    <t>УКУПНО ЗА ИЗВОР 13</t>
  </si>
  <si>
    <t>УКУПНО ЗА ИЗВОР 15</t>
  </si>
  <si>
    <t>Неутрошена средства донација из претх.година</t>
  </si>
  <si>
    <t>Нераспоређени вишак прихода 
из ранијих година</t>
  </si>
  <si>
    <t>Неутрошена средства донација
 из претх.година</t>
  </si>
  <si>
    <t>Нераспоређени вишак прихода и примања из ранијих година</t>
  </si>
  <si>
    <t>ОБРАЧУН СУФИЦИТА / ДЕФИЦИТА СА РАЧУНОМ ФИНАНСИРАЊА</t>
  </si>
  <si>
    <t>Образац 3.</t>
  </si>
  <si>
    <t>Опис</t>
  </si>
  <si>
    <t>Износ</t>
  </si>
  <si>
    <t>А. РАЧУН ПРИХОДА И ПРИМАЊА, РАСХОДА И ИЗДАТАКА</t>
  </si>
  <si>
    <t>1. Укупни приходи и примања од продаје нефинансијске имовине (кл. 7+8)</t>
  </si>
  <si>
    <t>1.1. ТЕКУЋИ ПРИХОДИ (класа 7)  у чему:</t>
  </si>
  <si>
    <t>1.2. ПРИМАЊА ОД ПРОДАЈЕ НЕФИНАНСИЈСКЕ ИМОВИНЕ (класа 8)</t>
  </si>
  <si>
    <t>2. Укупни расходи и издаци за набавку нефинансијске имовине (кл. 4+5)</t>
  </si>
  <si>
    <t>2.1. ТЕКУЋИ РАСХОДИ (класа 4) у чему:</t>
  </si>
  <si>
    <t>2.2. ИЗДАЦИ ЗА НАБАВКУ НЕФИНАНСИЈСКЕ ИМОВИНЕ (класа 5) у чему:</t>
  </si>
  <si>
    <t>БУЏЕТСКИ СУФИЦИТ / ДЕФИЦИТ (кл. 7+8) - (кл. 4+5)</t>
  </si>
  <si>
    <t>Издаци за набавку финансијске имовине (у циљу спровођења јавних политика) категорија 62</t>
  </si>
  <si>
    <t>Примања од продаје финансијске имовине (категорија 92 осим 9211, 9221, 9219, 9227, 9228)</t>
  </si>
  <si>
    <t>УКУПАН ФИСКАЛНИ СУФИЦИТ / ДЕФИЦИТ (7+8) - (4+5) +(92-62)</t>
  </si>
  <si>
    <t>Б. РАЧУН ФИНАНСИРАЊА</t>
  </si>
  <si>
    <t>Неутрошена средства из претходних година</t>
  </si>
  <si>
    <t>НЕТО ФИНАНСИРАЊЕ</t>
  </si>
  <si>
    <t>Шифра  економ.
класифик.</t>
  </si>
  <si>
    <t>Порески приходи</t>
  </si>
  <si>
    <t>1.</t>
  </si>
  <si>
    <t>Порези на доходак, добит и капит.добитке</t>
  </si>
  <si>
    <t>Порези на имовину</t>
  </si>
  <si>
    <t>1.3</t>
  </si>
  <si>
    <t>Порези на добра и услуге</t>
  </si>
  <si>
    <t>1.4</t>
  </si>
  <si>
    <t>Други порези</t>
  </si>
  <si>
    <t>2.</t>
  </si>
  <si>
    <t>Непорески приходи</t>
  </si>
  <si>
    <t>Од тога наплаћене камате</t>
  </si>
  <si>
    <t>3.</t>
  </si>
  <si>
    <t>Донације</t>
  </si>
  <si>
    <t xml:space="preserve">4. </t>
  </si>
  <si>
    <t>Трансфери</t>
  </si>
  <si>
    <t>Расходи за запослене</t>
  </si>
  <si>
    <t>Коришћење роба и услуга</t>
  </si>
  <si>
    <t>Отплата камата</t>
  </si>
  <si>
    <t>4.</t>
  </si>
  <si>
    <t>Субвенције</t>
  </si>
  <si>
    <t>5.</t>
  </si>
  <si>
    <t>Права из социј.осигурања</t>
  </si>
  <si>
    <t>6.</t>
  </si>
  <si>
    <t>Остали расходи</t>
  </si>
  <si>
    <t>7.</t>
  </si>
  <si>
    <t>8.</t>
  </si>
  <si>
    <t>7+8</t>
  </si>
  <si>
    <t>4+5</t>
  </si>
  <si>
    <t xml:space="preserve">Примања од задуживања </t>
  </si>
  <si>
    <t xml:space="preserve">Издаци за отплату главнице дуга </t>
  </si>
  <si>
    <t>Машине и опрема - за потребе одбране</t>
  </si>
  <si>
    <t>160</t>
  </si>
  <si>
    <t xml:space="preserve">КУЛТУРНО-ОБРАЗОВНИ ЦЕНТАР ЧОКА                  </t>
  </si>
  <si>
    <t>Остале тек.дот. по закону-испл.за инвалиде</t>
  </si>
  <si>
    <t>050</t>
  </si>
  <si>
    <t>Позиција - МТ</t>
  </si>
  <si>
    <t>Програмска 
класификација</t>
  </si>
  <si>
    <t>0602</t>
  </si>
  <si>
    <t>ПРОГРАМ 15 ЛОКАЛНА САМОУПРАВА</t>
  </si>
  <si>
    <t>0602-0001</t>
  </si>
  <si>
    <t>0602-0010</t>
  </si>
  <si>
    <t>2001-0001</t>
  </si>
  <si>
    <t>2002-0001</t>
  </si>
  <si>
    <t>2003</t>
  </si>
  <si>
    <t>2002</t>
  </si>
  <si>
    <t>2001</t>
  </si>
  <si>
    <t>2003-0001</t>
  </si>
  <si>
    <t>1201</t>
  </si>
  <si>
    <t>1201-0001</t>
  </si>
  <si>
    <t>0901</t>
  </si>
  <si>
    <t>0901-0001</t>
  </si>
  <si>
    <t>ПРОГРАМ 11 СОЦИЈАЛНА И ДЕЧИЈА ЗАШТИТА</t>
  </si>
  <si>
    <t>1801</t>
  </si>
  <si>
    <t>1801-0001</t>
  </si>
  <si>
    <t>1101</t>
  </si>
  <si>
    <t>0602-0002</t>
  </si>
  <si>
    <t>Пројекат:  ЛАГ</t>
  </si>
  <si>
    <t>0901-0005</t>
  </si>
  <si>
    <t>423</t>
  </si>
  <si>
    <t>0901-0006</t>
  </si>
  <si>
    <t>1301</t>
  </si>
  <si>
    <t>ПРОГРАМ 14 РАЗВОЈ СПОРТА И ОМЛАДИНЕ</t>
  </si>
  <si>
    <t>1301-0001</t>
  </si>
  <si>
    <t>1201-0002</t>
  </si>
  <si>
    <t>0101</t>
  </si>
  <si>
    <t>0101-0001</t>
  </si>
  <si>
    <t>0101-0002</t>
  </si>
  <si>
    <t>ПРОГРАМ 6: ЗАШТИТА ЖИВОТНЕ СРЕДИНЕ</t>
  </si>
  <si>
    <t>0401</t>
  </si>
  <si>
    <t>0401-0001</t>
  </si>
  <si>
    <t>1101-0001</t>
  </si>
  <si>
    <t>0701</t>
  </si>
  <si>
    <t>0701-0002</t>
  </si>
  <si>
    <t>ПРОГРАМ 2: КОМУНАЛНА ДЕЛАТНОСТ</t>
  </si>
  <si>
    <t xml:space="preserve">Функционисање локалне самоуправе </t>
  </si>
  <si>
    <t>Функционисање основних школа</t>
  </si>
  <si>
    <t>Функционисање средњих школа</t>
  </si>
  <si>
    <t>Функционисање локалних установа културе</t>
  </si>
  <si>
    <t>Подршка локалним спортским организацијама, удружењима и савезима</t>
  </si>
  <si>
    <t>Функционисање установа примарне здравствене заштите</t>
  </si>
  <si>
    <t>Управљање комуналним отпадом</t>
  </si>
  <si>
    <t>Водоснабдевање</t>
  </si>
  <si>
    <t xml:space="preserve">Пројекат:  Подршка спровођењу пројеката локалне самоуптаве, НВО, привредних и друштвених организација </t>
  </si>
  <si>
    <t>3</t>
  </si>
  <si>
    <t>4</t>
  </si>
  <si>
    <t>Заштита животне средине некласификована на другом месту</t>
  </si>
  <si>
    <t>ЗДРАВСТВО</t>
  </si>
  <si>
    <t>Фармацеутски производи</t>
  </si>
  <si>
    <t>Остали медицински производи</t>
  </si>
  <si>
    <t>Терапеутска помагала и опрема</t>
  </si>
  <si>
    <t>Опште медицинске услуге</t>
  </si>
  <si>
    <t>Специјализоване медицинске услуге</t>
  </si>
  <si>
    <t>Стоматолошке услуге</t>
  </si>
  <si>
    <t>Парамедицинске услуге</t>
  </si>
  <si>
    <t>Опште болничке услуге</t>
  </si>
  <si>
    <t>Специјализоване болничке услуге</t>
  </si>
  <si>
    <t>Услуге медицинских центара и породилишта</t>
  </si>
  <si>
    <t>РЕКРЕАЦИЈА, СПОРТ, КУЛТУРА И ВЕРЕ</t>
  </si>
  <si>
    <t>Рекреација, спорт, култура и вере, некласификовано на другом месту</t>
  </si>
  <si>
    <t>ОБРАЗОВАЊЕ</t>
  </si>
  <si>
    <t>Основно образовање са домом ученика</t>
  </si>
  <si>
    <t>Основно образовање са средњом школом</t>
  </si>
  <si>
    <t>Специјално основно образовање</t>
  </si>
  <si>
    <t>Основно образовање са средњом школом и домом ученика</t>
  </si>
  <si>
    <t>Ниже средње образовање</t>
  </si>
  <si>
    <t>Више средње образовање</t>
  </si>
  <si>
    <t>Средње образовање са домом ученика</t>
  </si>
  <si>
    <t>Више образовање</t>
  </si>
  <si>
    <t>Више образовање са студентским домом</t>
  </si>
  <si>
    <t>Високо образовање - први степен</t>
  </si>
  <si>
    <t>СОЦИЈАЛНА ЗАШТИТА</t>
  </si>
  <si>
    <t>ОПШТЕ ЈАВНЕ УСЛУГЕ</t>
  </si>
  <si>
    <t>Извршни и законодавни органи</t>
  </si>
  <si>
    <t>Финансијски и фискални послови</t>
  </si>
  <si>
    <t>Спољни послови</t>
  </si>
  <si>
    <t>Економска помоћ земљама у развоју и земљама у транзицији</t>
  </si>
  <si>
    <t>Економска помоћ преко међународних организација</t>
  </si>
  <si>
    <t>Опште кадровске услуге</t>
  </si>
  <si>
    <t>Опште услуге планирања и статистике</t>
  </si>
  <si>
    <t>Остале опште услуге</t>
  </si>
  <si>
    <t>Трансфери општег карактера између различитих нивоа власти</t>
  </si>
  <si>
    <t>ЈАВНИ РЕД И БЕЗБЕДНОСТ</t>
  </si>
  <si>
    <t>ЕКОНОМСКИ ПОСЛОВИ</t>
  </si>
  <si>
    <t>Општи економски и комерцијални послови</t>
  </si>
  <si>
    <t>Општи послови по питању рада</t>
  </si>
  <si>
    <t>Пољопривреда</t>
  </si>
  <si>
    <t>Шумарство</t>
  </si>
  <si>
    <t>Лов и риболов</t>
  </si>
  <si>
    <t>Угаљ и остала чврста минерална горива</t>
  </si>
  <si>
    <t>Нафта и природни гас</t>
  </si>
  <si>
    <t>Нуклеарно гориво</t>
  </si>
  <si>
    <t>Остала горива</t>
  </si>
  <si>
    <t>Електрична енергија</t>
  </si>
  <si>
    <t>Остала енергија</t>
  </si>
  <si>
    <t>Ископавање минералних ресурса, изузев минералних горива</t>
  </si>
  <si>
    <t>Производња</t>
  </si>
  <si>
    <t>Изградња</t>
  </si>
  <si>
    <t>Друмски саобраћај</t>
  </si>
  <si>
    <t>Водени саобраћај</t>
  </si>
  <si>
    <t>Железнички саобраћај</t>
  </si>
  <si>
    <t>Ваздушни саобраћај</t>
  </si>
  <si>
    <t>Цевоводи и други облици саобраћаја</t>
  </si>
  <si>
    <t>Трговина, смештај и складиштење</t>
  </si>
  <si>
    <t>Хотели и ресторани</t>
  </si>
  <si>
    <t>Туризам</t>
  </si>
  <si>
    <t>Вишенаменски развојни пројекти</t>
  </si>
  <si>
    <t>Истраживање и развој - Општи економски и комерцијални послови и послови по питању рада</t>
  </si>
  <si>
    <t>Истраживање и развој - Пољопривреда, шумарство, лов и риболов</t>
  </si>
  <si>
    <t>Истраживање и развој - Гориво и енергија</t>
  </si>
  <si>
    <t>Истраживање и развој - Рударство, производња и изградња</t>
  </si>
  <si>
    <t>Истраживање и развој - Саобраћај</t>
  </si>
  <si>
    <t>Истраживање и развој - Комуникације</t>
  </si>
  <si>
    <t>Истраживање и развој - Остале делатности</t>
  </si>
  <si>
    <t>Економски послови некласификовани на другом месту</t>
  </si>
  <si>
    <t>ЗАШТИТА ЖИВОТНЕ СРЕДИНЕ</t>
  </si>
  <si>
    <t>912</t>
  </si>
  <si>
    <t>Средства из осталих извора</t>
  </si>
  <si>
    <t>Структура         %</t>
  </si>
  <si>
    <t>410</t>
  </si>
  <si>
    <t>420</t>
  </si>
  <si>
    <t>421</t>
  </si>
  <si>
    <t>430</t>
  </si>
  <si>
    <t>440</t>
  </si>
  <si>
    <t>450</t>
  </si>
  <si>
    <t>460</t>
  </si>
  <si>
    <t>470</t>
  </si>
  <si>
    <t>480</t>
  </si>
  <si>
    <t>510</t>
  </si>
  <si>
    <t>540</t>
  </si>
  <si>
    <t>610</t>
  </si>
  <si>
    <t>620</t>
  </si>
  <si>
    <t>452</t>
  </si>
  <si>
    <t xml:space="preserve">       ОПШТИ ДЕО  -   ФУНКЦИОНАЛНА КЛАСИФИКАЦИЈА РАСХОДА</t>
  </si>
  <si>
    <t>Функциje</t>
  </si>
  <si>
    <t xml:space="preserve">Функционална класификација </t>
  </si>
  <si>
    <t>010</t>
  </si>
  <si>
    <t>Болест и инвалидност;</t>
  </si>
  <si>
    <t>020</t>
  </si>
  <si>
    <t>Старост;</t>
  </si>
  <si>
    <t>030</t>
  </si>
  <si>
    <t>Корисници породичне пензије;</t>
  </si>
  <si>
    <t>Породица и деца;</t>
  </si>
  <si>
    <t>Незапосленост;</t>
  </si>
  <si>
    <t>060</t>
  </si>
  <si>
    <t>Становање;</t>
  </si>
  <si>
    <t>070</t>
  </si>
  <si>
    <t>Социјална помоћ угроженом становништву некласификована на другом месту;</t>
  </si>
  <si>
    <t>080</t>
  </si>
  <si>
    <t>Социјална заштита - истраживање и развој;</t>
  </si>
  <si>
    <t>100</t>
  </si>
  <si>
    <t>110</t>
  </si>
  <si>
    <t>Извршни и законодавни органи, финансијски и фискални послови и спољни послови;</t>
  </si>
  <si>
    <t>111</t>
  </si>
  <si>
    <t>112</t>
  </si>
  <si>
    <t>113</t>
  </si>
  <si>
    <t>120</t>
  </si>
  <si>
    <t>Економска помоћ иностранству;</t>
  </si>
  <si>
    <t>121</t>
  </si>
  <si>
    <t>122</t>
  </si>
  <si>
    <t>Опште услуге;</t>
  </si>
  <si>
    <t>131</t>
  </si>
  <si>
    <t>132</t>
  </si>
  <si>
    <t>133</t>
  </si>
  <si>
    <t>140</t>
  </si>
  <si>
    <t>Основно истраживање;</t>
  </si>
  <si>
    <t>150</t>
  </si>
  <si>
    <t>Опште јавне услуге - истраживање и развој;</t>
  </si>
  <si>
    <t>Опште јавне услуге некласификоване на другом месту;</t>
  </si>
  <si>
    <t>170</t>
  </si>
  <si>
    <t>Трансакције јавног дуга;</t>
  </si>
  <si>
    <t>180</t>
  </si>
  <si>
    <t>300</t>
  </si>
  <si>
    <t>310</t>
  </si>
  <si>
    <t>Услуге полиције;</t>
  </si>
  <si>
    <t>320</t>
  </si>
  <si>
    <t>Услуге противпожарне заштите;</t>
  </si>
  <si>
    <t>330</t>
  </si>
  <si>
    <t>Судови;</t>
  </si>
  <si>
    <t>340</t>
  </si>
  <si>
    <t>Затвори;</t>
  </si>
  <si>
    <t>350</t>
  </si>
  <si>
    <t>Јавни ред и безбедност - истраживање и развој;</t>
  </si>
  <si>
    <t>360</t>
  </si>
  <si>
    <t>Јавни ред и безбедност некласификован на другом месту</t>
  </si>
  <si>
    <t>400</t>
  </si>
  <si>
    <t>Општи економски и комерцијални послови и послови по питању рада;</t>
  </si>
  <si>
    <t>411</t>
  </si>
  <si>
    <t>412</t>
  </si>
  <si>
    <t>Пољопривреда, шумарство, лов и риболов;</t>
  </si>
  <si>
    <t>422</t>
  </si>
  <si>
    <t>Гориво и енергија;</t>
  </si>
  <si>
    <t>431</t>
  </si>
  <si>
    <t>432</t>
  </si>
  <si>
    <t>433</t>
  </si>
  <si>
    <t>434</t>
  </si>
  <si>
    <t>435</t>
  </si>
  <si>
    <t>436</t>
  </si>
  <si>
    <t>Рударство, производња и изградња;</t>
  </si>
  <si>
    <t>441</t>
  </si>
  <si>
    <t>442</t>
  </si>
  <si>
    <t>443</t>
  </si>
  <si>
    <t>Саобраћај;</t>
  </si>
  <si>
    <t>451</t>
  </si>
  <si>
    <t>453</t>
  </si>
  <si>
    <t>454</t>
  </si>
  <si>
    <t>455</t>
  </si>
  <si>
    <t>Комуникације;</t>
  </si>
  <si>
    <t>Остале делатности;</t>
  </si>
  <si>
    <t>471</t>
  </si>
  <si>
    <t>472</t>
  </si>
  <si>
    <t>473</t>
  </si>
  <si>
    <t>474</t>
  </si>
  <si>
    <t>Економски послови - истраживање и развој;</t>
  </si>
  <si>
    <t>481</t>
  </si>
  <si>
    <t>482</t>
  </si>
  <si>
    <t>483</t>
  </si>
  <si>
    <t>484</t>
  </si>
  <si>
    <t>485</t>
  </si>
  <si>
    <t>486</t>
  </si>
  <si>
    <t>487</t>
  </si>
  <si>
    <t>490</t>
  </si>
  <si>
    <t>500</t>
  </si>
  <si>
    <t>Управљање отпадом;</t>
  </si>
  <si>
    <t>530</t>
  </si>
  <si>
    <t>Смањење загађености;</t>
  </si>
  <si>
    <t>Заштита биљног и животињског света и крајолика;</t>
  </si>
  <si>
    <t>550</t>
  </si>
  <si>
    <t>Заштита животне средине - истраживање и развој;</t>
  </si>
  <si>
    <t>560</t>
  </si>
  <si>
    <t>600</t>
  </si>
  <si>
    <t>ПОСЛОВИ СТАНОВАЊА И ЗАЈЕДНИЦЕ</t>
  </si>
  <si>
    <t>Стамбени развој;</t>
  </si>
  <si>
    <t>Развој заједнице;</t>
  </si>
  <si>
    <t>630</t>
  </si>
  <si>
    <t>Водоснабдевање;</t>
  </si>
  <si>
    <t>640</t>
  </si>
  <si>
    <t>Улична расвета;</t>
  </si>
  <si>
    <t>650</t>
  </si>
  <si>
    <t>Послови становања и заједнице - истраживање и развој;</t>
  </si>
  <si>
    <t>710</t>
  </si>
  <si>
    <t>Медицински производи, помагала и опрема;</t>
  </si>
  <si>
    <t>711</t>
  </si>
  <si>
    <t>712</t>
  </si>
  <si>
    <t>713</t>
  </si>
  <si>
    <t>720</t>
  </si>
  <si>
    <t>Ванболничке услуге;</t>
  </si>
  <si>
    <t>721</t>
  </si>
  <si>
    <t>722</t>
  </si>
  <si>
    <t>723</t>
  </si>
  <si>
    <t>724</t>
  </si>
  <si>
    <t>730</t>
  </si>
  <si>
    <t>Болничке услуге;</t>
  </si>
  <si>
    <t>731</t>
  </si>
  <si>
    <t>732</t>
  </si>
  <si>
    <t>733</t>
  </si>
  <si>
    <t>734</t>
  </si>
  <si>
    <t>Услуге домова за негу и опоравак</t>
  </si>
  <si>
    <t>740</t>
  </si>
  <si>
    <t>Услуге јавног здравства;</t>
  </si>
  <si>
    <t>750</t>
  </si>
  <si>
    <t>Здравство - истраживање и развој;</t>
  </si>
  <si>
    <t>Здравство некласификовано на другом месту.</t>
  </si>
  <si>
    <t>800</t>
  </si>
  <si>
    <t>810</t>
  </si>
  <si>
    <t>Услуге рекреације и спорта;</t>
  </si>
  <si>
    <t>820</t>
  </si>
  <si>
    <t>Услуге културе;</t>
  </si>
  <si>
    <t>830</t>
  </si>
  <si>
    <t>Услуге емитовања и штампања;</t>
  </si>
  <si>
    <t>840</t>
  </si>
  <si>
    <t>Верске и остале услуге заједнице;</t>
  </si>
  <si>
    <t>850</t>
  </si>
  <si>
    <t>Рекреација, спорт, култура и вере - истраживање и развој;</t>
  </si>
  <si>
    <t>860</t>
  </si>
  <si>
    <t>900</t>
  </si>
  <si>
    <t>910</t>
  </si>
  <si>
    <t>Предшколско и основно образовање;</t>
  </si>
  <si>
    <t>911</t>
  </si>
  <si>
    <t>913</t>
  </si>
  <si>
    <t>914</t>
  </si>
  <si>
    <t>915</t>
  </si>
  <si>
    <t>916</t>
  </si>
  <si>
    <t>920</t>
  </si>
  <si>
    <t>Средње образовање;</t>
  </si>
  <si>
    <t>921</t>
  </si>
  <si>
    <t>922</t>
  </si>
  <si>
    <t>923</t>
  </si>
  <si>
    <t>930</t>
  </si>
  <si>
    <t>Више образовање;</t>
  </si>
  <si>
    <t>931</t>
  </si>
  <si>
    <t>932</t>
  </si>
  <si>
    <t>940</t>
  </si>
  <si>
    <t>Високо образовање;</t>
  </si>
  <si>
    <t>941</t>
  </si>
  <si>
    <t>942</t>
  </si>
  <si>
    <t>Високо образовање - други степен</t>
  </si>
  <si>
    <t>950</t>
  </si>
  <si>
    <t>Образовање које није дефинисано нивоом;</t>
  </si>
  <si>
    <t>960</t>
  </si>
  <si>
    <t>Помоћне услуге образовању;</t>
  </si>
  <si>
    <t>970</t>
  </si>
  <si>
    <t>Образовање - истраживање и развој;</t>
  </si>
  <si>
    <t>Укупна јавна средства</t>
  </si>
  <si>
    <t>Уређивање, одржавање и коришћење пијацa</t>
  </si>
  <si>
    <t>2003-П28</t>
  </si>
  <si>
    <t>2003-П29</t>
  </si>
  <si>
    <t>2003-П30</t>
  </si>
  <si>
    <t>2001-П30</t>
  </si>
  <si>
    <t>0901-П1</t>
  </si>
  <si>
    <t>0901-П2</t>
  </si>
  <si>
    <t>0901-П3</t>
  </si>
  <si>
    <t>0901-П4</t>
  </si>
  <si>
    <t>0901-П5</t>
  </si>
  <si>
    <t>0901-П6</t>
  </si>
  <si>
    <t>0901-П7</t>
  </si>
  <si>
    <t>0901-П8</t>
  </si>
  <si>
    <t>0901-П9</t>
  </si>
  <si>
    <t>0901-П10</t>
  </si>
  <si>
    <t>0901-П11</t>
  </si>
  <si>
    <t>0901-П12</t>
  </si>
  <si>
    <t>0901-П13</t>
  </si>
  <si>
    <t>0901-П14</t>
  </si>
  <si>
    <t>0901-П15</t>
  </si>
  <si>
    <t>0901-П16</t>
  </si>
  <si>
    <t>0901-П17</t>
  </si>
  <si>
    <t>0901-П18</t>
  </si>
  <si>
    <t>0901-П19</t>
  </si>
  <si>
    <t>0901-П20</t>
  </si>
  <si>
    <t>0901-П21</t>
  </si>
  <si>
    <t>0901-П22</t>
  </si>
  <si>
    <t>0901-П23</t>
  </si>
  <si>
    <t>0901-П24</t>
  </si>
  <si>
    <t>0901-П25</t>
  </si>
  <si>
    <t>0901-П26</t>
  </si>
  <si>
    <t>0901-П27</t>
  </si>
  <si>
    <t>0901-П28</t>
  </si>
  <si>
    <t>0901-П29</t>
  </si>
  <si>
    <t>0901-П30</t>
  </si>
  <si>
    <t>1801-П2</t>
  </si>
  <si>
    <t>1801-П3</t>
  </si>
  <si>
    <t>1801-П4</t>
  </si>
  <si>
    <t>1801-П5</t>
  </si>
  <si>
    <t>1801-П6</t>
  </si>
  <si>
    <t>1801-П7</t>
  </si>
  <si>
    <t>1801-П8</t>
  </si>
  <si>
    <t>1801-П9</t>
  </si>
  <si>
    <t>1801-П10</t>
  </si>
  <si>
    <t>1801-П11</t>
  </si>
  <si>
    <t>1801-П12</t>
  </si>
  <si>
    <t>1801-П13</t>
  </si>
  <si>
    <t>1801-П14</t>
  </si>
  <si>
    <t>1801-П15</t>
  </si>
  <si>
    <t>1801-П16</t>
  </si>
  <si>
    <t>1801-П17</t>
  </si>
  <si>
    <t>1801-П18</t>
  </si>
  <si>
    <t>1801-П19</t>
  </si>
  <si>
    <t>1801-П20</t>
  </si>
  <si>
    <t>1801-П21</t>
  </si>
  <si>
    <t>1801-П22</t>
  </si>
  <si>
    <t>1801-П23</t>
  </si>
  <si>
    <t>1801-П24</t>
  </si>
  <si>
    <t>1801-П25</t>
  </si>
  <si>
    <t>1801-П26</t>
  </si>
  <si>
    <t>1801-П27</t>
  </si>
  <si>
    <t>1801-П28</t>
  </si>
  <si>
    <t>1801-П29</t>
  </si>
  <si>
    <t>1801-П30</t>
  </si>
  <si>
    <t>1201-П3</t>
  </si>
  <si>
    <t>1201-П4</t>
  </si>
  <si>
    <t>1201-П5</t>
  </si>
  <si>
    <t>1201-П6</t>
  </si>
  <si>
    <t>1201-П7</t>
  </si>
  <si>
    <t>1201-П8</t>
  </si>
  <si>
    <t>1201-П9</t>
  </si>
  <si>
    <t>1201-П10</t>
  </si>
  <si>
    <t>1201-П11</t>
  </si>
  <si>
    <t>1201-П12</t>
  </si>
  <si>
    <t>1201-П13</t>
  </si>
  <si>
    <t>1201-П14</t>
  </si>
  <si>
    <t>1201-П15</t>
  </si>
  <si>
    <t>1201-П16</t>
  </si>
  <si>
    <t>1201-П17</t>
  </si>
  <si>
    <t>1201-П18</t>
  </si>
  <si>
    <t>1201-П19</t>
  </si>
  <si>
    <t>1201-П20</t>
  </si>
  <si>
    <t>1201-П21</t>
  </si>
  <si>
    <t>1201-П22</t>
  </si>
  <si>
    <t>1201-П23</t>
  </si>
  <si>
    <t>1201-П24</t>
  </si>
  <si>
    <t>1201-П25</t>
  </si>
  <si>
    <t>1201-П26</t>
  </si>
  <si>
    <t>1201-П27</t>
  </si>
  <si>
    <t>1201-П28</t>
  </si>
  <si>
    <t>1201-П29</t>
  </si>
  <si>
    <t>1201-П30</t>
  </si>
  <si>
    <t>1201-П31</t>
  </si>
  <si>
    <t>1201-П32</t>
  </si>
  <si>
    <t>1201-П33</t>
  </si>
  <si>
    <t>1201-П34</t>
  </si>
  <si>
    <t>1201-П35</t>
  </si>
  <si>
    <t>1201-П36</t>
  </si>
  <si>
    <t>1201-П37</t>
  </si>
  <si>
    <t>1201-П38</t>
  </si>
  <si>
    <t>1201-П39</t>
  </si>
  <si>
    <t>1201-П40</t>
  </si>
  <si>
    <t>1201-П41</t>
  </si>
  <si>
    <t>1201-П42</t>
  </si>
  <si>
    <t>1201-П43</t>
  </si>
  <si>
    <t>1201-П44</t>
  </si>
  <si>
    <t>1201-П45</t>
  </si>
  <si>
    <t>1201-П46</t>
  </si>
  <si>
    <t>1201-П47</t>
  </si>
  <si>
    <t>1201-П48</t>
  </si>
  <si>
    <t>1201-П49</t>
  </si>
  <si>
    <t>1201-П50</t>
  </si>
  <si>
    <t>1301-П1</t>
  </si>
  <si>
    <t>1301-П2</t>
  </si>
  <si>
    <t>1301-П3</t>
  </si>
  <si>
    <t>1301-П4</t>
  </si>
  <si>
    <t>1301-П5</t>
  </si>
  <si>
    <t>1301-П6</t>
  </si>
  <si>
    <t>1301-П7</t>
  </si>
  <si>
    <t>1301-П8</t>
  </si>
  <si>
    <t>1301-П9</t>
  </si>
  <si>
    <t>1301-П10</t>
  </si>
  <si>
    <t>1301-П11</t>
  </si>
  <si>
    <t>1301-П12</t>
  </si>
  <si>
    <t>1301-П13</t>
  </si>
  <si>
    <t>1301-П14</t>
  </si>
  <si>
    <t>1301-П15</t>
  </si>
  <si>
    <t>1301-П16</t>
  </si>
  <si>
    <t>1301-П17</t>
  </si>
  <si>
    <t>1301-П18</t>
  </si>
  <si>
    <t>1301-П19</t>
  </si>
  <si>
    <t>1301-П20</t>
  </si>
  <si>
    <t>1301-П21</t>
  </si>
  <si>
    <t>1301-П22</t>
  </si>
  <si>
    <t>1301-П23</t>
  </si>
  <si>
    <t>1301-П24</t>
  </si>
  <si>
    <t>1301-П25</t>
  </si>
  <si>
    <t>1301-П26</t>
  </si>
  <si>
    <t>1301-П27</t>
  </si>
  <si>
    <t>1301-П28</t>
  </si>
  <si>
    <t>1301-П29</t>
  </si>
  <si>
    <t>1301-П30</t>
  </si>
  <si>
    <t>1301-П31</t>
  </si>
  <si>
    <t>1301-П32</t>
  </si>
  <si>
    <t>1301-П33</t>
  </si>
  <si>
    <t>1301-П34</t>
  </si>
  <si>
    <t>1301-П35</t>
  </si>
  <si>
    <t>1301-П36</t>
  </si>
  <si>
    <t>1301-П37</t>
  </si>
  <si>
    <t>1301-П38</t>
  </si>
  <si>
    <t>1301-П39</t>
  </si>
  <si>
    <t>1301-П40</t>
  </si>
  <si>
    <t>1301-П41</t>
  </si>
  <si>
    <t>1301-П42</t>
  </si>
  <si>
    <t>1301-П43</t>
  </si>
  <si>
    <t>1301-П44</t>
  </si>
  <si>
    <t>1301-П45</t>
  </si>
  <si>
    <t>1301-П46</t>
  </si>
  <si>
    <t>1301-П47</t>
  </si>
  <si>
    <t>1301-П48</t>
  </si>
  <si>
    <t>1301-П49</t>
  </si>
  <si>
    <t>1301-П50</t>
  </si>
  <si>
    <t>0602-П1</t>
  </si>
  <si>
    <t>0602-П3</t>
  </si>
  <si>
    <t>0602-П4</t>
  </si>
  <si>
    <t>0602-П6</t>
  </si>
  <si>
    <t>0602-П7</t>
  </si>
  <si>
    <t>0602-П8</t>
  </si>
  <si>
    <t>0602-П9</t>
  </si>
  <si>
    <t>0602-П10</t>
  </si>
  <si>
    <t>0602-П11</t>
  </si>
  <si>
    <t>0602-П12</t>
  </si>
  <si>
    <t>0602-П13</t>
  </si>
  <si>
    <t>0602-П14</t>
  </si>
  <si>
    <t>0602-П15</t>
  </si>
  <si>
    <t>0602-П16</t>
  </si>
  <si>
    <t>0602-П17</t>
  </si>
  <si>
    <t>0602-П18</t>
  </si>
  <si>
    <t>0602-П19</t>
  </si>
  <si>
    <t>0602-П20</t>
  </si>
  <si>
    <t>0602-П21</t>
  </si>
  <si>
    <t>0602-П22</t>
  </si>
  <si>
    <t>0602-П23</t>
  </si>
  <si>
    <t>0602-П24</t>
  </si>
  <si>
    <t>0602-П25</t>
  </si>
  <si>
    <t>0602-П26</t>
  </si>
  <si>
    <t>0602-П27</t>
  </si>
  <si>
    <t>0602-П28</t>
  </si>
  <si>
    <t>0602-П29</t>
  </si>
  <si>
    <t>0602-П30</t>
  </si>
  <si>
    <t>0602-П31</t>
  </si>
  <si>
    <t>0602-П32</t>
  </si>
  <si>
    <t>0602-П33</t>
  </si>
  <si>
    <t>0602-П34</t>
  </si>
  <si>
    <t>0602-П35</t>
  </si>
  <si>
    <t>0602-П36</t>
  </si>
  <si>
    <t>0602-П37</t>
  </si>
  <si>
    <t>0602-П38</t>
  </si>
  <si>
    <t>0602-П39</t>
  </si>
  <si>
    <t>0602-П40</t>
  </si>
  <si>
    <t>0602-П41</t>
  </si>
  <si>
    <t>0602-П42</t>
  </si>
  <si>
    <t>0602-П43</t>
  </si>
  <si>
    <t>0602-П44</t>
  </si>
  <si>
    <t>0602-П45</t>
  </si>
  <si>
    <t>0602-П46</t>
  </si>
  <si>
    <t>0602-П47</t>
  </si>
  <si>
    <t>0602-П48</t>
  </si>
  <si>
    <t>0602-П49</t>
  </si>
  <si>
    <t>0602-П50</t>
  </si>
  <si>
    <t>0602-П51</t>
  </si>
  <si>
    <t>0602-П52</t>
  </si>
  <si>
    <t>0602-П53</t>
  </si>
  <si>
    <t>0602-П54</t>
  </si>
  <si>
    <t>0602-П55</t>
  </si>
  <si>
    <t>0602-П56</t>
  </si>
  <si>
    <t>0602-П57</t>
  </si>
  <si>
    <t>0602-П58</t>
  </si>
  <si>
    <t>0602-П59</t>
  </si>
  <si>
    <t>0602-П60</t>
  </si>
  <si>
    <t>0602-П61</t>
  </si>
  <si>
    <t>0602-П62</t>
  </si>
  <si>
    <t>0602-П63</t>
  </si>
  <si>
    <t>0602-П64</t>
  </si>
  <si>
    <t>0602-П65</t>
  </si>
  <si>
    <t>0602-П66</t>
  </si>
  <si>
    <t>0602-П67</t>
  </si>
  <si>
    <t>0602-П68</t>
  </si>
  <si>
    <t>0602-П69</t>
  </si>
  <si>
    <t>0602-П70</t>
  </si>
  <si>
    <t>1501</t>
  </si>
  <si>
    <t>1502</t>
  </si>
  <si>
    <t>Шифра</t>
  </si>
  <si>
    <t xml:space="preserve">       ОПШТИ ДЕО - ПРОГРАМСКА КЛАСИФИКАЦИЈА РАСХОДА</t>
  </si>
  <si>
    <t>Програм</t>
  </si>
  <si>
    <t>2</t>
  </si>
  <si>
    <t>0601-0003</t>
  </si>
  <si>
    <t>Одржавање депонија</t>
  </si>
  <si>
    <t>0601-0004</t>
  </si>
  <si>
    <t>Даљинско грејање</t>
  </si>
  <si>
    <t>0601-0005</t>
  </si>
  <si>
    <t>Јавни превоз</t>
  </si>
  <si>
    <t>0601-0006</t>
  </si>
  <si>
    <t>Паркинг сервис</t>
  </si>
  <si>
    <t>0601-0007</t>
  </si>
  <si>
    <t>0601-0011</t>
  </si>
  <si>
    <t>0601-0013</t>
  </si>
  <si>
    <t>Ауто-такси превоз путника</t>
  </si>
  <si>
    <t>1501-0001</t>
  </si>
  <si>
    <t>1501-0002</t>
  </si>
  <si>
    <t>Унапређење привредног амбијента</t>
  </si>
  <si>
    <t>1501-0003</t>
  </si>
  <si>
    <t>Подстицаји за развој предузетништва</t>
  </si>
  <si>
    <t>1501-0004</t>
  </si>
  <si>
    <t>Одржавање економске инфраструктуре</t>
  </si>
  <si>
    <t>Управљање развојем туризма</t>
  </si>
  <si>
    <t>Туристичка промоција</t>
  </si>
  <si>
    <t>0401-0003</t>
  </si>
  <si>
    <t>Праћење квалитета елемената животне средине</t>
  </si>
  <si>
    <t>0401-0004</t>
  </si>
  <si>
    <t>Управљање саобраћајном инфраструктуром</t>
  </si>
  <si>
    <t>1502-0001</t>
  </si>
  <si>
    <t>0901-0002</t>
  </si>
  <si>
    <t>Прихватилишта, прихватне станице и друге врсте смештаја</t>
  </si>
  <si>
    <t>0901-0003</t>
  </si>
  <si>
    <t>Подршка социо-хуманитарним организацијама</t>
  </si>
  <si>
    <t>1301-0003</t>
  </si>
  <si>
    <t>Одржавање спортске инфраструктуре</t>
  </si>
  <si>
    <t>Функционисање локалне самоуправе и градских општина</t>
  </si>
  <si>
    <t>0602-0003</t>
  </si>
  <si>
    <t>Управљање јавним дугом</t>
  </si>
  <si>
    <t>0602-0004</t>
  </si>
  <si>
    <t>0602-0005</t>
  </si>
  <si>
    <t>0602-0007</t>
  </si>
  <si>
    <t>0602-0009</t>
  </si>
  <si>
    <t>Правна помоћ</t>
  </si>
  <si>
    <t>0701-0001</t>
  </si>
  <si>
    <t>Остале некретнина и опреме</t>
  </si>
  <si>
    <t xml:space="preserve"> Програмска активност/  Пројекат</t>
  </si>
  <si>
    <t>Назив</t>
  </si>
  <si>
    <t xml:space="preserve">УКУПНИ ПРОГРАМСКИ ЈАВНИ РАСХОДИ </t>
  </si>
  <si>
    <t>Надлежан орган/особа</t>
  </si>
  <si>
    <t>1502-0002</t>
  </si>
  <si>
    <t>1101-0002</t>
  </si>
  <si>
    <t>1101-П1</t>
  </si>
  <si>
    <t>1101-П2</t>
  </si>
  <si>
    <t>1101-П3</t>
  </si>
  <si>
    <t>1101-П4</t>
  </si>
  <si>
    <t>1101-П5</t>
  </si>
  <si>
    <t>1101-П6</t>
  </si>
  <si>
    <t>1101-П7</t>
  </si>
  <si>
    <t>1101-П8</t>
  </si>
  <si>
    <t>1101-П9</t>
  </si>
  <si>
    <t>1101-П10</t>
  </si>
  <si>
    <t>1101-П11</t>
  </si>
  <si>
    <t>1101-П12</t>
  </si>
  <si>
    <t>1101-П13</t>
  </si>
  <si>
    <t>1101-П14</t>
  </si>
  <si>
    <t>1101-П15</t>
  </si>
  <si>
    <t>1101-П16</t>
  </si>
  <si>
    <t>1101-П17</t>
  </si>
  <si>
    <t>1101-П18</t>
  </si>
  <si>
    <t>1101-П19</t>
  </si>
  <si>
    <t>1101-П20</t>
  </si>
  <si>
    <t>1101-П21</t>
  </si>
  <si>
    <t>1101-П22</t>
  </si>
  <si>
    <t>1101-П23</t>
  </si>
  <si>
    <t>1101-П24</t>
  </si>
  <si>
    <t>0601-П2</t>
  </si>
  <si>
    <t>0601-П3</t>
  </si>
  <si>
    <t>0601-П4</t>
  </si>
  <si>
    <t>0601-П5</t>
  </si>
  <si>
    <t>0601-П6</t>
  </si>
  <si>
    <t>0601-П7</t>
  </si>
  <si>
    <t>0601-П8</t>
  </si>
  <si>
    <t>0601-П9</t>
  </si>
  <si>
    <t>0601-П10</t>
  </si>
  <si>
    <t>0601-П11</t>
  </si>
  <si>
    <t>0601-П12</t>
  </si>
  <si>
    <t>0601-П13</t>
  </si>
  <si>
    <t>0601-П14</t>
  </si>
  <si>
    <t>0601-П15</t>
  </si>
  <si>
    <t>0601-П16</t>
  </si>
  <si>
    <t>0601-П17</t>
  </si>
  <si>
    <t>0601-П18</t>
  </si>
  <si>
    <t>0601-П19</t>
  </si>
  <si>
    <t>0601-П20</t>
  </si>
  <si>
    <t>0601-П21</t>
  </si>
  <si>
    <t>0601-П22</t>
  </si>
  <si>
    <t>0601-П23</t>
  </si>
  <si>
    <t>0601-П24</t>
  </si>
  <si>
    <t>0601-П25</t>
  </si>
  <si>
    <t>0601-П26</t>
  </si>
  <si>
    <t>0601-П27</t>
  </si>
  <si>
    <t>0601-П28</t>
  </si>
  <si>
    <t>0601-П29</t>
  </si>
  <si>
    <t>0601-П30</t>
  </si>
  <si>
    <t>0601-П31</t>
  </si>
  <si>
    <t>0601-П32</t>
  </si>
  <si>
    <t>0601-П33</t>
  </si>
  <si>
    <t>0601-П34</t>
  </si>
  <si>
    <t>0601-П35</t>
  </si>
  <si>
    <t>0601-П36</t>
  </si>
  <si>
    <t>0601-П37</t>
  </si>
  <si>
    <t>0601-П38</t>
  </si>
  <si>
    <t>0601-П39</t>
  </si>
  <si>
    <t>0601-П40</t>
  </si>
  <si>
    <t>0601-П41</t>
  </si>
  <si>
    <t>0601-П42</t>
  </si>
  <si>
    <t>0601-П43</t>
  </si>
  <si>
    <t>0601-П44</t>
  </si>
  <si>
    <t>0601-П45</t>
  </si>
  <si>
    <t>0601-П46</t>
  </si>
  <si>
    <t>0601-П47</t>
  </si>
  <si>
    <t>0601-П48</t>
  </si>
  <si>
    <t>0601-П49</t>
  </si>
  <si>
    <t>0601-П50</t>
  </si>
  <si>
    <t>1501-П4</t>
  </si>
  <si>
    <t>1501-П5</t>
  </si>
  <si>
    <t>1501-П6</t>
  </si>
  <si>
    <t>1501-П7</t>
  </si>
  <si>
    <t>1501-П8</t>
  </si>
  <si>
    <t>1501-П9</t>
  </si>
  <si>
    <t>1501-П10</t>
  </si>
  <si>
    <t>1501-П11</t>
  </si>
  <si>
    <t>1501-П12</t>
  </si>
  <si>
    <t>1501-П13</t>
  </si>
  <si>
    <t>1501-П14</t>
  </si>
  <si>
    <t>1501-П15</t>
  </si>
  <si>
    <t>1501-П16</t>
  </si>
  <si>
    <t>1501-П17</t>
  </si>
  <si>
    <t>1501-П18</t>
  </si>
  <si>
    <t>1501-П19</t>
  </si>
  <si>
    <t>1501-П20</t>
  </si>
  <si>
    <t>1501-П21</t>
  </si>
  <si>
    <t>1501-П22</t>
  </si>
  <si>
    <t>1501-П23</t>
  </si>
  <si>
    <t>1501-П24</t>
  </si>
  <si>
    <t>1502-П1</t>
  </si>
  <si>
    <t>1502-П2</t>
  </si>
  <si>
    <t>1502-П3</t>
  </si>
  <si>
    <t>1502-П4</t>
  </si>
  <si>
    <t>1502-П5</t>
  </si>
  <si>
    <t>1502-П6</t>
  </si>
  <si>
    <t>1502-П7</t>
  </si>
  <si>
    <t>1502-П8</t>
  </si>
  <si>
    <t>1502-П9</t>
  </si>
  <si>
    <t>1502-П10</t>
  </si>
  <si>
    <t>1502-П11</t>
  </si>
  <si>
    <t>1502-П12</t>
  </si>
  <si>
    <t>1502-П13</t>
  </si>
  <si>
    <t>1502-П14</t>
  </si>
  <si>
    <t>1502-П15</t>
  </si>
  <si>
    <t>1502-П16</t>
  </si>
  <si>
    <t>1502-П17</t>
  </si>
  <si>
    <t>1502-П18</t>
  </si>
  <si>
    <t>1502-П19</t>
  </si>
  <si>
    <t>1502-П20</t>
  </si>
  <si>
    <t>1502-П21</t>
  </si>
  <si>
    <t>1502-П22</t>
  </si>
  <si>
    <t>1502-П23</t>
  </si>
  <si>
    <t>1502-П24</t>
  </si>
  <si>
    <t>0101-П1</t>
  </si>
  <si>
    <t>0101-П2</t>
  </si>
  <si>
    <t>0101-П3</t>
  </si>
  <si>
    <t>0101-П4</t>
  </si>
  <si>
    <t>0101-П5</t>
  </si>
  <si>
    <t>0101-П6</t>
  </si>
  <si>
    <t>0101-П7</t>
  </si>
  <si>
    <t>0101-П8</t>
  </si>
  <si>
    <t>0101-П9</t>
  </si>
  <si>
    <t>0101-П10</t>
  </si>
  <si>
    <t>0101-П11</t>
  </si>
  <si>
    <t>0101-П12</t>
  </si>
  <si>
    <t>0101-П13</t>
  </si>
  <si>
    <t>0101-П14</t>
  </si>
  <si>
    <t>0101-П15</t>
  </si>
  <si>
    <t>0101-П16</t>
  </si>
  <si>
    <t>0401-П1</t>
  </si>
  <si>
    <t>0401-П2</t>
  </si>
  <si>
    <t>0401-П3</t>
  </si>
  <si>
    <t>0401-П4</t>
  </si>
  <si>
    <t>0401-П5</t>
  </si>
  <si>
    <t>0401-П6</t>
  </si>
  <si>
    <t>0401-П7</t>
  </si>
  <si>
    <t>0401-П8</t>
  </si>
  <si>
    <t>0401-П9</t>
  </si>
  <si>
    <t>0401-П10</t>
  </si>
  <si>
    <t>0401-П11</t>
  </si>
  <si>
    <t>0401-П12</t>
  </si>
  <si>
    <t>0401-П13</t>
  </si>
  <si>
    <t>0401-П14</t>
  </si>
  <si>
    <t>0401-П15</t>
  </si>
  <si>
    <t>0701-П1</t>
  </si>
  <si>
    <t>0701-П2</t>
  </si>
  <si>
    <t>0701-П3</t>
  </si>
  <si>
    <t>0701-П4</t>
  </si>
  <si>
    <t>0701-П5</t>
  </si>
  <si>
    <t>0701-П6</t>
  </si>
  <si>
    <t>0701-П7</t>
  </si>
  <si>
    <t>0701-П8</t>
  </si>
  <si>
    <t>0701-П9</t>
  </si>
  <si>
    <t>0701-П10</t>
  </si>
  <si>
    <t>0701-П11</t>
  </si>
  <si>
    <t>0701-П12</t>
  </si>
  <si>
    <t>0701-П13</t>
  </si>
  <si>
    <t>0701-П14</t>
  </si>
  <si>
    <t>0701-П15</t>
  </si>
  <si>
    <t>0701-П16</t>
  </si>
  <si>
    <t>0701-П17</t>
  </si>
  <si>
    <t>0701-П18</t>
  </si>
  <si>
    <t>0701-П19</t>
  </si>
  <si>
    <t>0701-П20</t>
  </si>
  <si>
    <t>0701-П21</t>
  </si>
  <si>
    <t>0701-П22</t>
  </si>
  <si>
    <t>0701-П23</t>
  </si>
  <si>
    <t>0701-П24</t>
  </si>
  <si>
    <t>0701-П25</t>
  </si>
  <si>
    <t>0701-П26</t>
  </si>
  <si>
    <t>0701-П27</t>
  </si>
  <si>
    <t>0701-П28</t>
  </si>
  <si>
    <t>0701-П29</t>
  </si>
  <si>
    <t>0701-П30</t>
  </si>
  <si>
    <t>0701-П31</t>
  </si>
  <si>
    <t>0701-П32</t>
  </si>
  <si>
    <t>0701-П33</t>
  </si>
  <si>
    <t>0701-П34</t>
  </si>
  <si>
    <t>0701-П35</t>
  </si>
  <si>
    <t>0701-П36</t>
  </si>
  <si>
    <t>0701-П37</t>
  </si>
  <si>
    <t>0701-П38</t>
  </si>
  <si>
    <t>0701-П39</t>
  </si>
  <si>
    <t>0701-П40</t>
  </si>
  <si>
    <t>0701-П41</t>
  </si>
  <si>
    <t>0701-П42</t>
  </si>
  <si>
    <t>0701-П43</t>
  </si>
  <si>
    <t>0701-П44</t>
  </si>
  <si>
    <t>0701-П45</t>
  </si>
  <si>
    <t>0701-П46</t>
  </si>
  <si>
    <t>0701-П47</t>
  </si>
  <si>
    <t>0701-П48</t>
  </si>
  <si>
    <t>0701-П49</t>
  </si>
  <si>
    <t>0701-П50</t>
  </si>
  <si>
    <t>2001-П1</t>
  </si>
  <si>
    <t>2001-П2</t>
  </si>
  <si>
    <t>2001-П3</t>
  </si>
  <si>
    <t>2001-П4</t>
  </si>
  <si>
    <t>2001-П5</t>
  </si>
  <si>
    <t>2001-П6</t>
  </si>
  <si>
    <t>2001-П7</t>
  </si>
  <si>
    <t>2001-П8</t>
  </si>
  <si>
    <t>2001-П9</t>
  </si>
  <si>
    <t>2001-П10</t>
  </si>
  <si>
    <t>2001-П11</t>
  </si>
  <si>
    <t>2001-П12</t>
  </si>
  <si>
    <t>2001-П13</t>
  </si>
  <si>
    <t>2001-П14</t>
  </si>
  <si>
    <t>2001-П15</t>
  </si>
  <si>
    <t>2001-П16</t>
  </si>
  <si>
    <t>2001-П17</t>
  </si>
  <si>
    <t>2001-П18</t>
  </si>
  <si>
    <t>2001-П19</t>
  </si>
  <si>
    <t>2001-П20</t>
  </si>
  <si>
    <t>2001-П21</t>
  </si>
  <si>
    <t>2001-П22</t>
  </si>
  <si>
    <t>2001-П23</t>
  </si>
  <si>
    <t>2001-П24</t>
  </si>
  <si>
    <t>2001-П25</t>
  </si>
  <si>
    <t>2001-П26</t>
  </si>
  <si>
    <t>2001-П27</t>
  </si>
  <si>
    <t>2001-П28</t>
  </si>
  <si>
    <t>2001-П29</t>
  </si>
  <si>
    <t>2002-П1</t>
  </si>
  <si>
    <t>2002-П2</t>
  </si>
  <si>
    <t>2002-П3</t>
  </si>
  <si>
    <t>2002-П4</t>
  </si>
  <si>
    <t>2002-П5</t>
  </si>
  <si>
    <t>2002-П6</t>
  </si>
  <si>
    <t>2002-П7</t>
  </si>
  <si>
    <t>2002-П8</t>
  </si>
  <si>
    <t>2002-П9</t>
  </si>
  <si>
    <t>2002-П10</t>
  </si>
  <si>
    <t>2002-П11</t>
  </si>
  <si>
    <t>2002-П12</t>
  </si>
  <si>
    <t>2002-П13</t>
  </si>
  <si>
    <t>2002-П14</t>
  </si>
  <si>
    <t>2002-П15</t>
  </si>
  <si>
    <t>2002-П16</t>
  </si>
  <si>
    <t>2002-П17</t>
  </si>
  <si>
    <t>2002-П18</t>
  </si>
  <si>
    <t>2002-П19</t>
  </si>
  <si>
    <t>2002-П20</t>
  </si>
  <si>
    <t>2002-П21</t>
  </si>
  <si>
    <t>2002-П22</t>
  </si>
  <si>
    <t>2002-П23</t>
  </si>
  <si>
    <t>2002-П24</t>
  </si>
  <si>
    <t>2002-П25</t>
  </si>
  <si>
    <t>2002-П26</t>
  </si>
  <si>
    <t>2002-П27</t>
  </si>
  <si>
    <t>2002-П28</t>
  </si>
  <si>
    <t>2002-П29</t>
  </si>
  <si>
    <t>2002-П30</t>
  </si>
  <si>
    <t>2003-П1</t>
  </si>
  <si>
    <t>2003-П2</t>
  </si>
  <si>
    <t>2003-П3</t>
  </si>
  <si>
    <t>2003-П4</t>
  </si>
  <si>
    <t>2003-П5</t>
  </si>
  <si>
    <t>2003-П6</t>
  </si>
  <si>
    <t>2003-П7</t>
  </si>
  <si>
    <t>2003-П8</t>
  </si>
  <si>
    <t>2003-П9</t>
  </si>
  <si>
    <t>2003-П10</t>
  </si>
  <si>
    <t>2003-П11</t>
  </si>
  <si>
    <t>2003-П12</t>
  </si>
  <si>
    <t>2003-П13</t>
  </si>
  <si>
    <t>2003-П14</t>
  </si>
  <si>
    <t>2003-П15</t>
  </si>
  <si>
    <t>2003-П16</t>
  </si>
  <si>
    <t>2003-П17</t>
  </si>
  <si>
    <t>2003-П18</t>
  </si>
  <si>
    <t>2003-П19</t>
  </si>
  <si>
    <t>2003-П20</t>
  </si>
  <si>
    <t>2003-П21</t>
  </si>
  <si>
    <t>2003-П22</t>
  </si>
  <si>
    <t>2003-П23</t>
  </si>
  <si>
    <t>2003-П24</t>
  </si>
  <si>
    <t>2003-П25</t>
  </si>
  <si>
    <t>2003-П26</t>
  </si>
  <si>
    <t>2003-П27</t>
  </si>
  <si>
    <t>Канцеларија за младе</t>
  </si>
  <si>
    <t>Заштитник грађана</t>
  </si>
  <si>
    <t>Програм 1.  Локални развој и просторно планирање</t>
  </si>
  <si>
    <t>Програм 2.  Комунална делатност</t>
  </si>
  <si>
    <t>Програм 3.  Локални економски развој</t>
  </si>
  <si>
    <t>Програм 4.  Развој туризма</t>
  </si>
  <si>
    <t>465 Остале дотације и трансфери</t>
  </si>
  <si>
    <t>422 Трошкови путовања</t>
  </si>
  <si>
    <t>ОУ</t>
  </si>
  <si>
    <t>ОУ и КОЦ</t>
  </si>
  <si>
    <t>КОЦ</t>
  </si>
  <si>
    <t xml:space="preserve">Пројекат: Подршка спровођењу пројеката локалне самоуптаве, НВО, привредних и друштвених организација </t>
  </si>
  <si>
    <t>НАБАВКА ФИНАНСИЈСКЕ ИМОВИНЕ</t>
  </si>
  <si>
    <t>1.5</t>
  </si>
  <si>
    <t>9.</t>
  </si>
  <si>
    <t xml:space="preserve">Нематеријална имовина </t>
  </si>
  <si>
    <t>Приходи  од имов.полиса осиг.општина</t>
  </si>
  <si>
    <t>Приходи од имовине који припада имаоцима полиса осигурања</t>
  </si>
  <si>
    <t>korisnik</t>
  </si>
  <si>
    <t>konto</t>
  </si>
  <si>
    <t>iznos</t>
  </si>
  <si>
    <t>KOC</t>
  </si>
  <si>
    <t>Судови</t>
  </si>
  <si>
    <t>Ukupni rashodi:</t>
  </si>
  <si>
    <t>Ukupni prihodi:</t>
  </si>
  <si>
    <t>16</t>
  </si>
  <si>
    <t>УКУПНО ЗА ИЗВОР 16</t>
  </si>
  <si>
    <t>Приходи:</t>
  </si>
  <si>
    <t>Машине и опрема - за ванредне ситуације</t>
  </si>
  <si>
    <t>Текуће поправке и одрж.-громобрани код МК</t>
  </si>
  <si>
    <t>ИЗВОРИ 04+06+07+13+15+16</t>
  </si>
  <si>
    <t>5</t>
  </si>
  <si>
    <t xml:space="preserve">                                                                                                                                                                                                                         </t>
  </si>
  <si>
    <t>411+412</t>
  </si>
  <si>
    <t>poreski prihodi</t>
  </si>
  <si>
    <t>pol.stranke:</t>
  </si>
  <si>
    <t>fin.kampanje:</t>
  </si>
  <si>
    <t>UKUPNO ZA POL. PARTIJE</t>
  </si>
  <si>
    <t>фисклал. дефицит</t>
  </si>
  <si>
    <t>Родитељски динар за ваннаставне активности</t>
  </si>
  <si>
    <t>Родитељски динар за 
ваннаставне активности</t>
  </si>
  <si>
    <t>74</t>
  </si>
  <si>
    <t>091</t>
  </si>
  <si>
    <t>092</t>
  </si>
  <si>
    <t>ОПШТИНСКО  ПРАВОБРАНИЛАШТВО</t>
  </si>
  <si>
    <t>Извршни и законодавни органи, фин. и фиск.посл.
 и спољ.послови</t>
  </si>
  <si>
    <t>ПРОГРАМ 16 ПОЛИТИЧКИ СИСТЕМ ЛС</t>
  </si>
  <si>
    <t>2101</t>
  </si>
  <si>
    <t>2101-0001</t>
  </si>
  <si>
    <t>Функционисање Скупштине</t>
  </si>
  <si>
    <t>Програм 16.  Политички систем ЛС</t>
  </si>
  <si>
    <t>2101--0002</t>
  </si>
  <si>
    <t>Функционисање извршних органа</t>
  </si>
  <si>
    <t>2101-0002</t>
  </si>
  <si>
    <t>Текућа буџетска резерва</t>
  </si>
  <si>
    <t>Стална буџетска резерва</t>
  </si>
  <si>
    <t>0602-0014</t>
  </si>
  <si>
    <t>5.2</t>
  </si>
  <si>
    <t>Функционисање ОШ "Јован Поповић"</t>
  </si>
  <si>
    <t>Функционисање ОШ "Др.Тихомир Остојић"</t>
  </si>
  <si>
    <t>Функционисање ОШ "Серво Михаљ"</t>
  </si>
  <si>
    <t>Функционисање Хем.прехрамбене средње школе</t>
  </si>
  <si>
    <t>Функционисање установа примарне здравствене заштите -Дом здравља Чока</t>
  </si>
  <si>
    <t>ПУ "Радост"</t>
  </si>
  <si>
    <t>ПЛАН ЗА  ИЗВОР ФИН. 
06</t>
  </si>
  <si>
    <t>ПЛАН ЗА ИЗВОР ФИН.
 07</t>
  </si>
  <si>
    <t>ПЛАН ЗА  ИЗВОР ФИН. 
13</t>
  </si>
  <si>
    <t xml:space="preserve">ПЛАН ЗА. ИЗВОР ФИН.
 15 </t>
  </si>
  <si>
    <t>ПЛАН ЗА  ИЗВОР ФИН. 16</t>
  </si>
  <si>
    <t>Извршни и законодавни органи, фин. и фиск.посл. 
и спољ.послови</t>
  </si>
  <si>
    <t>1201-0004</t>
  </si>
  <si>
    <t>Оставривање и унапређивање јавног интереса у области јавног информисања</t>
  </si>
  <si>
    <t>ПРОГРАМ 13: РАЗВОЈ КУЛТУРЕ И ИНФОРМИСАЊА</t>
  </si>
  <si>
    <t>Услуге емитовања и штампања</t>
  </si>
  <si>
    <t>Подршка деци и породица са децом</t>
  </si>
  <si>
    <t>Подршка реализацији програма Црвеног крста</t>
  </si>
  <si>
    <t>ПРОГРАМ 12  ЗДРАВСТВЕНА ЗАШТИТА</t>
  </si>
  <si>
    <t>Програм 12.  Здравствена заштита</t>
  </si>
  <si>
    <t>1801-0002</t>
  </si>
  <si>
    <t>Мртвозорство</t>
  </si>
  <si>
    <t>ПРОГРАМ 5: ПОЉОПРИВРЕДА И РУРАЛНИ РАЗВОЈ</t>
  </si>
  <si>
    <t>Подршка за спровођење пољопривредне политике у локалној заједници</t>
  </si>
  <si>
    <t>Мере подршке руралном развоју</t>
  </si>
  <si>
    <t>0401-0005</t>
  </si>
  <si>
    <t>Управљање заштитом животне средине</t>
  </si>
  <si>
    <t>Управљање  отпадом</t>
  </si>
  <si>
    <t>Заштита жив.средине некласиф.на другом месту</t>
  </si>
  <si>
    <t>Одржавање јавних зелених површина</t>
  </si>
  <si>
    <t>Зоохигијена</t>
  </si>
  <si>
    <t>1102-0001</t>
  </si>
  <si>
    <t>1102-0002</t>
  </si>
  <si>
    <t>1102-0003</t>
  </si>
  <si>
    <t>1102-0008</t>
  </si>
  <si>
    <t>1102-0004</t>
  </si>
  <si>
    <t>1102</t>
  </si>
  <si>
    <t>Програм 1. Урбанизам и просторно планирање</t>
  </si>
  <si>
    <t>Просторно и урбанистичко планирање</t>
  </si>
  <si>
    <t>Мере активне политике запошљавања</t>
  </si>
  <si>
    <t>1101-0003</t>
  </si>
  <si>
    <t>Управљањем грађевинским земљиштем</t>
  </si>
  <si>
    <t>0501</t>
  </si>
  <si>
    <t>0501-0001</t>
  </si>
  <si>
    <t>0602-П-1</t>
  </si>
  <si>
    <t>Цивилна одбрана</t>
  </si>
  <si>
    <t>Заштита биљног и жив.света и крајолика</t>
  </si>
  <si>
    <t>200</t>
  </si>
  <si>
    <t>ОДБРАНА</t>
  </si>
  <si>
    <t>220</t>
  </si>
  <si>
    <t>Цивилна заштита</t>
  </si>
  <si>
    <t>ПРОГРАМ 15 ОПШТЕ УСЛУГЕ ЛОК.САМОУПРАВЕ</t>
  </si>
  <si>
    <t>Општинско правобранилаштво</t>
  </si>
  <si>
    <t>Функционисање нац.савета национал.мањина</t>
  </si>
  <si>
    <t>Управљање у ванредним ситуацијама</t>
  </si>
  <si>
    <t>ПРОГРАМ 9 ОСНОВНО ОБРАЗОВАЊЕ И ВАСПИТАЊЕ</t>
  </si>
  <si>
    <t>ПРОГРАМ 10 СРЕДЊЕ ОБРАЗОВАЊЕ И ВАСПИТАЊЕ</t>
  </si>
  <si>
    <t>Одржавање чист.на површ.јавне намене -  ЈКП Чока</t>
  </si>
  <si>
    <t>1501-П-4</t>
  </si>
  <si>
    <t>1501-П-5</t>
  </si>
  <si>
    <t>ПРОГРАМ 8 ПРЕДШКОЛСКО ВАСПИТАЊЕ И ОБРАЗ.</t>
  </si>
  <si>
    <t>ПРОГРАМ 13 РАЗВОЈ КУЛТУРЕ И ИНФОРМИСАЊА</t>
  </si>
  <si>
    <t>1201-П-6</t>
  </si>
  <si>
    <t xml:space="preserve">Пројекат: Реализација рачунарских и језичких курсева </t>
  </si>
  <si>
    <t>Пројекат:Унапређење безбедности саобраћаја у 2017.години</t>
  </si>
  <si>
    <t>Програм 13.  Развој културе и информисања</t>
  </si>
  <si>
    <t>Јачање културне продукције и уметничког стваралаштва</t>
  </si>
  <si>
    <t>Програм 9.  Основно образовање и васпитање</t>
  </si>
  <si>
    <t>Програм 10. Средње образовање и васпитање</t>
  </si>
  <si>
    <t>Подршка за спровођење пољопривредне политике у лок. зај.</t>
  </si>
  <si>
    <t xml:space="preserve">Управљање заштитом животне средине </t>
  </si>
  <si>
    <t>Програм 17.  Енерг. ефикас. и обновљиви извори енергије</t>
  </si>
  <si>
    <t>Пројекат:ЛАГ</t>
  </si>
  <si>
    <t>Функционисање лок.установа културе</t>
  </si>
  <si>
    <t>Управљање грађевинским земљиштем</t>
  </si>
  <si>
    <t>ЈКП</t>
  </si>
  <si>
    <t>Центар за соц.рад</t>
  </si>
  <si>
    <t>ОШ "Ј.Поповић"
ОШ "С.Михаљ" и
 ОШ "Т.Остојић"</t>
  </si>
  <si>
    <t>Јачање културне продукције и умет.стваралаш.</t>
  </si>
  <si>
    <t>089</t>
  </si>
  <si>
    <t>093</t>
  </si>
  <si>
    <t>Дот.орг.за обав.соц.осиг.</t>
  </si>
  <si>
    <t>Приходи од продаје добара и услуга</t>
  </si>
  <si>
    <t>Приходи од продаје добара и услуга у корист нивоа општина</t>
  </si>
  <si>
    <t>Капитални трансф.од других нивоа власти</t>
  </si>
  <si>
    <t xml:space="preserve">ОУ </t>
  </si>
  <si>
    <t>Дом здравља</t>
  </si>
  <si>
    <t>Оставривање и унапр. јавног интереса у области јавног инф.</t>
  </si>
  <si>
    <t>Пројекат: Сред.за реш.стамб.потреба и
 др.прог.за интег.избег.</t>
  </si>
  <si>
    <t>СО</t>
  </si>
  <si>
    <t>О.Веће и Председ.</t>
  </si>
  <si>
    <t>Хем.прех.средња шк.</t>
  </si>
  <si>
    <t>083</t>
  </si>
  <si>
    <t>084</t>
  </si>
  <si>
    <t>085</t>
  </si>
  <si>
    <t>086</t>
  </si>
  <si>
    <t>088</t>
  </si>
  <si>
    <t>5.1</t>
  </si>
  <si>
    <t>5.3</t>
  </si>
  <si>
    <t>5.3.1</t>
  </si>
  <si>
    <t>5.3.2</t>
  </si>
  <si>
    <t>5.3.3</t>
  </si>
  <si>
    <t>5.3.4</t>
  </si>
  <si>
    <t>5.3.5</t>
  </si>
  <si>
    <t>5.3.6</t>
  </si>
  <si>
    <t>5.3.7</t>
  </si>
  <si>
    <t xml:space="preserve">СУБВЕНЦИЈЕ </t>
  </si>
  <si>
    <t>Субвенције јав.нефинансијским пред.</t>
  </si>
  <si>
    <t>Спец.усл.(одрж.пруж.прелаза)</t>
  </si>
  <si>
    <t>Спец.усл.(зимско одржавање)</t>
  </si>
  <si>
    <t>Приходи од продаје доб. и усл. или закупа од стране трж. орг.</t>
  </si>
  <si>
    <t>ПРИМАЊА ОД ПРОДАЈЕ НЕФИНАСИЈСКЕ ИМОВИНЕ</t>
  </si>
  <si>
    <t>Примања од продаје непокретностиу корист нивоа општина</t>
  </si>
  <si>
    <t>81</t>
  </si>
  <si>
    <t>Примања од продаје непокретности</t>
  </si>
  <si>
    <t>УКУПНО ЗА ИЗВОР 13:</t>
  </si>
  <si>
    <t>УКУПНО ЗА ИЗВОР 16:</t>
  </si>
  <si>
    <t>ПЛАН ЗА  ИЗВОР ФИН. 
04</t>
  </si>
  <si>
    <t>ПЛАН ЗА 2019.Г.</t>
  </si>
  <si>
    <t>ПЛАН ЗА 2020.Г.</t>
  </si>
  <si>
    <t>УКУПАН ПЛАН ЗА 2020.</t>
  </si>
  <si>
    <t>Текуће донације од међ.организација</t>
  </si>
  <si>
    <t>Текуће донације од међ.организација у корист нивоа општина</t>
  </si>
  <si>
    <t>Једнократне помоћи и др.облици помоћи -Центар за социјални рад</t>
  </si>
  <si>
    <t>Једнократне помоћи и др.облици помоћи</t>
  </si>
  <si>
    <t>Дневне услуге у заједници</t>
  </si>
  <si>
    <t>Дневне услуге у заједници - Организ.јединица Центра за социјални рад</t>
  </si>
  <si>
    <t xml:space="preserve">Управљање/одржавање јавним осветљењем </t>
  </si>
  <si>
    <t>Управљање/одржавање јавним осветљењем</t>
  </si>
  <si>
    <t>Управљање и снабдевање водом за пиће</t>
  </si>
  <si>
    <t>Енергетски менаџмент</t>
  </si>
  <si>
    <t>Подшка економском развоју и промоцији предузетништва</t>
  </si>
  <si>
    <t>Програм 7.  Организ.саобаћ.и саобр.инфраструк.</t>
  </si>
  <si>
    <t>Управљање и одржавање саоб.инфраструк.</t>
  </si>
  <si>
    <t>Управљање и одржавање саобраћајне инфраструктуре</t>
  </si>
  <si>
    <t>Функц. и остваривање  предш.васп.и образ.</t>
  </si>
  <si>
    <t>Функц. и остваривање  предш.васп.и образ</t>
  </si>
  <si>
    <t>Јачање културне продукције и умет.стварал.</t>
  </si>
  <si>
    <t>Функционисање месних заједница</t>
  </si>
  <si>
    <t>ПРОГРАМ 15 ОПШТЕ УСЛУГЕ ЛОКАЛНЕ САМОУР.</t>
  </si>
  <si>
    <t>ПЛАН ЗА 2021.Г.</t>
  </si>
  <si>
    <t>483 Новчане казне и пенали</t>
  </si>
  <si>
    <t>Набавка остале опреме</t>
  </si>
  <si>
    <t>Подршка деци и породици са децом</t>
  </si>
  <si>
    <t>Машине и опрема .(по програму-рачунар,штампач,ауто.)</t>
  </si>
  <si>
    <t>Спец.усл.(кошење банкина)</t>
  </si>
  <si>
    <t>Спец.усл.(постављање сигнализација)</t>
  </si>
  <si>
    <t>Текуће попр.и одрж.-крпљење ударних рупа</t>
  </si>
  <si>
    <t>Тек. поп.и одрж. (тротоари, клупе,. и др)</t>
  </si>
  <si>
    <t xml:space="preserve">ПРОГРАМ 1: СТАНОВАЊЕ, УРБАНИЗАМ И ПРОСТОРНО ПЛАНИРАЊЕ
</t>
  </si>
  <si>
    <t>Управљање отпадним водама</t>
  </si>
  <si>
    <t>520</t>
  </si>
  <si>
    <t>Упраљање отпадним водама</t>
  </si>
  <si>
    <t>Приходи од имовине који припада имаоцима полисе осигурања општина</t>
  </si>
  <si>
    <t xml:space="preserve">Приходи од имовине који припада имаоцима полисе осигурања </t>
  </si>
  <si>
    <t>Накнада по основу конверзије права коришћ.у право својине у корист Републике</t>
  </si>
  <si>
    <t>087</t>
  </si>
  <si>
    <t>ПЛАН ЗА  ИЗВОР ФИН.: 01</t>
  </si>
  <si>
    <t>ПЛАН ЗА  ИЗВОР ФИН.: 04</t>
  </si>
  <si>
    <t>ПЛАН ЗА  ИЗВОР ФИН.: 06</t>
  </si>
  <si>
    <t>ПЛАН ЗА  ИЗВОР ФИН.: 07</t>
  </si>
  <si>
    <t>ПЛАН ЗА  ИЗВОР ФИН.: 13</t>
  </si>
  <si>
    <t>ПЛАН ЗА  ИЗВОР ФИН.: 16</t>
  </si>
  <si>
    <t>ПРОГРАМ 7: ОРГАНИЗ. САОБ.И САОБ.ИНФРАСТ.</t>
  </si>
  <si>
    <t>515 Нематеријална имовина</t>
  </si>
  <si>
    <t>Унапређење привредног и инвестиционог амбијента</t>
  </si>
  <si>
    <t>Дотације удружењима грађана</t>
  </si>
  <si>
    <t>ПРИМАЊА ОД ПРОДАЈЕ ЗЕМЉИШТА</t>
  </si>
  <si>
    <t>Примања од продаје земљишта</t>
  </si>
  <si>
    <t>Примања од продаје земљишта у корист нивоа општина</t>
  </si>
  <si>
    <t>Текући трансф.од других нивоа власти</t>
  </si>
  <si>
    <t>Меморандумске ставке за рефундацију расхода из претх.године</t>
  </si>
  <si>
    <t>Спец.усл.(набавка знакова)</t>
  </si>
  <si>
    <t>УКУПАН ПЛАН ЗА 2021.</t>
  </si>
  <si>
    <t>Услуге по уговору - накнада за одборнике</t>
  </si>
  <si>
    <t xml:space="preserve">Услуге по уговору - комисије </t>
  </si>
  <si>
    <t>Услуге по уговору - комисије</t>
  </si>
  <si>
    <t>Услуге по уговору - међународна сарадња</t>
  </si>
  <si>
    <t>Услуге по уговору - накнада за помоћникe председника</t>
  </si>
  <si>
    <t>Услуге по уговору - обука у вези послова одбране</t>
  </si>
  <si>
    <t>Услуге по уговору - средства за рад интерресорне комисије</t>
  </si>
  <si>
    <t>Услуге по уговору  - услуге ревизије</t>
  </si>
  <si>
    <t>Накнаде за соц.заштиту из буџета -дошколовавање запослених</t>
  </si>
  <si>
    <t>Дотац,невладиним орг -чланарине</t>
  </si>
  <si>
    <t>Услуге по уговору -учешће и предфин.прој.</t>
  </si>
  <si>
    <t>Материјал - учешће и предфин.прој</t>
  </si>
  <si>
    <t>Зграде и грађ.објети учешће и предфин.прој.</t>
  </si>
  <si>
    <t>Машине и опрема учешће и предфин. прој.</t>
  </si>
  <si>
    <t>Стални трошкови-учешће и предфин.прој.</t>
  </si>
  <si>
    <t>Пројекат: Унапређ. безбед. саобраћ. у 2019.години</t>
  </si>
  <si>
    <t>Транф.ост. нивоима власти - средства за едукацију</t>
  </si>
  <si>
    <t>Услуге по уговору - семинари, обука и израда плана за ван. сит.</t>
  </si>
  <si>
    <t>Специјализоване услуге -финан.припр.и реаг.у ванред.ситуацијама</t>
  </si>
  <si>
    <t>421 Стални трошкови - днев.усл. у лок.зај.</t>
  </si>
  <si>
    <t>423 Услуге по уговору - днев.усл. у лок.зај.</t>
  </si>
  <si>
    <t>425 Текуће поправке и одржавање - днев.усл. у лок.зај.</t>
  </si>
  <si>
    <t>426 Материјал - днев.усл. у лок.зај.</t>
  </si>
  <si>
    <t>482 Порези, обавезне таксе и казне - днев.усл. у лок.зај.</t>
  </si>
  <si>
    <t>512 Машине и опрема - днев.усл. у лок.зај.</t>
  </si>
  <si>
    <t>426 Материјал - мед. и лаб.</t>
  </si>
  <si>
    <t>Специјализоване услуге - мртвозорство</t>
  </si>
  <si>
    <t xml:space="preserve">Услуге по уговору - пољочуварска служба </t>
  </si>
  <si>
    <t>Материјал - пољочув. и противг.служ.(по програму)</t>
  </si>
  <si>
    <t>Материјал -поступак издав.у зак.и комас. (по програму)</t>
  </si>
  <si>
    <t>Субвенције јавним нефин,пред.- за уређ.канала.(по програму)</t>
  </si>
  <si>
    <t>Субвенције јавним нефин,пред - средства за рурални развој</t>
  </si>
  <si>
    <t>Специјализоване услуге -геодетске усл.(по програму)</t>
  </si>
  <si>
    <t>Специјализоване услуге -испитивање  земљишта (по програму)</t>
  </si>
  <si>
    <t>Специјализоване услуге - спр.прог.ком.Чока.(по програму)</t>
  </si>
  <si>
    <t>Специјализовне услуге - сузбијање комараца</t>
  </si>
  <si>
    <t>Текуће поправке и одржавање канализације</t>
  </si>
  <si>
    <t>Зграде и грађ.објекти -изградња атмосф.канала у Санаду</t>
  </si>
  <si>
    <t>Зграде и грађ.обј. изградња дела водовода у Остојићеву</t>
  </si>
  <si>
    <t>Зграде и грађ.обј.-израда потребне докум. за пречистач у Чоки</t>
  </si>
  <si>
    <t>Усл.по уговору - уклањ. угин.животиња</t>
  </si>
  <si>
    <t>Спецализоване услуге (дератизација и хемијска заштита)</t>
  </si>
  <si>
    <t>Спецализоване услуге (хватање паса и привремено збрињ.)</t>
  </si>
  <si>
    <t>Специјализоване услуге - трошкови рушења објеката</t>
  </si>
  <si>
    <t>Зграде и грађ.обј.- изградња дечијег игралишта</t>
  </si>
  <si>
    <t>Дотације невлад.организацијама- Локална акциона група</t>
  </si>
  <si>
    <t>Накн.за соц.заш.из буџета-екон.оснаживање</t>
  </si>
  <si>
    <t>Накн.за соц.заш.из буџета-грађ.материјал</t>
  </si>
  <si>
    <t>Накн.за соц.заш.из буџета-наб.сеоских кућа</t>
  </si>
  <si>
    <t xml:space="preserve">Тек.попр.и одржавање - насипање лом.црепа и греб.асфалта </t>
  </si>
  <si>
    <t>Пратећи трошкови задуживања - казне</t>
  </si>
  <si>
    <t xml:space="preserve">Услуге по уговору - информисање јавности </t>
  </si>
  <si>
    <t xml:space="preserve">Дотација невладиним организацијама - Црвеном крсту </t>
  </si>
  <si>
    <t>Накнаде за соц.заштиту из буџета - Народна кухиња</t>
  </si>
  <si>
    <t>Накнаде за соц.заштиту из буџета-исхрана и смештај ученика</t>
  </si>
  <si>
    <t>Накнаде за соц.заштиту из буџета-једокр.помоћ за породиље</t>
  </si>
  <si>
    <t>Накнаде за соц.заштиту из буџета-пакетићи</t>
  </si>
  <si>
    <t>Накнаде за соц.заштиту из буџета- за образовање, културу, науку</t>
  </si>
  <si>
    <t>472 Накнаде за соц.заштиту из буџета - у случају смрти</t>
  </si>
  <si>
    <t xml:space="preserve">511 Зграде и грађ.обј.-капитално одржавање </t>
  </si>
  <si>
    <t>414 Социјална давања запосленима-помоћ у медицинском лечењу</t>
  </si>
  <si>
    <t>Дотације невладиним орг.-спортским организацијама</t>
  </si>
  <si>
    <t>Дотације невлад.орг.- традиц. црквама и верским заједницама</t>
  </si>
  <si>
    <t>Дотације невлад.орг.- удружењима грађана из области културе</t>
  </si>
  <si>
    <t>Субвенције јавним нефин,предузећима - ЈКП Чока</t>
  </si>
  <si>
    <t>Дотација невлад.орг.-Савету националних мањина</t>
  </si>
  <si>
    <t>Услуге по уговору - накнада за заменика пред.Скупштине</t>
  </si>
  <si>
    <t>Услуге по уговору - накнада за чланове Општинског већа</t>
  </si>
  <si>
    <t>Зграде и грађ.обј. (кап.одрж.улица)</t>
  </si>
  <si>
    <t>Услуге по уговору - информисање јавности</t>
  </si>
  <si>
    <t>472 Накнаде за соц.заштиту из буџета - за становање и живот</t>
  </si>
  <si>
    <t>472 Накнаде за соц.заштиту из буџета - једнократна помоћ</t>
  </si>
  <si>
    <t>Накнаде за соц.заштиту из буџета - превоз ученика сред.школа</t>
  </si>
  <si>
    <t>Спец.усл.-санац.технич.биолош.регулат.деград.прост.</t>
  </si>
  <si>
    <t>Специј. услуге -  одрж. зелених повр. (кошење, одрж.)</t>
  </si>
  <si>
    <t>Специј. услуге -  одрж. зелених повр. (орезивање дрвећа)</t>
  </si>
  <si>
    <t>Зграде и грађ.обј. (кап.одржав. улица)</t>
  </si>
  <si>
    <t>Остале дотације и трансфери - средства за одржавање железнице</t>
  </si>
  <si>
    <t>Оптплата домаћих камата</t>
  </si>
  <si>
    <t>ПРОГРАМ 17: ЕНЕРГЕТСКА ЕФИКАСНОСТ И ОБНОВЉИВИ ИЗВОРИ ЕНЕРГИЈЕ</t>
  </si>
  <si>
    <t>511 Зграде и грађ.обј.</t>
  </si>
  <si>
    <t>Специјализовне услуге - Фонд за заштиту живот. средине</t>
  </si>
  <si>
    <t>Спец. Усл. -рад. на обнови прем. грађ.реона у Чоки</t>
  </si>
  <si>
    <t xml:space="preserve">Зграде и грађ.обј.-пројектно планирање </t>
  </si>
  <si>
    <t xml:space="preserve">512 Машине и опрема </t>
  </si>
  <si>
    <t>Дотац.орг.са обавезно соц.осигурање - средства активне мере 
запошљавања-Буџетски фонд</t>
  </si>
  <si>
    <t>082</t>
  </si>
  <si>
    <t>168</t>
  </si>
  <si>
    <t>169</t>
  </si>
  <si>
    <t>171</t>
  </si>
  <si>
    <t>172</t>
  </si>
  <si>
    <t>173</t>
  </si>
  <si>
    <t>Финансирање Спортског савеза општине Чока</t>
  </si>
  <si>
    <t>523 Залихе робе за даљу продају</t>
  </si>
  <si>
    <t xml:space="preserve">Специјализоване услуге - рекултивација напуштених копова </t>
  </si>
  <si>
    <t>Специјализоване услуге -уклањање неадек. одложених отпада</t>
  </si>
  <si>
    <t>Дотац.невл.орг.-сред.за заштиту од пожара(Општ.ватр.сав. и др.)</t>
  </si>
  <si>
    <t>Дотације невлад,орг.-санација објеката</t>
  </si>
  <si>
    <t>Зграде и грађ.обј.-набавка непокретности</t>
  </si>
  <si>
    <t>Порез на приходе од самосталних делатности који се плаћа према стварно оствареном нето приходу</t>
  </si>
  <si>
    <t xml:space="preserve">Порез на прих. од сам.дел. који се плаћа према паушалу одређ.нето приходу  </t>
  </si>
  <si>
    <t xml:space="preserve">Порез на прих. од сам.дел. који се плаћа према стварно оств.прих.самоопорез.  </t>
  </si>
  <si>
    <t>Порез на прих.од давања у закуп покр.ствари</t>
  </si>
  <si>
    <t>Порез на земљиште</t>
  </si>
  <si>
    <t xml:space="preserve">Самодопринос према зарадама зап.на тер.општ.  </t>
  </si>
  <si>
    <t xml:space="preserve">Самодопринос  из прих.земљорадника  </t>
  </si>
  <si>
    <t>Самодопринос из прих.лица која се баве сам.дел.</t>
  </si>
  <si>
    <t>Порез на остале приходе</t>
  </si>
  <si>
    <t>Порез на приходе проф.спортиста</t>
  </si>
  <si>
    <t>Порез на имовину од физичких лица</t>
  </si>
  <si>
    <t>Порез на имовину од правних лица</t>
  </si>
  <si>
    <t>Порез на пренос апсолутних права код продаје стеч.дужника</t>
  </si>
  <si>
    <t>Боравишна такса</t>
  </si>
  <si>
    <t>Посебна накнада за заштиту и унапређење животне средине</t>
  </si>
  <si>
    <t>Комунална такса за истицање фирме на пословном простору</t>
  </si>
  <si>
    <t>Текући наменски трансф.од Републике</t>
  </si>
  <si>
    <t xml:space="preserve">Текући наменски трансф.од АПВ </t>
  </si>
  <si>
    <t>Капитални трансф.од Републике у корист нивоа општина</t>
  </si>
  <si>
    <t>Капитални трансфери од АП Војводина у корист нивоа општина</t>
  </si>
  <si>
    <t xml:space="preserve">Приходи буџета општине од камата на средства буџета </t>
  </si>
  <si>
    <t xml:space="preserve">Накнада за коришћење пољопривр. земљишта </t>
  </si>
  <si>
    <t>Накнада за коришћење шума и шумског земљишта</t>
  </si>
  <si>
    <t>Накнада за коришћење градског грађевинског земљишта</t>
  </si>
  <si>
    <t>Допринос за уређивање грађевинског земљишта</t>
  </si>
  <si>
    <t>Приходи од давања у узакуп, односно од коришћења непокретности у др.свој.</t>
  </si>
  <si>
    <t>Накнада по основу конверзије права коришћ.у право својине у корист нив.општ.</t>
  </si>
  <si>
    <t>Приходи остварени по основу пруж. услуга боравка деце у пред.уст.у кор.опш.</t>
  </si>
  <si>
    <t>Општинске административне таксе</t>
  </si>
  <si>
    <t>Такса за озакоњење објеката у корист нивоа општина</t>
  </si>
  <si>
    <t xml:space="preserve">Приходи индиректних корисника буџетских средстава који се оствар.дод.акт. </t>
  </si>
  <si>
    <t>Остали приходи у корист нивоа општина</t>
  </si>
  <si>
    <t>Део добити ЈП, према одлуци управног одбора ЈП у корист нивоа општина</t>
  </si>
  <si>
    <t>Закупнина за стан у општинској својини у корист нивоа општине</t>
  </si>
  <si>
    <t>Примања од отплате станова у корист нивоа општина</t>
  </si>
  <si>
    <t>ПЛАН ЗА ИЗВОР ФИН.:
15</t>
  </si>
  <si>
    <t>Приходи од продаје доб. и усл. или закупа од стране трж. орг.у кор.нивоа опш.</t>
  </si>
  <si>
    <t>Субвенције јавним нефин.пр.Регион.депонија смећа-текућ.расх.</t>
  </si>
  <si>
    <t>Тек.попр. и одржавање - уређ.атарских пут.и отресишта (по прог)</t>
  </si>
  <si>
    <t>Накнаде за соц.заштиту из буџета-једнократне помоћи-поп.полит.</t>
  </si>
  <si>
    <t>Зграде и грађ.обј. (прој.пл.-Мост на Злат., ПДР за Бан.магист.,ПДР за траседр.пута2ареда104 на делуБ.Аран.Ц.Бара и др.)</t>
  </si>
  <si>
    <t>Зграде и грађ.обј-реконстр. вод.мр. у насељу Чока -  VЦ етапа</t>
  </si>
  <si>
    <t>Зграде и грађ.обј.-реконстр. вод.мр. у насељу Чока VБ етапа</t>
  </si>
  <si>
    <t xml:space="preserve">Зграде и грађевински објекти </t>
  </si>
  <si>
    <t>Пратећи трошкови задуживања- нег. курс. разлике</t>
  </si>
  <si>
    <t xml:space="preserve">Приходи од давања у закуп ,односно на коришћење непокретности у општинској својини </t>
  </si>
  <si>
    <t>Накнада за коришћење дрвета</t>
  </si>
  <si>
    <t>PLAN</t>
  </si>
  <si>
    <t>1801-П-1</t>
  </si>
  <si>
    <t>Пројекат: Опремање установе примарне здравствене заштите</t>
  </si>
  <si>
    <t>Машине и опрема (ултразвук)</t>
  </si>
  <si>
    <t>054A</t>
  </si>
  <si>
    <t>Услуге по уговору- бесплатна правна помоћ</t>
  </si>
  <si>
    <t>Комунална такса за истицање и исписивање фирме ван пословног простора, на објектима и просторијама који припадају општини</t>
  </si>
  <si>
    <t xml:space="preserve">Комунална такса за држање моторних друмских и прикључних возила осим пољоп.машина возила  и машина </t>
  </si>
  <si>
    <t xml:space="preserve">Порез на пренос апсолутних права на непокретности </t>
  </si>
  <si>
    <t xml:space="preserve">Порез на пренос апсолутних права на полов.мот.возилима </t>
  </si>
  <si>
    <t>Пројекат:Реализац.рачун.и језич.курсева</t>
  </si>
  <si>
    <t>УКУПАН ПЛАН ЗА 2022.</t>
  </si>
  <si>
    <t>ПЛАН РАСХОДА БУЏЕТА ОПШТИНЕ ЧОКА ЗА 2020, СА ПРОЈЕКЦИЈАМА ЗА 2021. И 2022.ГОДИНУ</t>
  </si>
  <si>
    <t>IZVRŠENJE</t>
  </si>
  <si>
    <t xml:space="preserve">ПЛАН ПРИХОДА  БУЏЕТА ОПШТИНЕ ЧОКА ЗА  2020 СА ПРОЈЕКЦИЈАМА ЗА  2021 и за 2022 ГОДИНУ </t>
  </si>
  <si>
    <t>ПЛАН ЗА 2022.Г.</t>
  </si>
  <si>
    <t>2. РАСХОДИ ПО ОСНОВНИМ НАМЕНАМА БУЏЕТА ОПШТИНЕ ЧОКА ЗА 2020Г.</t>
  </si>
  <si>
    <t>УКУПАН ПЛАН ЗА 2020.Г.</t>
  </si>
  <si>
    <t>УКУПАН ПЛАН БУЏЕТА ЗА 2020.Г.</t>
  </si>
  <si>
    <t>УКУПНИ ПРИХОДИ ЗА 2020. годину:</t>
  </si>
  <si>
    <t>ПЛАН ЗА 2020.ГОД.</t>
  </si>
  <si>
    <t>ПЛАН ЗА ИЗВОР ФИН.01 2020</t>
  </si>
  <si>
    <t>Услуге по уговору - средства за спровођење избора</t>
  </si>
  <si>
    <t>015</t>
  </si>
  <si>
    <t>Спец.усл.(обележавање саобраћ.сигнал.хориз.)</t>
  </si>
  <si>
    <t xml:space="preserve">Машине и опрема(рентген апарат) </t>
  </si>
  <si>
    <t>0602-П-2</t>
  </si>
  <si>
    <t>Текуће поправке и одрж. -уређење јавне површине</t>
  </si>
  <si>
    <t>Текуће поправке и одрж. -водовод у Падеју и у Остојићево</t>
  </si>
  <si>
    <t>Зграде и грађ.обј.- уређење паркинга у Чоки</t>
  </si>
  <si>
    <t xml:space="preserve">Зграде и грађ.обј.-кров Омл.дома у Остојићево </t>
  </si>
  <si>
    <t>094</t>
  </si>
  <si>
    <t>Зграде и грађ.обј.-док.легал.бун. у Падеју, елаб. 
за санит.заш.зону за бун. у нас.Чока, елаб. подзем.вода</t>
  </si>
  <si>
    <t>Специј.усл.-хем.бак.анал.воде,хидрод.тест.,евид.вода</t>
  </si>
  <si>
    <t>Енергетски менанџмент</t>
  </si>
</sst>
</file>

<file path=xl/styles.xml><?xml version="1.0" encoding="utf-8"?>
<styleSheet xmlns="http://schemas.openxmlformats.org/spreadsheetml/2006/main">
  <numFmts count="25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_-* #,##0.00\ _D_i_n_._-;\-* #,##0.00\ _D_i_n_._-;_-* &quot;-&quot;??\ _D_i_n_._-;_-@_-"/>
    <numFmt numFmtId="165" formatCode="??,???,??0.00"/>
    <numFmt numFmtId="166" formatCode="?,???,??0.00"/>
    <numFmt numFmtId="167" formatCode="???"/>
    <numFmt numFmtId="168" formatCode="000"/>
    <numFmt numFmtId="169" formatCode="???,??0.00"/>
    <numFmt numFmtId="170" formatCode="??,??0.00"/>
    <numFmt numFmtId="171" formatCode="???,???,??0.00"/>
    <numFmt numFmtId="172" formatCode="#,##0.00;[Red]#,##0.00"/>
    <numFmt numFmtId="173" formatCode="?"/>
    <numFmt numFmtId="174" formatCode="????"/>
    <numFmt numFmtId="175" formatCode="?????"/>
    <numFmt numFmtId="176" formatCode="??????"/>
    <numFmt numFmtId="177" formatCode="_-* #,##0\ _d_i_n_._-;\-* #,##0\ _d_i_n_._-;_-* &quot;-&quot;\ _d_i_n_._-;_-@_-"/>
    <numFmt numFmtId="178" formatCode="_(* #,##0.00_);_(* \(#,##0.00\);_(* \-??_);_(@_)"/>
    <numFmt numFmtId="179" formatCode="_-* #,##0.00\ _D_i_n_._-;\-* #,##0.00\ _D_i_n_._-;_-* \-??\ _D_i_n_._-;_-@_-"/>
    <numFmt numFmtId="180" formatCode="0.000000"/>
  </numFmts>
  <fonts count="7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1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11"/>
      <name val="Arial"/>
      <family val="2"/>
    </font>
    <font>
      <b/>
      <i/>
      <sz val="10"/>
      <color indexed="11"/>
      <name val="Arial"/>
      <family val="2"/>
    </font>
    <font>
      <b/>
      <sz val="9"/>
      <color indexed="8"/>
      <name val="Calibri"/>
      <family val="2"/>
    </font>
    <font>
      <sz val="10"/>
      <color indexed="8"/>
      <name val="Trebuchet MS"/>
      <family val="2"/>
    </font>
    <font>
      <b/>
      <sz val="11"/>
      <color indexed="8"/>
      <name val="Trebuchet MS"/>
      <family val="2"/>
    </font>
    <font>
      <b/>
      <sz val="10"/>
      <color indexed="8"/>
      <name val="Trebuchet MS"/>
      <family val="2"/>
    </font>
    <font>
      <b/>
      <i/>
      <sz val="10"/>
      <color indexed="8"/>
      <name val="Trebuchet MS"/>
      <family val="2"/>
    </font>
    <font>
      <b/>
      <i/>
      <sz val="11"/>
      <color indexed="8"/>
      <name val="Trebuchet MS"/>
      <family val="2"/>
    </font>
    <font>
      <sz val="10"/>
      <name val="Trebuchet MS"/>
      <family val="2"/>
    </font>
    <font>
      <sz val="9"/>
      <color indexed="8"/>
      <name val="Trebuchet MS"/>
      <family val="2"/>
    </font>
    <font>
      <b/>
      <sz val="9"/>
      <name val="Trebuchet MS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Calibri"/>
      <family val="0"/>
    </font>
    <font>
      <sz val="3.5"/>
      <color indexed="8"/>
      <name val="Calibri"/>
      <family val="0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sz val="12"/>
      <color indexed="8"/>
      <name val="Times New Roman"/>
      <family val="1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ck"/>
      <top style="thick"/>
      <bottom style="thick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178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430">
    <xf numFmtId="0" fontId="0" fillId="0" borderId="0" xfId="0" applyAlignment="1">
      <alignment/>
    </xf>
    <xf numFmtId="4" fontId="0" fillId="0" borderId="0" xfId="0" applyNumberFormat="1" applyFont="1" applyAlignment="1">
      <alignment/>
    </xf>
    <xf numFmtId="4" fontId="4" fillId="0" borderId="10" xfId="0" applyNumberFormat="1" applyFont="1" applyBorder="1" applyAlignment="1">
      <alignment wrapText="1"/>
    </xf>
    <xf numFmtId="4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wrapText="1"/>
    </xf>
    <xf numFmtId="4" fontId="4" fillId="0" borderId="13" xfId="0" applyNumberFormat="1" applyFont="1" applyBorder="1" applyAlignment="1">
      <alignment horizontal="right"/>
    </xf>
    <xf numFmtId="49" fontId="0" fillId="0" borderId="12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/>
    </xf>
    <xf numFmtId="4" fontId="0" fillId="0" borderId="13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right"/>
    </xf>
    <xf numFmtId="49" fontId="4" fillId="0" borderId="12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/>
    </xf>
    <xf numFmtId="4" fontId="0" fillId="0" borderId="15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61" applyFont="1">
      <alignment/>
      <protection/>
    </xf>
    <xf numFmtId="0" fontId="0" fillId="0" borderId="0" xfId="0" applyFont="1" applyFill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Fill="1" applyAlignment="1">
      <alignment horizontal="right"/>
    </xf>
    <xf numFmtId="0" fontId="0" fillId="0" borderId="0" xfId="45" applyFont="1" applyBorder="1">
      <alignment/>
      <protection/>
    </xf>
    <xf numFmtId="0" fontId="0" fillId="0" borderId="16" xfId="45" applyFont="1" applyFill="1" applyBorder="1" applyAlignment="1">
      <alignment/>
      <protection/>
    </xf>
    <xf numFmtId="0" fontId="6" fillId="0" borderId="17" xfId="45" applyFont="1" applyBorder="1">
      <alignment/>
      <protection/>
    </xf>
    <xf numFmtId="0" fontId="6" fillId="0" borderId="0" xfId="0" applyFont="1" applyAlignment="1">
      <alignment/>
    </xf>
    <xf numFmtId="0" fontId="4" fillId="0" borderId="17" xfId="45" applyFont="1" applyBorder="1">
      <alignment/>
      <protection/>
    </xf>
    <xf numFmtId="0" fontId="7" fillId="0" borderId="17" xfId="45" applyFont="1" applyBorder="1">
      <alignment/>
      <protection/>
    </xf>
    <xf numFmtId="0" fontId="0" fillId="0" borderId="17" xfId="45" applyFont="1" applyBorder="1">
      <alignment/>
      <protection/>
    </xf>
    <xf numFmtId="0" fontId="0" fillId="0" borderId="17" xfId="45" applyFont="1" applyFill="1" applyBorder="1">
      <alignment/>
      <protection/>
    </xf>
    <xf numFmtId="172" fontId="4" fillId="0" borderId="18" xfId="45" applyNumberFormat="1" applyFont="1" applyBorder="1" applyAlignment="1">
      <alignment horizontal="right" vertical="top"/>
      <protection/>
    </xf>
    <xf numFmtId="172" fontId="0" fillId="0" borderId="18" xfId="45" applyNumberFormat="1" applyFont="1" applyBorder="1">
      <alignment/>
      <protection/>
    </xf>
    <xf numFmtId="0" fontId="4" fillId="0" borderId="19" xfId="45" applyFont="1" applyBorder="1">
      <alignment/>
      <protection/>
    </xf>
    <xf numFmtId="171" fontId="4" fillId="0" borderId="20" xfId="45" applyNumberFormat="1" applyFont="1" applyBorder="1">
      <alignment/>
      <protection/>
    </xf>
    <xf numFmtId="172" fontId="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9" fontId="4" fillId="0" borderId="0" xfId="42" applyNumberFormat="1" applyFont="1" applyBorder="1" applyAlignment="1">
      <alignment horizontal="left" vertical="top"/>
      <protection/>
    </xf>
    <xf numFmtId="49" fontId="4" fillId="0" borderId="0" xfId="42" applyNumberFormat="1" applyFont="1" applyBorder="1" applyAlignment="1">
      <alignment horizontal="center" vertical="top"/>
      <protection/>
    </xf>
    <xf numFmtId="49" fontId="7" fillId="0" borderId="0" xfId="42" applyNumberFormat="1" applyFont="1" applyAlignment="1">
      <alignment horizontal="left" vertical="top"/>
      <protection/>
    </xf>
    <xf numFmtId="0" fontId="4" fillId="0" borderId="0" xfId="42" applyFont="1" applyBorder="1" applyAlignment="1">
      <alignment vertical="top"/>
      <protection/>
    </xf>
    <xf numFmtId="0" fontId="8" fillId="0" borderId="0" xfId="42" applyFont="1" applyBorder="1" applyAlignment="1">
      <alignment vertical="top"/>
      <protection/>
    </xf>
    <xf numFmtId="49" fontId="4" fillId="0" borderId="0" xfId="42" applyNumberFormat="1" applyFont="1" applyBorder="1" applyAlignment="1">
      <alignment horizontal="center" vertical="center"/>
      <protection/>
    </xf>
    <xf numFmtId="0" fontId="4" fillId="0" borderId="0" xfId="42" applyFont="1" applyBorder="1" applyAlignment="1">
      <alignment horizontal="center" vertical="center"/>
      <protection/>
    </xf>
    <xf numFmtId="49" fontId="4" fillId="33" borderId="21" xfId="42" applyNumberFormat="1" applyFont="1" applyFill="1" applyBorder="1" applyAlignment="1">
      <alignment horizontal="center"/>
      <protection/>
    </xf>
    <xf numFmtId="49" fontId="4" fillId="33" borderId="22" xfId="42" applyNumberFormat="1" applyFont="1" applyFill="1" applyBorder="1" applyAlignment="1">
      <alignment horizontal="center" vertical="top"/>
      <protection/>
    </xf>
    <xf numFmtId="0" fontId="4" fillId="33" borderId="22" xfId="42" applyFont="1" applyFill="1" applyBorder="1" applyAlignment="1">
      <alignment horizontal="center"/>
      <protection/>
    </xf>
    <xf numFmtId="167" fontId="4" fillId="34" borderId="22" xfId="42" applyNumberFormat="1" applyFont="1" applyFill="1" applyBorder="1" applyAlignment="1">
      <alignment horizontal="center" vertical="top"/>
      <protection/>
    </xf>
    <xf numFmtId="4" fontId="4" fillId="34" borderId="22" xfId="42" applyNumberFormat="1" applyFont="1" applyFill="1" applyBorder="1" applyAlignment="1">
      <alignment horizontal="right" vertical="top"/>
      <protection/>
    </xf>
    <xf numFmtId="167" fontId="4" fillId="0" borderId="22" xfId="42" applyNumberFormat="1" applyFont="1" applyFill="1" applyBorder="1" applyAlignment="1">
      <alignment horizontal="center" vertical="top"/>
      <protection/>
    </xf>
    <xf numFmtId="4" fontId="4" fillId="0" borderId="22" xfId="42" applyNumberFormat="1" applyFont="1" applyFill="1" applyBorder="1" applyAlignment="1">
      <alignment horizontal="right" vertical="top"/>
      <protection/>
    </xf>
    <xf numFmtId="49" fontId="4" fillId="34" borderId="22" xfId="42" applyNumberFormat="1" applyFont="1" applyFill="1" applyBorder="1" applyAlignment="1">
      <alignment horizontal="center" vertical="top"/>
      <protection/>
    </xf>
    <xf numFmtId="49" fontId="7" fillId="0" borderId="22" xfId="42" applyNumberFormat="1" applyFont="1" applyFill="1" applyBorder="1" applyAlignment="1">
      <alignment horizontal="center" vertical="top"/>
      <protection/>
    </xf>
    <xf numFmtId="4" fontId="4" fillId="34" borderId="23" xfId="42" applyNumberFormat="1" applyFont="1" applyFill="1" applyBorder="1" applyAlignment="1">
      <alignment horizontal="right" vertical="top"/>
      <protection/>
    </xf>
    <xf numFmtId="167" fontId="4" fillId="0" borderId="24" xfId="42" applyNumberFormat="1" applyFont="1" applyFill="1" applyBorder="1" applyAlignment="1">
      <alignment horizontal="center" vertical="top"/>
      <protection/>
    </xf>
    <xf numFmtId="167" fontId="4" fillId="0" borderId="16" xfId="42" applyNumberFormat="1" applyFont="1" applyFill="1" applyBorder="1" applyAlignment="1">
      <alignment horizontal="center" vertical="top"/>
      <protection/>
    </xf>
    <xf numFmtId="167" fontId="4" fillId="0" borderId="25" xfId="42" applyNumberFormat="1" applyFont="1" applyFill="1" applyBorder="1" applyAlignment="1">
      <alignment horizontal="center" vertical="top"/>
      <protection/>
    </xf>
    <xf numFmtId="4" fontId="4" fillId="0" borderId="0" xfId="0" applyNumberFormat="1" applyFont="1" applyFill="1" applyAlignment="1">
      <alignment horizontal="center"/>
    </xf>
    <xf numFmtId="0" fontId="0" fillId="0" borderId="26" xfId="0" applyFont="1" applyBorder="1" applyAlignment="1">
      <alignment/>
    </xf>
    <xf numFmtId="4" fontId="4" fillId="0" borderId="27" xfId="42" applyNumberFormat="1" applyFont="1" applyFill="1" applyBorder="1" applyAlignment="1">
      <alignment horizontal="right" vertical="top"/>
      <protection/>
    </xf>
    <xf numFmtId="0" fontId="4" fillId="33" borderId="28" xfId="42" applyFont="1" applyFill="1" applyBorder="1" applyAlignment="1">
      <alignment horizontal="center"/>
      <protection/>
    </xf>
    <xf numFmtId="4" fontId="4" fillId="33" borderId="27" xfId="42" applyNumberFormat="1" applyFont="1" applyFill="1" applyBorder="1" applyAlignment="1">
      <alignment horizontal="right" vertical="top"/>
      <protection/>
    </xf>
    <xf numFmtId="4" fontId="4" fillId="34" borderId="27" xfId="42" applyNumberFormat="1" applyFont="1" applyFill="1" applyBorder="1" applyAlignment="1">
      <alignment horizontal="right" vertical="top"/>
      <protection/>
    </xf>
    <xf numFmtId="0" fontId="4" fillId="0" borderId="29" xfId="0" applyFont="1" applyBorder="1" applyAlignment="1">
      <alignment horizontal="center" textRotation="90"/>
    </xf>
    <xf numFmtId="0" fontId="4" fillId="0" borderId="30" xfId="0" applyFont="1" applyBorder="1" applyAlignment="1">
      <alignment horizontal="center" textRotation="90"/>
    </xf>
    <xf numFmtId="0" fontId="4" fillId="0" borderId="30" xfId="0" applyFont="1" applyBorder="1" applyAlignment="1">
      <alignment horizontal="center" textRotation="90" wrapText="1"/>
    </xf>
    <xf numFmtId="4" fontId="4" fillId="0" borderId="31" xfId="42" applyNumberFormat="1" applyFont="1" applyBorder="1" applyAlignment="1">
      <alignment horizontal="right" vertical="center"/>
      <protection/>
    </xf>
    <xf numFmtId="0" fontId="4" fillId="0" borderId="28" xfId="0" applyFont="1" applyFill="1" applyBorder="1" applyAlignment="1">
      <alignment vertical="top"/>
    </xf>
    <xf numFmtId="0" fontId="4" fillId="0" borderId="32" xfId="0" applyFont="1" applyFill="1" applyBorder="1" applyAlignment="1">
      <alignment vertical="top"/>
    </xf>
    <xf numFmtId="171" fontId="5" fillId="0" borderId="33" xfId="45" applyNumberFormat="1" applyFont="1" applyBorder="1" applyAlignment="1">
      <alignment horizontal="right" vertical="center"/>
      <protection/>
    </xf>
    <xf numFmtId="171" fontId="0" fillId="0" borderId="0" xfId="0" applyNumberFormat="1" applyFont="1" applyFill="1" applyAlignment="1">
      <alignment/>
    </xf>
    <xf numFmtId="0" fontId="11" fillId="33" borderId="26" xfId="0" applyFont="1" applyFill="1" applyBorder="1" applyAlignment="1">
      <alignment vertical="top"/>
    </xf>
    <xf numFmtId="0" fontId="11" fillId="33" borderId="34" xfId="0" applyFont="1" applyFill="1" applyBorder="1" applyAlignment="1">
      <alignment vertical="top"/>
    </xf>
    <xf numFmtId="0" fontId="9" fillId="35" borderId="34" xfId="0" applyFont="1" applyFill="1" applyBorder="1" applyAlignment="1">
      <alignment vertical="top"/>
    </xf>
    <xf numFmtId="0" fontId="5" fillId="0" borderId="0" xfId="45" applyFont="1" applyAlignment="1">
      <alignment horizontal="left" vertical="top"/>
      <protection/>
    </xf>
    <xf numFmtId="0" fontId="10" fillId="0" borderId="0" xfId="45" applyFont="1" applyAlignment="1">
      <alignment horizontal="left" vertical="top"/>
      <protection/>
    </xf>
    <xf numFmtId="0" fontId="5" fillId="0" borderId="0" xfId="45" applyFont="1" applyBorder="1" applyAlignment="1">
      <alignment horizontal="left" vertical="center"/>
      <protection/>
    </xf>
    <xf numFmtId="0" fontId="5" fillId="0" borderId="10" xfId="0" applyFont="1" applyBorder="1" applyAlignment="1">
      <alignment textRotation="90"/>
    </xf>
    <xf numFmtId="0" fontId="5" fillId="0" borderId="11" xfId="0" applyFont="1" applyBorder="1" applyAlignment="1">
      <alignment textRotation="90"/>
    </xf>
    <xf numFmtId="0" fontId="4" fillId="0" borderId="10" xfId="45" applyFont="1" applyFill="1" applyBorder="1" applyAlignment="1">
      <alignment horizontal="center" vertical="center" wrapText="1"/>
      <protection/>
    </xf>
    <xf numFmtId="49" fontId="5" fillId="36" borderId="17" xfId="45" applyNumberFormat="1" applyFont="1" applyFill="1" applyBorder="1" applyAlignment="1">
      <alignment horizontal="center" vertical="top"/>
      <protection/>
    </xf>
    <xf numFmtId="173" fontId="9" fillId="35" borderId="16" xfId="45" applyNumberFormat="1" applyFont="1" applyFill="1" applyBorder="1" applyAlignment="1">
      <alignment horizontal="left" vertical="top"/>
      <protection/>
    </xf>
    <xf numFmtId="0" fontId="6" fillId="35" borderId="16" xfId="45" applyFont="1" applyFill="1" applyBorder="1">
      <alignment/>
      <protection/>
    </xf>
    <xf numFmtId="0" fontId="6" fillId="35" borderId="35" xfId="45" applyFont="1" applyFill="1" applyBorder="1">
      <alignment/>
      <protection/>
    </xf>
    <xf numFmtId="0" fontId="9" fillId="35" borderId="26" xfId="0" applyFont="1" applyFill="1" applyBorder="1" applyAlignment="1">
      <alignment vertical="top"/>
    </xf>
    <xf numFmtId="171" fontId="9" fillId="35" borderId="18" xfId="45" applyNumberFormat="1" applyFont="1" applyFill="1" applyBorder="1" applyAlignment="1">
      <alignment horizontal="right" vertical="top"/>
      <protection/>
    </xf>
    <xf numFmtId="0" fontId="4" fillId="33" borderId="16" xfId="45" applyFont="1" applyFill="1" applyBorder="1">
      <alignment/>
      <protection/>
    </xf>
    <xf numFmtId="167" fontId="11" fillId="33" borderId="16" xfId="45" applyNumberFormat="1" applyFont="1" applyFill="1" applyBorder="1" applyAlignment="1">
      <alignment horizontal="left" vertical="top"/>
      <protection/>
    </xf>
    <xf numFmtId="0" fontId="4" fillId="33" borderId="35" xfId="45" applyFont="1" applyFill="1" applyBorder="1">
      <alignment/>
      <protection/>
    </xf>
    <xf numFmtId="0" fontId="11" fillId="33" borderId="35" xfId="0" applyFont="1" applyFill="1" applyBorder="1" applyAlignment="1">
      <alignment vertical="top"/>
    </xf>
    <xf numFmtId="165" fontId="8" fillId="33" borderId="18" xfId="45" applyNumberFormat="1" applyFont="1" applyFill="1" applyBorder="1" applyAlignment="1">
      <alignment horizontal="right" vertical="top"/>
      <protection/>
    </xf>
    <xf numFmtId="0" fontId="7" fillId="0" borderId="16" xfId="45" applyFont="1" applyBorder="1">
      <alignment/>
      <protection/>
    </xf>
    <xf numFmtId="174" fontId="10" fillId="0" borderId="16" xfId="45" applyNumberFormat="1" applyFont="1" applyBorder="1" applyAlignment="1">
      <alignment horizontal="left" vertical="top"/>
      <protection/>
    </xf>
    <xf numFmtId="0" fontId="7" fillId="0" borderId="35" xfId="45" applyFont="1" applyBorder="1">
      <alignment/>
      <protection/>
    </xf>
    <xf numFmtId="0" fontId="10" fillId="0" borderId="35" xfId="0" applyFont="1" applyBorder="1" applyAlignment="1">
      <alignment vertical="top"/>
    </xf>
    <xf numFmtId="0" fontId="10" fillId="0" borderId="26" xfId="0" applyFont="1" applyBorder="1" applyAlignment="1">
      <alignment vertical="top"/>
    </xf>
    <xf numFmtId="0" fontId="10" fillId="0" borderId="34" xfId="0" applyFont="1" applyBorder="1" applyAlignment="1">
      <alignment vertical="top"/>
    </xf>
    <xf numFmtId="165" fontId="7" fillId="0" borderId="18" xfId="45" applyNumberFormat="1" applyFont="1" applyBorder="1" applyAlignment="1">
      <alignment horizontal="right" vertical="top"/>
      <protection/>
    </xf>
    <xf numFmtId="0" fontId="0" fillId="0" borderId="16" xfId="45" applyFont="1" applyBorder="1">
      <alignment/>
      <protection/>
    </xf>
    <xf numFmtId="0" fontId="0" fillId="0" borderId="35" xfId="45" applyFont="1" applyBorder="1">
      <alignment/>
      <protection/>
    </xf>
    <xf numFmtId="0" fontId="12" fillId="0" borderId="35" xfId="0" applyFont="1" applyBorder="1" applyAlignment="1">
      <alignment vertical="top"/>
    </xf>
    <xf numFmtId="0" fontId="12" fillId="0" borderId="26" xfId="0" applyFont="1" applyBorder="1" applyAlignment="1">
      <alignment vertical="top"/>
    </xf>
    <xf numFmtId="0" fontId="0" fillId="0" borderId="34" xfId="0" applyFont="1" applyBorder="1" applyAlignment="1">
      <alignment/>
    </xf>
    <xf numFmtId="165" fontId="12" fillId="0" borderId="18" xfId="45" applyNumberFormat="1" applyFont="1" applyBorder="1" applyAlignment="1" applyProtection="1">
      <alignment horizontal="right" vertical="top"/>
      <protection locked="0"/>
    </xf>
    <xf numFmtId="0" fontId="12" fillId="0" borderId="34" xfId="0" applyFont="1" applyBorder="1" applyAlignment="1">
      <alignment vertical="top"/>
    </xf>
    <xf numFmtId="165" fontId="12" fillId="0" borderId="18" xfId="45" applyNumberFormat="1" applyFont="1" applyFill="1" applyBorder="1" applyAlignment="1" applyProtection="1">
      <alignment horizontal="right" vertical="top"/>
      <protection locked="0"/>
    </xf>
    <xf numFmtId="0" fontId="4" fillId="33" borderId="34" xfId="0" applyFont="1" applyFill="1" applyBorder="1" applyAlignment="1">
      <alignment/>
    </xf>
    <xf numFmtId="169" fontId="8" fillId="33" borderId="18" xfId="45" applyNumberFormat="1" applyFont="1" applyFill="1" applyBorder="1" applyAlignment="1">
      <alignment horizontal="right" vertical="top"/>
      <protection/>
    </xf>
    <xf numFmtId="0" fontId="7" fillId="0" borderId="26" xfId="0" applyFont="1" applyBorder="1" applyAlignment="1">
      <alignment/>
    </xf>
    <xf numFmtId="0" fontId="7" fillId="0" borderId="34" xfId="0" applyFont="1" applyBorder="1" applyAlignment="1">
      <alignment/>
    </xf>
    <xf numFmtId="169" fontId="10" fillId="0" borderId="18" xfId="45" applyNumberFormat="1" applyFont="1" applyBorder="1" applyAlignment="1">
      <alignment horizontal="right" vertical="top"/>
      <protection/>
    </xf>
    <xf numFmtId="169" fontId="7" fillId="0" borderId="18" xfId="45" applyNumberFormat="1" applyFont="1" applyBorder="1" applyAlignment="1">
      <alignment horizontal="right" vertical="top"/>
      <protection/>
    </xf>
    <xf numFmtId="169" fontId="12" fillId="0" borderId="18" xfId="45" applyNumberFormat="1" applyFont="1" applyBorder="1" applyAlignment="1" applyProtection="1">
      <alignment horizontal="right" vertical="top"/>
      <protection locked="0"/>
    </xf>
    <xf numFmtId="0" fontId="4" fillId="33" borderId="26" xfId="0" applyFont="1" applyFill="1" applyBorder="1" applyAlignment="1">
      <alignment/>
    </xf>
    <xf numFmtId="166" fontId="7" fillId="0" borderId="18" xfId="45" applyNumberFormat="1" applyFont="1" applyBorder="1" applyAlignment="1">
      <alignment horizontal="right" vertical="top"/>
      <protection/>
    </xf>
    <xf numFmtId="166" fontId="12" fillId="0" borderId="18" xfId="45" applyNumberFormat="1" applyFont="1" applyFill="1" applyBorder="1" applyAlignment="1" applyProtection="1">
      <alignment horizontal="right" vertical="top"/>
      <protection locked="0"/>
    </xf>
    <xf numFmtId="170" fontId="10" fillId="0" borderId="18" xfId="45" applyNumberFormat="1" applyFont="1" applyBorder="1" applyAlignment="1">
      <alignment horizontal="right" vertical="top"/>
      <protection/>
    </xf>
    <xf numFmtId="170" fontId="12" fillId="0" borderId="18" xfId="45" applyNumberFormat="1" applyFont="1" applyBorder="1" applyAlignment="1" applyProtection="1">
      <alignment horizontal="right" vertical="top"/>
      <protection locked="0"/>
    </xf>
    <xf numFmtId="166" fontId="8" fillId="33" borderId="18" xfId="45" applyNumberFormat="1" applyFont="1" applyFill="1" applyBorder="1" applyAlignment="1">
      <alignment horizontal="right" vertical="top"/>
      <protection/>
    </xf>
    <xf numFmtId="170" fontId="7" fillId="0" borderId="18" xfId="45" applyNumberFormat="1" applyFont="1" applyBorder="1" applyAlignment="1">
      <alignment horizontal="right" vertical="top"/>
      <protection/>
    </xf>
    <xf numFmtId="170" fontId="12" fillId="0" borderId="18" xfId="45" applyNumberFormat="1" applyFont="1" applyFill="1" applyBorder="1" applyAlignment="1" applyProtection="1">
      <alignment horizontal="right" vertical="top"/>
      <protection locked="0"/>
    </xf>
    <xf numFmtId="166" fontId="12" fillId="0" borderId="18" xfId="45" applyNumberFormat="1" applyFont="1" applyBorder="1" applyAlignment="1" applyProtection="1">
      <alignment horizontal="right" vertical="top"/>
      <protection locked="0"/>
    </xf>
    <xf numFmtId="0" fontId="0" fillId="0" borderId="16" xfId="45" applyFont="1" applyFill="1" applyBorder="1">
      <alignment/>
      <protection/>
    </xf>
    <xf numFmtId="176" fontId="12" fillId="0" borderId="35" xfId="45" applyNumberFormat="1" applyFont="1" applyFill="1" applyBorder="1" applyAlignment="1">
      <alignment horizontal="left" vertical="top"/>
      <protection/>
    </xf>
    <xf numFmtId="0" fontId="9" fillId="35" borderId="35" xfId="0" applyFont="1" applyFill="1" applyBorder="1" applyAlignment="1">
      <alignment vertical="top"/>
    </xf>
    <xf numFmtId="169" fontId="12" fillId="0" borderId="18" xfId="45" applyNumberFormat="1" applyFont="1" applyFill="1" applyBorder="1" applyAlignment="1" applyProtection="1">
      <alignment horizontal="right" vertical="top"/>
      <protection locked="0"/>
    </xf>
    <xf numFmtId="174" fontId="12" fillId="0" borderId="16" xfId="45" applyNumberFormat="1" applyFont="1" applyBorder="1" applyAlignment="1">
      <alignment horizontal="left" vertical="top"/>
      <protection/>
    </xf>
    <xf numFmtId="169" fontId="12" fillId="0" borderId="18" xfId="45" applyNumberFormat="1" applyFont="1" applyBorder="1" applyAlignment="1">
      <alignment horizontal="right" vertical="top"/>
      <protection/>
    </xf>
    <xf numFmtId="0" fontId="7" fillId="0" borderId="16" xfId="45" applyFont="1" applyBorder="1" applyAlignment="1">
      <alignment horizontal="left"/>
      <protection/>
    </xf>
    <xf numFmtId="169" fontId="9" fillId="35" borderId="18" xfId="45" applyNumberFormat="1" applyFont="1" applyFill="1" applyBorder="1" applyAlignment="1">
      <alignment horizontal="right" vertical="top"/>
      <protection/>
    </xf>
    <xf numFmtId="0" fontId="4" fillId="0" borderId="16" xfId="45" applyFont="1" applyBorder="1">
      <alignment/>
      <protection/>
    </xf>
    <xf numFmtId="167" fontId="11" fillId="0" borderId="16" xfId="45" applyNumberFormat="1" applyFont="1" applyBorder="1" applyAlignment="1">
      <alignment horizontal="center" vertical="top"/>
      <protection/>
    </xf>
    <xf numFmtId="167" fontId="11" fillId="0" borderId="35" xfId="45" applyNumberFormat="1" applyFont="1" applyBorder="1" applyAlignment="1">
      <alignment horizontal="center" vertical="top"/>
      <protection/>
    </xf>
    <xf numFmtId="172" fontId="5" fillId="0" borderId="18" xfId="45" applyNumberFormat="1" applyFont="1" applyBorder="1" applyAlignment="1">
      <alignment horizontal="right" vertical="top"/>
      <protection/>
    </xf>
    <xf numFmtId="167" fontId="13" fillId="0" borderId="17" xfId="45" applyNumberFormat="1" applyFont="1" applyBorder="1" applyAlignment="1">
      <alignment horizontal="center" vertical="top"/>
      <protection/>
    </xf>
    <xf numFmtId="0" fontId="6" fillId="35" borderId="16" xfId="45" applyFont="1" applyFill="1" applyBorder="1" applyAlignment="1">
      <alignment horizontal="center"/>
      <protection/>
    </xf>
    <xf numFmtId="167" fontId="13" fillId="35" borderId="16" xfId="45" applyNumberFormat="1" applyFont="1" applyFill="1" applyBorder="1" applyAlignment="1">
      <alignment horizontal="center" vertical="top"/>
      <protection/>
    </xf>
    <xf numFmtId="0" fontId="6" fillId="35" borderId="35" xfId="45" applyFont="1" applyFill="1" applyBorder="1" applyAlignment="1">
      <alignment horizontal="center"/>
      <protection/>
    </xf>
    <xf numFmtId="172" fontId="9" fillId="35" borderId="18" xfId="45" applyNumberFormat="1" applyFont="1" applyFill="1" applyBorder="1" applyAlignment="1">
      <alignment horizontal="right" vertical="top"/>
      <protection/>
    </xf>
    <xf numFmtId="167" fontId="10" fillId="0" borderId="17" xfId="45" applyNumberFormat="1" applyFont="1" applyBorder="1" applyAlignment="1">
      <alignment horizontal="center" vertical="top"/>
      <protection/>
    </xf>
    <xf numFmtId="167" fontId="10" fillId="0" borderId="16" xfId="45" applyNumberFormat="1" applyFont="1" applyBorder="1" applyAlignment="1">
      <alignment horizontal="center" vertical="top"/>
      <protection/>
    </xf>
    <xf numFmtId="174" fontId="12" fillId="0" borderId="35" xfId="45" applyNumberFormat="1" applyFont="1" applyBorder="1" applyAlignment="1">
      <alignment horizontal="left" vertical="top"/>
      <protection/>
    </xf>
    <xf numFmtId="172" fontId="11" fillId="0" borderId="18" xfId="45" applyNumberFormat="1" applyFont="1" applyBorder="1" applyAlignment="1" applyProtection="1">
      <alignment horizontal="right" vertical="top"/>
      <protection locked="0"/>
    </xf>
    <xf numFmtId="0" fontId="4" fillId="0" borderId="35" xfId="45" applyFont="1" applyBorder="1">
      <alignment/>
      <protection/>
    </xf>
    <xf numFmtId="0" fontId="4" fillId="0" borderId="36" xfId="45" applyFont="1" applyBorder="1">
      <alignment/>
      <protection/>
    </xf>
    <xf numFmtId="0" fontId="4" fillId="0" borderId="37" xfId="45" applyFont="1" applyBorder="1">
      <alignment/>
      <protection/>
    </xf>
    <xf numFmtId="167" fontId="13" fillId="0" borderId="17" xfId="45" applyNumberFormat="1" applyFont="1" applyFill="1" applyBorder="1" applyAlignment="1">
      <alignment horizontal="center" vertical="top"/>
      <protection/>
    </xf>
    <xf numFmtId="173" fontId="9" fillId="0" borderId="16" xfId="45" applyNumberFormat="1" applyFont="1" applyFill="1" applyBorder="1" applyAlignment="1">
      <alignment horizontal="left" vertical="top"/>
      <protection/>
    </xf>
    <xf numFmtId="0" fontId="6" fillId="0" borderId="16" xfId="45" applyFont="1" applyFill="1" applyBorder="1" applyAlignment="1">
      <alignment horizontal="center"/>
      <protection/>
    </xf>
    <xf numFmtId="167" fontId="13" fillId="0" borderId="16" xfId="45" applyNumberFormat="1" applyFont="1" applyFill="1" applyBorder="1" applyAlignment="1">
      <alignment horizontal="center" vertical="top"/>
      <protection/>
    </xf>
    <xf numFmtId="0" fontId="6" fillId="0" borderId="35" xfId="45" applyFont="1" applyFill="1" applyBorder="1" applyAlignment="1">
      <alignment horizontal="center"/>
      <protection/>
    </xf>
    <xf numFmtId="0" fontId="6" fillId="0" borderId="0" xfId="0" applyFont="1" applyFill="1" applyAlignment="1">
      <alignment/>
    </xf>
    <xf numFmtId="0" fontId="4" fillId="0" borderId="16" xfId="45" applyFont="1" applyFill="1" applyBorder="1" applyAlignment="1">
      <alignment horizontal="center"/>
      <protection/>
    </xf>
    <xf numFmtId="172" fontId="4" fillId="0" borderId="18" xfId="45" applyNumberFormat="1" applyFont="1" applyFill="1" applyBorder="1" applyAlignment="1">
      <alignment horizontal="right" vertical="top"/>
      <protection/>
    </xf>
    <xf numFmtId="173" fontId="4" fillId="0" borderId="16" xfId="45" applyNumberFormat="1" applyFont="1" applyFill="1" applyBorder="1" applyAlignment="1">
      <alignment horizontal="left" vertical="top"/>
      <protection/>
    </xf>
    <xf numFmtId="0" fontId="4" fillId="0" borderId="35" xfId="45" applyFont="1" applyFill="1" applyBorder="1" applyAlignment="1">
      <alignment horizontal="center"/>
      <protection/>
    </xf>
    <xf numFmtId="167" fontId="4" fillId="0" borderId="17" xfId="45" applyNumberFormat="1" applyFont="1" applyFill="1" applyBorder="1" applyAlignment="1">
      <alignment horizontal="center" vertical="top"/>
      <protection/>
    </xf>
    <xf numFmtId="167" fontId="4" fillId="0" borderId="16" xfId="45" applyNumberFormat="1" applyFont="1" applyFill="1" applyBorder="1" applyAlignment="1">
      <alignment horizontal="center" vertical="top"/>
      <protection/>
    </xf>
    <xf numFmtId="0" fontId="4" fillId="0" borderId="17" xfId="45" applyFont="1" applyFill="1" applyBorder="1">
      <alignment/>
      <protection/>
    </xf>
    <xf numFmtId="49" fontId="4" fillId="0" borderId="38" xfId="0" applyNumberFormat="1" applyFont="1" applyBorder="1" applyAlignment="1">
      <alignment horizontal="center"/>
    </xf>
    <xf numFmtId="4" fontId="4" fillId="0" borderId="39" xfId="0" applyNumberFormat="1" applyFont="1" applyBorder="1" applyAlignment="1">
      <alignment wrapText="1"/>
    </xf>
    <xf numFmtId="4" fontId="4" fillId="0" borderId="39" xfId="0" applyNumberFormat="1" applyFont="1" applyBorder="1" applyAlignment="1">
      <alignment horizontal="right"/>
    </xf>
    <xf numFmtId="167" fontId="7" fillId="0" borderId="17" xfId="45" applyNumberFormat="1" applyFont="1" applyFill="1" applyBorder="1" applyAlignment="1">
      <alignment horizontal="center" vertical="top"/>
      <protection/>
    </xf>
    <xf numFmtId="0" fontId="0" fillId="0" borderId="16" xfId="45" applyFont="1" applyFill="1" applyBorder="1" applyAlignment="1">
      <alignment horizontal="center"/>
      <protection/>
    </xf>
    <xf numFmtId="167" fontId="7" fillId="0" borderId="16" xfId="45" applyNumberFormat="1" applyFont="1" applyFill="1" applyBorder="1" applyAlignment="1">
      <alignment horizontal="center" vertical="top"/>
      <protection/>
    </xf>
    <xf numFmtId="0" fontId="0" fillId="0" borderId="35" xfId="45" applyFont="1" applyFill="1" applyBorder="1" applyAlignment="1">
      <alignment horizontal="center"/>
      <protection/>
    </xf>
    <xf numFmtId="171" fontId="4" fillId="0" borderId="18" xfId="45" applyNumberFormat="1" applyFont="1" applyFill="1" applyBorder="1">
      <alignment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33" borderId="16" xfId="45" applyFont="1" applyFill="1" applyBorder="1" applyAlignment="1">
      <alignment horizontal="left"/>
      <protection/>
    </xf>
    <xf numFmtId="0" fontId="11" fillId="0" borderId="35" xfId="0" applyFont="1" applyFill="1" applyBorder="1" applyAlignment="1">
      <alignment vertical="top"/>
    </xf>
    <xf numFmtId="0" fontId="11" fillId="0" borderId="26" xfId="0" applyFont="1" applyFill="1" applyBorder="1" applyAlignment="1">
      <alignment vertical="top"/>
    </xf>
    <xf numFmtId="0" fontId="11" fillId="0" borderId="34" xfId="0" applyFont="1" applyFill="1" applyBorder="1" applyAlignment="1">
      <alignment vertical="top"/>
    </xf>
    <xf numFmtId="167" fontId="11" fillId="37" borderId="16" xfId="45" applyNumberFormat="1" applyFont="1" applyFill="1" applyBorder="1" applyAlignment="1">
      <alignment horizontal="left" vertical="top"/>
      <protection/>
    </xf>
    <xf numFmtId="4" fontId="4" fillId="34" borderId="28" xfId="42" applyNumberFormat="1" applyFont="1" applyFill="1" applyBorder="1" applyAlignment="1">
      <alignment horizontal="right" vertical="top"/>
      <protection/>
    </xf>
    <xf numFmtId="4" fontId="0" fillId="0" borderId="0" xfId="0" applyNumberFormat="1" applyFont="1" applyAlignment="1">
      <alignment horizontal="right"/>
    </xf>
    <xf numFmtId="49" fontId="4" fillId="0" borderId="22" xfId="42" applyNumberFormat="1" applyFont="1" applyFill="1" applyBorder="1" applyAlignment="1">
      <alignment horizontal="center" vertical="top"/>
      <protection/>
    </xf>
    <xf numFmtId="4" fontId="4" fillId="0" borderId="27" xfId="0" applyNumberFormat="1" applyFont="1" applyFill="1" applyBorder="1" applyAlignment="1">
      <alignment horizontal="right" vertical="top"/>
    </xf>
    <xf numFmtId="4" fontId="4" fillId="0" borderId="0" xfId="0" applyNumberFormat="1" applyFont="1" applyAlignment="1">
      <alignment horizontal="center"/>
    </xf>
    <xf numFmtId="0" fontId="5" fillId="0" borderId="3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34" xfId="0" applyFont="1" applyBorder="1" applyAlignment="1">
      <alignment/>
    </xf>
    <xf numFmtId="0" fontId="0" fillId="0" borderId="40" xfId="45" applyFont="1" applyBorder="1">
      <alignment/>
      <protection/>
    </xf>
    <xf numFmtId="0" fontId="0" fillId="0" borderId="25" xfId="45" applyFont="1" applyBorder="1">
      <alignment/>
      <protection/>
    </xf>
    <xf numFmtId="0" fontId="0" fillId="0" borderId="41" xfId="45" applyFont="1" applyBorder="1">
      <alignment/>
      <protection/>
    </xf>
    <xf numFmtId="172" fontId="0" fillId="0" borderId="42" xfId="45" applyNumberFormat="1" applyFont="1" applyBorder="1">
      <alignment/>
      <protection/>
    </xf>
    <xf numFmtId="49" fontId="5" fillId="0" borderId="17" xfId="45" applyNumberFormat="1" applyFont="1" applyFill="1" applyBorder="1" applyAlignment="1">
      <alignment horizontal="center" vertical="top"/>
      <protection/>
    </xf>
    <xf numFmtId="4" fontId="4" fillId="0" borderId="13" xfId="0" applyNumberFormat="1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172" fontId="0" fillId="0" borderId="0" xfId="45" applyNumberFormat="1" applyFont="1" applyBorder="1" applyAlignment="1">
      <alignment horizontal="left"/>
      <protection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13" xfId="0" applyFont="1" applyBorder="1" applyAlignment="1">
      <alignment/>
    </xf>
    <xf numFmtId="167" fontId="11" fillId="0" borderId="16" xfId="45" applyNumberFormat="1" applyFont="1" applyFill="1" applyBorder="1" applyAlignment="1">
      <alignment horizontal="left" vertical="top"/>
      <protection/>
    </xf>
    <xf numFmtId="3" fontId="0" fillId="0" borderId="12" xfId="0" applyNumberFormat="1" applyFont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4" fontId="12" fillId="0" borderId="10" xfId="0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 horizontal="right"/>
    </xf>
    <xf numFmtId="0" fontId="18" fillId="0" borderId="0" xfId="0" applyFont="1" applyFill="1" applyBorder="1" applyAlignment="1">
      <alignment vertical="center" wrapText="1"/>
    </xf>
    <xf numFmtId="0" fontId="16" fillId="0" borderId="0" xfId="0" applyFont="1" applyFill="1" applyAlignment="1" applyProtection="1">
      <alignment vertical="top"/>
      <protection/>
    </xf>
    <xf numFmtId="0" fontId="16" fillId="0" borderId="0" xfId="0" applyFont="1" applyFill="1" applyAlignment="1">
      <alignment/>
    </xf>
    <xf numFmtId="0" fontId="18" fillId="38" borderId="44" xfId="0" applyFont="1" applyFill="1" applyBorder="1" applyAlignment="1">
      <alignment horizontal="center" vertical="center"/>
    </xf>
    <xf numFmtId="0" fontId="18" fillId="38" borderId="25" xfId="0" applyFont="1" applyFill="1" applyBorder="1" applyAlignment="1">
      <alignment horizontal="center" vertical="center" wrapText="1"/>
    </xf>
    <xf numFmtId="0" fontId="18" fillId="39" borderId="16" xfId="0" applyFont="1" applyFill="1" applyBorder="1" applyAlignment="1">
      <alignment wrapText="1"/>
    </xf>
    <xf numFmtId="3" fontId="21" fillId="40" borderId="16" xfId="0" applyNumberFormat="1" applyFont="1" applyFill="1" applyBorder="1" applyAlignment="1" applyProtection="1">
      <alignment wrapText="1"/>
      <protection/>
    </xf>
    <xf numFmtId="3" fontId="21" fillId="0" borderId="16" xfId="0" applyNumberFormat="1" applyFont="1" applyFill="1" applyBorder="1" applyAlignment="1" applyProtection="1">
      <alignment wrapText="1"/>
      <protection/>
    </xf>
    <xf numFmtId="0" fontId="21" fillId="0" borderId="16" xfId="0" applyFont="1" applyBorder="1" applyAlignment="1" applyProtection="1">
      <alignment wrapText="1"/>
      <protection locked="0"/>
    </xf>
    <xf numFmtId="3" fontId="22" fillId="0" borderId="16" xfId="0" applyNumberFormat="1" applyFont="1" applyBorder="1" applyAlignment="1" applyProtection="1">
      <alignment wrapText="1"/>
      <protection locked="0"/>
    </xf>
    <xf numFmtId="3" fontId="16" fillId="40" borderId="16" xfId="0" applyNumberFormat="1" applyFont="1" applyFill="1" applyBorder="1" applyAlignment="1" applyProtection="1">
      <alignment wrapText="1"/>
      <protection locked="0"/>
    </xf>
    <xf numFmtId="3" fontId="23" fillId="40" borderId="16" xfId="0" applyNumberFormat="1" applyFont="1" applyFill="1" applyBorder="1" applyAlignment="1">
      <alignment wrapText="1"/>
    </xf>
    <xf numFmtId="3" fontId="18" fillId="39" borderId="16" xfId="0" applyNumberFormat="1" applyFont="1" applyFill="1" applyBorder="1" applyAlignment="1" applyProtection="1">
      <alignment wrapText="1"/>
      <protection locked="0"/>
    </xf>
    <xf numFmtId="3" fontId="23" fillId="0" borderId="16" xfId="0" applyNumberFormat="1" applyFont="1" applyFill="1" applyBorder="1" applyAlignment="1">
      <alignment wrapText="1"/>
    </xf>
    <xf numFmtId="0" fontId="20" fillId="37" borderId="16" xfId="0" applyFont="1" applyFill="1" applyBorder="1" applyAlignment="1">
      <alignment wrapText="1"/>
    </xf>
    <xf numFmtId="3" fontId="20" fillId="41" borderId="16" xfId="0" applyNumberFormat="1" applyFont="1" applyFill="1" applyBorder="1" applyAlignment="1" applyProtection="1">
      <alignment wrapText="1"/>
      <protection locked="0"/>
    </xf>
    <xf numFmtId="0" fontId="20" fillId="37" borderId="45" xfId="0" applyFont="1" applyFill="1" applyBorder="1" applyAlignment="1">
      <alignment wrapText="1"/>
    </xf>
    <xf numFmtId="0" fontId="18" fillId="37" borderId="46" xfId="0" applyFont="1" applyFill="1" applyBorder="1" applyAlignment="1">
      <alignment horizontal="center"/>
    </xf>
    <xf numFmtId="3" fontId="16" fillId="39" borderId="16" xfId="0" applyNumberFormat="1" applyFont="1" applyFill="1" applyBorder="1" applyAlignment="1">
      <alignment horizontal="right"/>
    </xf>
    <xf numFmtId="3" fontId="16" fillId="40" borderId="16" xfId="0" applyNumberFormat="1" applyFont="1" applyFill="1" applyBorder="1" applyAlignment="1">
      <alignment/>
    </xf>
    <xf numFmtId="3" fontId="16" fillId="0" borderId="16" xfId="0" applyNumberFormat="1" applyFont="1" applyFill="1" applyBorder="1" applyAlignment="1" applyProtection="1">
      <alignment/>
      <protection locked="0"/>
    </xf>
    <xf numFmtId="3" fontId="16" fillId="0" borderId="16" xfId="0" applyNumberFormat="1" applyFont="1" applyBorder="1" applyAlignment="1" applyProtection="1">
      <alignment/>
      <protection locked="0"/>
    </xf>
    <xf numFmtId="3" fontId="16" fillId="39" borderId="16" xfId="0" applyNumberFormat="1" applyFont="1" applyFill="1" applyBorder="1" applyAlignment="1">
      <alignment/>
    </xf>
    <xf numFmtId="3" fontId="16" fillId="40" borderId="16" xfId="0" applyNumberFormat="1" applyFont="1" applyFill="1" applyBorder="1" applyAlignment="1">
      <alignment/>
    </xf>
    <xf numFmtId="3" fontId="18" fillId="39" borderId="16" xfId="0" applyNumberFormat="1" applyFont="1" applyFill="1" applyBorder="1" applyAlignment="1">
      <alignment/>
    </xf>
    <xf numFmtId="3" fontId="19" fillId="37" borderId="16" xfId="0" applyNumberFormat="1" applyFont="1" applyFill="1" applyBorder="1" applyAlignment="1">
      <alignment/>
    </xf>
    <xf numFmtId="3" fontId="20" fillId="41" borderId="16" xfId="0" applyNumberFormat="1" applyFont="1" applyFill="1" applyBorder="1" applyAlignment="1">
      <alignment/>
    </xf>
    <xf numFmtId="49" fontId="17" fillId="0" borderId="0" xfId="0" applyNumberFormat="1" applyFont="1" applyAlignment="1">
      <alignment/>
    </xf>
    <xf numFmtId="49" fontId="16" fillId="0" borderId="0" xfId="0" applyNumberFormat="1" applyFont="1" applyAlignment="1">
      <alignment vertical="top"/>
    </xf>
    <xf numFmtId="49" fontId="16" fillId="38" borderId="41" xfId="0" applyNumberFormat="1" applyFont="1" applyFill="1" applyBorder="1" applyAlignment="1">
      <alignment/>
    </xf>
    <xf numFmtId="49" fontId="16" fillId="0" borderId="0" xfId="0" applyNumberFormat="1" applyFont="1" applyAlignment="1">
      <alignment/>
    </xf>
    <xf numFmtId="49" fontId="16" fillId="0" borderId="0" xfId="0" applyNumberFormat="1" applyFont="1" applyAlignment="1">
      <alignment/>
    </xf>
    <xf numFmtId="49" fontId="19" fillId="37" borderId="45" xfId="0" applyNumberFormat="1" applyFont="1" applyFill="1" applyBorder="1" applyAlignment="1">
      <alignment/>
    </xf>
    <xf numFmtId="49" fontId="18" fillId="39" borderId="16" xfId="0" applyNumberFormat="1" applyFont="1" applyFill="1" applyBorder="1" applyAlignment="1">
      <alignment/>
    </xf>
    <xf numFmtId="49" fontId="20" fillId="41" borderId="16" xfId="0" applyNumberFormat="1" applyFont="1" applyFill="1" applyBorder="1" applyAlignment="1">
      <alignment/>
    </xf>
    <xf numFmtId="49" fontId="18" fillId="39" borderId="16" xfId="0" applyNumberFormat="1" applyFont="1" applyFill="1" applyBorder="1" applyAlignment="1">
      <alignment/>
    </xf>
    <xf numFmtId="49" fontId="16" fillId="40" borderId="16" xfId="0" applyNumberFormat="1" applyFont="1" applyFill="1" applyBorder="1" applyAlignment="1">
      <alignment/>
    </xf>
    <xf numFmtId="49" fontId="16" fillId="0" borderId="16" xfId="0" applyNumberFormat="1" applyFont="1" applyFill="1" applyBorder="1" applyAlignment="1">
      <alignment/>
    </xf>
    <xf numFmtId="49" fontId="16" fillId="0" borderId="16" xfId="0" applyNumberFormat="1" applyFont="1" applyBorder="1" applyAlignment="1">
      <alignment/>
    </xf>
    <xf numFmtId="49" fontId="19" fillId="37" borderId="16" xfId="0" applyNumberFormat="1" applyFont="1" applyFill="1" applyBorder="1" applyAlignment="1">
      <alignment/>
    </xf>
    <xf numFmtId="1" fontId="16" fillId="0" borderId="0" xfId="0" applyNumberFormat="1" applyFont="1" applyAlignment="1">
      <alignment horizontal="center"/>
    </xf>
    <xf numFmtId="1" fontId="18" fillId="38" borderId="44" xfId="0" applyNumberFormat="1" applyFont="1" applyFill="1" applyBorder="1" applyAlignment="1">
      <alignment horizontal="center" vertical="center" wrapText="1"/>
    </xf>
    <xf numFmtId="1" fontId="20" fillId="37" borderId="47" xfId="0" applyNumberFormat="1" applyFont="1" applyFill="1" applyBorder="1" applyAlignment="1">
      <alignment horizontal="center" wrapText="1"/>
    </xf>
    <xf numFmtId="1" fontId="18" fillId="39" borderId="16" xfId="0" applyNumberFormat="1" applyFont="1" applyFill="1" applyBorder="1" applyAlignment="1">
      <alignment horizontal="center" wrapText="1"/>
    </xf>
    <xf numFmtId="1" fontId="21" fillId="40" borderId="16" xfId="0" applyNumberFormat="1" applyFont="1" applyFill="1" applyBorder="1" applyAlignment="1" applyProtection="1">
      <alignment horizontal="center" wrapText="1"/>
      <protection/>
    </xf>
    <xf numFmtId="1" fontId="21" fillId="0" borderId="16" xfId="0" applyNumberFormat="1" applyFont="1" applyFill="1" applyBorder="1" applyAlignment="1" applyProtection="1">
      <alignment horizontal="center" wrapText="1"/>
      <protection/>
    </xf>
    <xf numFmtId="1" fontId="21" fillId="0" borderId="16" xfId="0" applyNumberFormat="1" applyFont="1" applyBorder="1" applyAlignment="1" applyProtection="1">
      <alignment horizontal="center" wrapText="1"/>
      <protection locked="0"/>
    </xf>
    <xf numFmtId="1" fontId="22" fillId="0" borderId="16" xfId="0" applyNumberFormat="1" applyFont="1" applyBorder="1" applyAlignment="1" applyProtection="1">
      <alignment horizontal="center" wrapText="1"/>
      <protection locked="0"/>
    </xf>
    <xf numFmtId="1" fontId="16" fillId="40" borderId="16" xfId="0" applyNumberFormat="1" applyFont="1" applyFill="1" applyBorder="1" applyAlignment="1" applyProtection="1">
      <alignment horizontal="center" wrapText="1"/>
      <protection locked="0"/>
    </xf>
    <xf numFmtId="1" fontId="23" fillId="40" borderId="16" xfId="0" applyNumberFormat="1" applyFont="1" applyFill="1" applyBorder="1" applyAlignment="1">
      <alignment horizontal="center" wrapText="1"/>
    </xf>
    <xf numFmtId="1" fontId="18" fillId="39" borderId="16" xfId="0" applyNumberFormat="1" applyFont="1" applyFill="1" applyBorder="1" applyAlignment="1" applyProtection="1">
      <alignment horizontal="center" wrapText="1"/>
      <protection locked="0"/>
    </xf>
    <xf numFmtId="1" fontId="23" fillId="0" borderId="16" xfId="0" applyNumberFormat="1" applyFont="1" applyFill="1" applyBorder="1" applyAlignment="1">
      <alignment horizontal="center" wrapText="1"/>
    </xf>
    <xf numFmtId="1" fontId="20" fillId="37" borderId="16" xfId="0" applyNumberFormat="1" applyFont="1" applyFill="1" applyBorder="1" applyAlignment="1">
      <alignment horizontal="center" wrapText="1"/>
    </xf>
    <xf numFmtId="1" fontId="20" fillId="41" borderId="16" xfId="0" applyNumberFormat="1" applyFont="1" applyFill="1" applyBorder="1" applyAlignment="1" applyProtection="1">
      <alignment horizontal="center" wrapText="1"/>
      <protection locked="0"/>
    </xf>
    <xf numFmtId="3" fontId="16" fillId="0" borderId="0" xfId="0" applyNumberFormat="1" applyFont="1" applyAlignment="1">
      <alignment/>
    </xf>
    <xf numFmtId="1" fontId="18" fillId="40" borderId="16" xfId="0" applyNumberFormat="1" applyFont="1" applyFill="1" applyBorder="1" applyAlignment="1" applyProtection="1">
      <alignment horizontal="center" wrapText="1"/>
      <protection locked="0"/>
    </xf>
    <xf numFmtId="3" fontId="18" fillId="40" borderId="16" xfId="0" applyNumberFormat="1" applyFont="1" applyFill="1" applyBorder="1" applyAlignment="1" applyProtection="1">
      <alignment/>
      <protection locked="0"/>
    </xf>
    <xf numFmtId="4" fontId="4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26" xfId="0" applyFont="1" applyBorder="1" applyAlignment="1">
      <alignment horizontal="left" vertical="top"/>
    </xf>
    <xf numFmtId="172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Fill="1" applyAlignment="1">
      <alignment/>
    </xf>
    <xf numFmtId="0" fontId="0" fillId="0" borderId="16" xfId="0" applyFont="1" applyBorder="1" applyAlignment="1">
      <alignment/>
    </xf>
    <xf numFmtId="0" fontId="0" fillId="0" borderId="48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49" fontId="4" fillId="0" borderId="30" xfId="0" applyNumberFormat="1" applyFont="1" applyBorder="1" applyAlignment="1">
      <alignment horizontal="center" textRotation="90" wrapText="1"/>
    </xf>
    <xf numFmtId="49" fontId="4" fillId="33" borderId="22" xfId="42" applyNumberFormat="1" applyFont="1" applyFill="1" applyBorder="1" applyAlignment="1">
      <alignment horizontal="center"/>
      <protection/>
    </xf>
    <xf numFmtId="49" fontId="4" fillId="0" borderId="49" xfId="42" applyNumberFormat="1" applyFont="1" applyFill="1" applyBorder="1" applyAlignment="1">
      <alignment horizontal="center" vertical="top"/>
      <protection/>
    </xf>
    <xf numFmtId="49" fontId="4" fillId="42" borderId="50" xfId="42" applyNumberFormat="1" applyFont="1" applyFill="1" applyBorder="1" applyAlignment="1">
      <alignment horizontal="center" vertical="top"/>
      <protection/>
    </xf>
    <xf numFmtId="49" fontId="4" fillId="42" borderId="24" xfId="42" applyNumberFormat="1" applyFont="1" applyFill="1" applyBorder="1" applyAlignment="1">
      <alignment horizontal="center"/>
      <protection/>
    </xf>
    <xf numFmtId="4" fontId="4" fillId="42" borderId="51" xfId="42" applyNumberFormat="1" applyFont="1" applyFill="1" applyBorder="1" applyAlignment="1">
      <alignment horizontal="right" vertical="top"/>
      <protection/>
    </xf>
    <xf numFmtId="49" fontId="4" fillId="34" borderId="52" xfId="42" applyNumberFormat="1" applyFont="1" applyFill="1" applyBorder="1" applyAlignment="1">
      <alignment horizontal="center" vertical="top"/>
      <protection/>
    </xf>
    <xf numFmtId="49" fontId="4" fillId="0" borderId="52" xfId="42" applyNumberFormat="1" applyFont="1" applyFill="1" applyBorder="1" applyAlignment="1">
      <alignment horizontal="center" vertical="top"/>
      <protection/>
    </xf>
    <xf numFmtId="4" fontId="4" fillId="42" borderId="51" xfId="42" applyNumberFormat="1" applyFont="1" applyFill="1" applyBorder="1" applyAlignment="1">
      <alignment vertical="center"/>
      <protection/>
    </xf>
    <xf numFmtId="4" fontId="4" fillId="42" borderId="51" xfId="42" applyNumberFormat="1" applyFont="1" applyFill="1" applyBorder="1" applyAlignment="1">
      <alignment horizontal="right" vertical="center"/>
      <protection/>
    </xf>
    <xf numFmtId="4" fontId="4" fillId="0" borderId="53" xfId="42" applyNumberFormat="1" applyFont="1" applyBorder="1" applyAlignment="1">
      <alignment horizontal="right" vertical="center"/>
      <protection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49" fontId="4" fillId="43" borderId="16" xfId="0" applyNumberFormat="1" applyFont="1" applyFill="1" applyBorder="1" applyAlignment="1">
      <alignment horizontal="center" vertical="center" wrapText="1"/>
    </xf>
    <xf numFmtId="0" fontId="4" fillId="43" borderId="16" xfId="0" applyFont="1" applyFill="1" applyBorder="1" applyAlignment="1">
      <alignment horizontal="center" vertical="center" wrapText="1" shrinkToFit="1"/>
    </xf>
    <xf numFmtId="49" fontId="0" fillId="0" borderId="54" xfId="0" applyNumberFormat="1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 wrapText="1"/>
    </xf>
    <xf numFmtId="49" fontId="4" fillId="44" borderId="55" xfId="0" applyNumberFormat="1" applyFont="1" applyFill="1" applyBorder="1" applyAlignment="1">
      <alignment horizontal="center" vertical="center"/>
    </xf>
    <xf numFmtId="0" fontId="5" fillId="44" borderId="55" xfId="0" applyFont="1" applyFill="1" applyBorder="1" applyAlignment="1">
      <alignment/>
    </xf>
    <xf numFmtId="177" fontId="4" fillId="44" borderId="55" xfId="0" applyNumberFormat="1" applyFont="1" applyFill="1" applyBorder="1" applyAlignment="1">
      <alignment horizontal="center" vertical="center" wrapText="1"/>
    </xf>
    <xf numFmtId="49" fontId="0" fillId="0" borderId="55" xfId="0" applyNumberFormat="1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left" vertical="center" wrapText="1"/>
    </xf>
    <xf numFmtId="177" fontId="0" fillId="0" borderId="55" xfId="0" applyNumberFormat="1" applyFont="1" applyFill="1" applyBorder="1" applyAlignment="1">
      <alignment horizontal="center" vertical="center" wrapText="1"/>
    </xf>
    <xf numFmtId="49" fontId="4" fillId="44" borderId="55" xfId="0" applyNumberFormat="1" applyFont="1" applyFill="1" applyBorder="1" applyAlignment="1">
      <alignment horizontal="center"/>
    </xf>
    <xf numFmtId="0" fontId="4" fillId="44" borderId="55" xfId="0" applyFont="1" applyFill="1" applyBorder="1" applyAlignment="1">
      <alignment horizontal="left" wrapText="1"/>
    </xf>
    <xf numFmtId="49" fontId="0" fillId="0" borderId="55" xfId="0" applyNumberFormat="1" applyFont="1" applyFill="1" applyBorder="1" applyAlignment="1">
      <alignment horizontal="center"/>
    </xf>
    <xf numFmtId="0" fontId="0" fillId="0" borderId="55" xfId="0" applyFont="1" applyFill="1" applyBorder="1" applyAlignment="1">
      <alignment horizontal="left" wrapText="1"/>
    </xf>
    <xf numFmtId="0" fontId="5" fillId="44" borderId="55" xfId="0" applyFont="1" applyFill="1" applyBorder="1" applyAlignment="1">
      <alignment wrapText="1"/>
    </xf>
    <xf numFmtId="0" fontId="12" fillId="0" borderId="55" xfId="0" applyFont="1" applyFill="1" applyBorder="1" applyAlignment="1">
      <alignment wrapText="1"/>
    </xf>
    <xf numFmtId="0" fontId="4" fillId="39" borderId="55" xfId="0" applyFont="1" applyFill="1" applyBorder="1" applyAlignment="1">
      <alignment horizontal="center"/>
    </xf>
    <xf numFmtId="0" fontId="5" fillId="39" borderId="55" xfId="0" applyFont="1" applyFill="1" applyBorder="1" applyAlignment="1">
      <alignment wrapText="1"/>
    </xf>
    <xf numFmtId="177" fontId="4" fillId="39" borderId="55" xfId="0" applyNumberFormat="1" applyFont="1" applyFill="1" applyBorder="1" applyAlignment="1">
      <alignment horizontal="center" vertical="center" wrapText="1"/>
    </xf>
    <xf numFmtId="49" fontId="4" fillId="44" borderId="55" xfId="0" applyNumberFormat="1" applyFont="1" applyFill="1" applyBorder="1" applyAlignment="1">
      <alignment horizontal="center" vertical="center" wrapText="1"/>
    </xf>
    <xf numFmtId="49" fontId="0" fillId="0" borderId="55" xfId="0" applyNumberFormat="1" applyFont="1" applyFill="1" applyBorder="1" applyAlignment="1">
      <alignment horizontal="center" vertical="center" wrapText="1"/>
    </xf>
    <xf numFmtId="49" fontId="0" fillId="45" borderId="56" xfId="0" applyNumberFormat="1" applyFont="1" applyFill="1" applyBorder="1" applyAlignment="1">
      <alignment horizontal="center"/>
    </xf>
    <xf numFmtId="0" fontId="4" fillId="45" borderId="56" xfId="0" applyFont="1" applyFill="1" applyBorder="1" applyAlignment="1">
      <alignment horizontal="center" vertical="center"/>
    </xf>
    <xf numFmtId="177" fontId="4" fillId="45" borderId="56" xfId="44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179" fontId="0" fillId="0" borderId="0" xfId="44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Alignment="1">
      <alignment horizontal="center"/>
    </xf>
    <xf numFmtId="0" fontId="5" fillId="0" borderId="0" xfId="0" applyFont="1" applyAlignment="1">
      <alignment/>
    </xf>
    <xf numFmtId="0" fontId="12" fillId="0" borderId="0" xfId="0" applyFont="1" applyAlignment="1">
      <alignment horizontal="left"/>
    </xf>
    <xf numFmtId="177" fontId="12" fillId="0" borderId="0" xfId="42" applyNumberFormat="1" applyFont="1" applyAlignment="1">
      <alignment horizontal="right"/>
      <protection/>
    </xf>
    <xf numFmtId="177" fontId="12" fillId="0" borderId="0" xfId="0" applyNumberFormat="1" applyFont="1" applyAlignment="1">
      <alignment/>
    </xf>
    <xf numFmtId="177" fontId="12" fillId="0" borderId="0" xfId="42" applyNumberFormat="1" applyFont="1">
      <alignment/>
      <protection/>
    </xf>
    <xf numFmtId="4" fontId="12" fillId="0" borderId="0" xfId="42" applyNumberFormat="1" applyFont="1">
      <alignment/>
      <protection/>
    </xf>
    <xf numFmtId="0" fontId="5" fillId="39" borderId="16" xfId="0" applyFont="1" applyFill="1" applyBorder="1" applyAlignment="1" applyProtection="1">
      <alignment vertical="top"/>
      <protection/>
    </xf>
    <xf numFmtId="0" fontId="5" fillId="39" borderId="16" xfId="0" applyFont="1" applyFill="1" applyBorder="1" applyAlignment="1">
      <alignment/>
    </xf>
    <xf numFmtId="49" fontId="4" fillId="0" borderId="50" xfId="42" applyNumberFormat="1" applyFont="1" applyFill="1" applyBorder="1" applyAlignment="1">
      <alignment horizontal="center" vertical="top"/>
      <protection/>
    </xf>
    <xf numFmtId="49" fontId="4" fillId="0" borderId="24" xfId="42" applyNumberFormat="1" applyFont="1" applyFill="1" applyBorder="1" applyAlignment="1">
      <alignment horizontal="center"/>
      <protection/>
    </xf>
    <xf numFmtId="4" fontId="4" fillId="0" borderId="51" xfId="42" applyNumberFormat="1" applyFont="1" applyFill="1" applyBorder="1" applyAlignment="1">
      <alignment horizontal="right" vertical="center"/>
      <protection/>
    </xf>
    <xf numFmtId="4" fontId="4" fillId="0" borderId="0" xfId="42" applyNumberFormat="1" applyFont="1" applyBorder="1" applyAlignment="1">
      <alignment vertical="top"/>
      <protection/>
    </xf>
    <xf numFmtId="0" fontId="4" fillId="0" borderId="24" xfId="42" applyFont="1" applyFill="1" applyBorder="1" applyAlignment="1">
      <alignment horizontal="center"/>
      <protection/>
    </xf>
    <xf numFmtId="49" fontId="7" fillId="0" borderId="24" xfId="42" applyNumberFormat="1" applyFont="1" applyFill="1" applyBorder="1" applyAlignment="1">
      <alignment horizontal="center" vertical="top"/>
      <protection/>
    </xf>
    <xf numFmtId="4" fontId="4" fillId="42" borderId="57" xfId="42" applyNumberFormat="1" applyFont="1" applyFill="1" applyBorder="1" applyAlignment="1">
      <alignment horizontal="right" vertical="top"/>
      <protection/>
    </xf>
    <xf numFmtId="4" fontId="4" fillId="42" borderId="57" xfId="42" applyNumberFormat="1" applyFont="1" applyFill="1" applyBorder="1" applyAlignment="1">
      <alignment horizontal="right" vertical="center"/>
      <protection/>
    </xf>
    <xf numFmtId="4" fontId="4" fillId="0" borderId="32" xfId="0" applyNumberFormat="1" applyFont="1" applyFill="1" applyBorder="1" applyAlignment="1">
      <alignment horizontal="right" vertical="top"/>
    </xf>
    <xf numFmtId="4" fontId="4" fillId="33" borderId="32" xfId="42" applyNumberFormat="1" applyFont="1" applyFill="1" applyBorder="1" applyAlignment="1">
      <alignment horizontal="right" vertical="top"/>
      <protection/>
    </xf>
    <xf numFmtId="4" fontId="4" fillId="34" borderId="32" xfId="42" applyNumberFormat="1" applyFont="1" applyFill="1" applyBorder="1" applyAlignment="1">
      <alignment horizontal="right" vertical="top"/>
      <protection/>
    </xf>
    <xf numFmtId="4" fontId="4" fillId="0" borderId="32" xfId="42" applyNumberFormat="1" applyFont="1" applyFill="1" applyBorder="1" applyAlignment="1">
      <alignment horizontal="right" vertical="top"/>
      <protection/>
    </xf>
    <xf numFmtId="4" fontId="4" fillId="0" borderId="28" xfId="42" applyNumberFormat="1" applyFont="1" applyFill="1" applyBorder="1" applyAlignment="1">
      <alignment horizontal="right" vertical="top"/>
      <protection/>
    </xf>
    <xf numFmtId="4" fontId="4" fillId="0" borderId="57" xfId="42" applyNumberFormat="1" applyFont="1" applyFill="1" applyBorder="1" applyAlignment="1">
      <alignment horizontal="right" vertical="center"/>
      <protection/>
    </xf>
    <xf numFmtId="4" fontId="4" fillId="34" borderId="58" xfId="42" applyNumberFormat="1" applyFont="1" applyFill="1" applyBorder="1" applyAlignment="1">
      <alignment horizontal="right" vertical="top"/>
      <protection/>
    </xf>
    <xf numFmtId="4" fontId="4" fillId="42" borderId="57" xfId="42" applyNumberFormat="1" applyFont="1" applyFill="1" applyBorder="1" applyAlignment="1">
      <alignment vertical="center"/>
      <protection/>
    </xf>
    <xf numFmtId="165" fontId="0" fillId="0" borderId="0" xfId="0" applyNumberFormat="1" applyFont="1" applyAlignment="1">
      <alignment/>
    </xf>
    <xf numFmtId="4" fontId="4" fillId="46" borderId="59" xfId="42" applyNumberFormat="1" applyFont="1" applyFill="1" applyBorder="1" applyAlignment="1">
      <alignment horizontal="right" vertical="center"/>
      <protection/>
    </xf>
    <xf numFmtId="164" fontId="12" fillId="0" borderId="0" xfId="0" applyNumberFormat="1" applyFont="1" applyAlignment="1">
      <alignment/>
    </xf>
    <xf numFmtId="49" fontId="0" fillId="47" borderId="24" xfId="42" applyNumberFormat="1" applyFont="1" applyFill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0" fillId="0" borderId="28" xfId="0" applyFont="1" applyFill="1" applyBorder="1" applyAlignment="1">
      <alignment vertical="top"/>
    </xf>
    <xf numFmtId="0" fontId="0" fillId="0" borderId="0" xfId="0" applyFont="1" applyAlignment="1">
      <alignment/>
    </xf>
    <xf numFmtId="49" fontId="0" fillId="0" borderId="21" xfId="42" applyNumberFormat="1" applyFont="1" applyFill="1" applyBorder="1" applyAlignment="1">
      <alignment horizontal="center"/>
      <protection/>
    </xf>
    <xf numFmtId="49" fontId="0" fillId="0" borderId="22" xfId="42" applyNumberFormat="1" applyFont="1" applyFill="1" applyBorder="1" applyAlignment="1">
      <alignment horizontal="center" vertical="top"/>
      <protection/>
    </xf>
    <xf numFmtId="0" fontId="0" fillId="0" borderId="22" xfId="42" applyFont="1" applyFill="1" applyBorder="1" applyAlignment="1">
      <alignment horizontal="center"/>
      <protection/>
    </xf>
    <xf numFmtId="0" fontId="0" fillId="0" borderId="28" xfId="42" applyFont="1" applyFill="1" applyBorder="1" applyAlignment="1">
      <alignment horizontal="center"/>
      <protection/>
    </xf>
    <xf numFmtId="4" fontId="0" fillId="0" borderId="27" xfId="42" applyNumberFormat="1" applyFont="1" applyFill="1" applyBorder="1" applyAlignment="1">
      <alignment horizontal="right" vertical="top"/>
      <protection/>
    </xf>
    <xf numFmtId="4" fontId="0" fillId="0" borderId="32" xfId="42" applyNumberFormat="1" applyFont="1" applyFill="1" applyBorder="1" applyAlignment="1">
      <alignment horizontal="right" vertical="top"/>
      <protection/>
    </xf>
    <xf numFmtId="0" fontId="0" fillId="0" borderId="0" xfId="0" applyFont="1" applyFill="1" applyAlignment="1">
      <alignment/>
    </xf>
    <xf numFmtId="49" fontId="0" fillId="0" borderId="22" xfId="42" applyNumberFormat="1" applyFont="1" applyFill="1" applyBorder="1" applyAlignment="1">
      <alignment horizontal="center"/>
      <protection/>
    </xf>
    <xf numFmtId="167" fontId="0" fillId="0" borderId="22" xfId="42" applyNumberFormat="1" applyFont="1" applyFill="1" applyBorder="1" applyAlignment="1">
      <alignment horizontal="center" vertical="top"/>
      <protection/>
    </xf>
    <xf numFmtId="4" fontId="0" fillId="0" borderId="32" xfId="0" applyNumberFormat="1" applyFont="1" applyFill="1" applyBorder="1" applyAlignment="1">
      <alignment horizontal="right" vertical="top"/>
    </xf>
    <xf numFmtId="0" fontId="0" fillId="0" borderId="0" xfId="0" applyFont="1" applyAlignment="1">
      <alignment horizontal="right" vertical="center"/>
    </xf>
    <xf numFmtId="49" fontId="0" fillId="0" borderId="50" xfId="42" applyNumberFormat="1" applyFont="1" applyFill="1" applyBorder="1" applyAlignment="1">
      <alignment horizontal="center" vertical="top"/>
      <protection/>
    </xf>
    <xf numFmtId="49" fontId="0" fillId="0" borderId="24" xfId="42" applyNumberFormat="1" applyFont="1" applyFill="1" applyBorder="1" applyAlignment="1">
      <alignment horizontal="center"/>
      <protection/>
    </xf>
    <xf numFmtId="0" fontId="0" fillId="0" borderId="24" xfId="42" applyFont="1" applyFill="1" applyBorder="1" applyAlignment="1">
      <alignment horizontal="center"/>
      <protection/>
    </xf>
    <xf numFmtId="0" fontId="0" fillId="0" borderId="60" xfId="42" applyFont="1" applyFill="1" applyBorder="1" applyAlignment="1">
      <alignment horizontal="center"/>
      <protection/>
    </xf>
    <xf numFmtId="4" fontId="0" fillId="0" borderId="51" xfId="42" applyNumberFormat="1" applyFont="1" applyFill="1" applyBorder="1" applyAlignment="1">
      <alignment horizontal="right" vertical="center"/>
      <protection/>
    </xf>
    <xf numFmtId="4" fontId="0" fillId="0" borderId="57" xfId="42" applyNumberFormat="1" applyFont="1" applyFill="1" applyBorder="1" applyAlignment="1">
      <alignment horizontal="right" vertical="center"/>
      <protection/>
    </xf>
    <xf numFmtId="0" fontId="0" fillId="0" borderId="28" xfId="0" applyFont="1" applyBorder="1" applyAlignment="1">
      <alignment horizontal="left" vertical="top"/>
    </xf>
    <xf numFmtId="168" fontId="0" fillId="0" borderId="22" xfId="42" applyNumberFormat="1" applyFont="1" applyFill="1" applyBorder="1" applyAlignment="1">
      <alignment horizontal="center" vertical="top"/>
      <protection/>
    </xf>
    <xf numFmtId="49" fontId="0" fillId="0" borderId="50" xfId="42" applyNumberFormat="1" applyFont="1" applyFill="1" applyBorder="1" applyAlignment="1">
      <alignment horizontal="center"/>
      <protection/>
    </xf>
    <xf numFmtId="167" fontId="0" fillId="0" borderId="24" xfId="42" applyNumberFormat="1" applyFont="1" applyFill="1" applyBorder="1" applyAlignment="1">
      <alignment horizontal="center" vertical="top"/>
      <protection/>
    </xf>
    <xf numFmtId="49" fontId="0" fillId="0" borderId="24" xfId="42" applyNumberFormat="1" applyFont="1" applyFill="1" applyBorder="1" applyAlignment="1">
      <alignment horizontal="center" vertical="top"/>
      <protection/>
    </xf>
    <xf numFmtId="4" fontId="0" fillId="0" borderId="51" xfId="0" applyNumberFormat="1" applyFont="1" applyFill="1" applyBorder="1" applyAlignment="1">
      <alignment horizontal="right" vertical="top"/>
    </xf>
    <xf numFmtId="4" fontId="0" fillId="0" borderId="57" xfId="0" applyNumberFormat="1" applyFont="1" applyFill="1" applyBorder="1" applyAlignment="1">
      <alignment horizontal="right" vertical="top"/>
    </xf>
    <xf numFmtId="4" fontId="4" fillId="34" borderId="26" xfId="42" applyNumberFormat="1" applyFont="1" applyFill="1" applyBorder="1" applyAlignment="1">
      <alignment horizontal="right" vertical="top"/>
      <protection/>
    </xf>
    <xf numFmtId="4" fontId="4" fillId="0" borderId="16" xfId="42" applyNumberFormat="1" applyFont="1" applyFill="1" applyBorder="1" applyAlignment="1">
      <alignment horizontal="right" vertical="center"/>
      <protection/>
    </xf>
    <xf numFmtId="4" fontId="0" fillId="0" borderId="16" xfId="42" applyNumberFormat="1" applyFont="1" applyFill="1" applyBorder="1" applyAlignment="1">
      <alignment horizontal="right" vertical="center"/>
      <protection/>
    </xf>
    <xf numFmtId="4" fontId="0" fillId="0" borderId="0" xfId="0" applyNumberFormat="1" applyFont="1" applyAlignment="1">
      <alignment/>
    </xf>
    <xf numFmtId="0" fontId="4" fillId="46" borderId="61" xfId="0" applyFont="1" applyFill="1" applyBorder="1" applyAlignment="1">
      <alignment horizontal="center" vertical="center" wrapText="1"/>
    </xf>
    <xf numFmtId="4" fontId="4" fillId="0" borderId="51" xfId="0" applyNumberFormat="1" applyFont="1" applyFill="1" applyBorder="1" applyAlignment="1">
      <alignment horizontal="right"/>
    </xf>
    <xf numFmtId="0" fontId="0" fillId="0" borderId="28" xfId="0" applyFont="1" applyBorder="1" applyAlignment="1">
      <alignment vertical="top"/>
    </xf>
    <xf numFmtId="0" fontId="10" fillId="0" borderId="35" xfId="0" applyFont="1" applyBorder="1" applyAlignment="1">
      <alignment horizontal="left" vertical="top"/>
    </xf>
    <xf numFmtId="0" fontId="12" fillId="0" borderId="35" xfId="0" applyFont="1" applyBorder="1" applyAlignment="1">
      <alignment horizontal="left" vertical="top"/>
    </xf>
    <xf numFmtId="0" fontId="12" fillId="0" borderId="34" xfId="0" applyFont="1" applyBorder="1" applyAlignment="1">
      <alignment horizontal="left" vertical="top"/>
    </xf>
    <xf numFmtId="4" fontId="4" fillId="33" borderId="16" xfId="45" applyNumberFormat="1" applyFont="1" applyFill="1" applyBorder="1">
      <alignment/>
      <protection/>
    </xf>
    <xf numFmtId="4" fontId="11" fillId="0" borderId="26" xfId="0" applyNumberFormat="1" applyFont="1" applyBorder="1" applyAlignment="1">
      <alignment horizontal="right" vertical="top"/>
    </xf>
    <xf numFmtId="4" fontId="0" fillId="0" borderId="0" xfId="61" applyNumberFormat="1" applyFont="1" applyAlignment="1">
      <alignment horizontal="right"/>
      <protection/>
    </xf>
    <xf numFmtId="4" fontId="0" fillId="0" borderId="0" xfId="45" applyNumberFormat="1" applyFont="1" applyBorder="1" applyAlignment="1">
      <alignment horizontal="right"/>
      <protection/>
    </xf>
    <xf numFmtId="4" fontId="0" fillId="0" borderId="26" xfId="0" applyNumberFormat="1" applyFont="1" applyBorder="1" applyAlignment="1">
      <alignment horizontal="right"/>
    </xf>
    <xf numFmtId="4" fontId="12" fillId="0" borderId="26" xfId="0" applyNumberFormat="1" applyFont="1" applyBorder="1" applyAlignment="1">
      <alignment horizontal="right" vertical="top"/>
    </xf>
    <xf numFmtId="4" fontId="7" fillId="0" borderId="26" xfId="0" applyNumberFormat="1" applyFont="1" applyBorder="1" applyAlignment="1">
      <alignment horizontal="right"/>
    </xf>
    <xf numFmtId="4" fontId="5" fillId="0" borderId="26" xfId="0" applyNumberFormat="1" applyFont="1" applyBorder="1" applyAlignment="1">
      <alignment horizontal="right"/>
    </xf>
    <xf numFmtId="4" fontId="11" fillId="0" borderId="26" xfId="0" applyNumberFormat="1" applyFont="1" applyFill="1" applyBorder="1" applyAlignment="1">
      <alignment horizontal="right" vertical="top"/>
    </xf>
    <xf numFmtId="4" fontId="14" fillId="0" borderId="26" xfId="0" applyNumberFormat="1" applyFont="1" applyFill="1" applyBorder="1" applyAlignment="1">
      <alignment horizontal="right" vertical="top"/>
    </xf>
    <xf numFmtId="172" fontId="0" fillId="0" borderId="18" xfId="45" applyNumberFormat="1" applyFont="1" applyBorder="1" applyAlignment="1">
      <alignment horizontal="right"/>
      <protection/>
    </xf>
    <xf numFmtId="169" fontId="10" fillId="0" borderId="18" xfId="45" applyNumberFormat="1" applyFont="1" applyFill="1" applyBorder="1" applyAlignment="1" applyProtection="1">
      <alignment horizontal="right" vertical="top"/>
      <protection locked="0"/>
    </xf>
    <xf numFmtId="49" fontId="0" fillId="0" borderId="12" xfId="0" applyNumberFormat="1" applyFont="1" applyBorder="1" applyAlignment="1">
      <alignment horizontal="center"/>
    </xf>
    <xf numFmtId="168" fontId="0" fillId="0" borderId="62" xfId="42" applyNumberFormat="1" applyFont="1" applyFill="1" applyBorder="1" applyAlignment="1">
      <alignment horizontal="center" vertical="top"/>
      <protection/>
    </xf>
    <xf numFmtId="4" fontId="12" fillId="48" borderId="26" xfId="0" applyNumberFormat="1" applyFont="1" applyFill="1" applyBorder="1" applyAlignment="1">
      <alignment horizontal="right" vertical="top"/>
    </xf>
    <xf numFmtId="169" fontId="12" fillId="48" borderId="18" xfId="45" applyNumberFormat="1" applyFont="1" applyFill="1" applyBorder="1" applyAlignment="1" applyProtection="1">
      <alignment horizontal="right" vertical="top"/>
      <protection locked="0"/>
    </xf>
    <xf numFmtId="4" fontId="0" fillId="0" borderId="0" xfId="0" applyNumberFormat="1" applyFont="1" applyAlignment="1">
      <alignment horizontal="right"/>
    </xf>
    <xf numFmtId="0" fontId="0" fillId="0" borderId="0" xfId="61" applyFont="1" applyBorder="1">
      <alignment/>
      <protection/>
    </xf>
    <xf numFmtId="0" fontId="0" fillId="0" borderId="28" xfId="0" applyFont="1" applyFill="1" applyBorder="1" applyAlignment="1">
      <alignment horizontal="left" vertical="top"/>
    </xf>
    <xf numFmtId="4" fontId="0" fillId="0" borderId="0" xfId="0" applyNumberFormat="1" applyFont="1" applyFill="1" applyAlignment="1">
      <alignment/>
    </xf>
    <xf numFmtId="4" fontId="0" fillId="0" borderId="27" xfId="46" applyNumberFormat="1" applyFont="1" applyFill="1" applyBorder="1" applyAlignment="1" applyProtection="1">
      <alignment horizontal="right" vertical="top"/>
      <protection locked="0"/>
    </xf>
    <xf numFmtId="4" fontId="0" fillId="0" borderId="51" xfId="46" applyNumberFormat="1" applyFont="1" applyFill="1" applyBorder="1" applyAlignment="1" applyProtection="1">
      <alignment horizontal="right" vertical="top"/>
      <protection locked="0"/>
    </xf>
    <xf numFmtId="4" fontId="0" fillId="0" borderId="27" xfId="46" applyNumberFormat="1" applyFont="1" applyFill="1" applyBorder="1" applyAlignment="1">
      <alignment horizontal="right" vertical="top"/>
      <protection/>
    </xf>
    <xf numFmtId="4" fontId="0" fillId="0" borderId="51" xfId="42" applyNumberFormat="1" applyFont="1" applyFill="1" applyBorder="1" applyAlignment="1">
      <alignment horizontal="right" vertical="top"/>
      <protection/>
    </xf>
    <xf numFmtId="4" fontId="0" fillId="0" borderId="28" xfId="46" applyNumberFormat="1" applyFont="1" applyFill="1" applyBorder="1" applyAlignment="1">
      <alignment horizontal="right" vertical="top"/>
      <protection/>
    </xf>
    <xf numFmtId="4" fontId="0" fillId="0" borderId="32" xfId="46" applyNumberFormat="1" applyFont="1" applyFill="1" applyBorder="1" applyAlignment="1">
      <alignment horizontal="right" vertical="top"/>
      <protection/>
    </xf>
    <xf numFmtId="4" fontId="0" fillId="39" borderId="63" xfId="42" applyNumberFormat="1" applyFont="1" applyFill="1" applyBorder="1" applyAlignment="1">
      <alignment horizontal="right" vertical="top"/>
      <protection/>
    </xf>
    <xf numFmtId="4" fontId="0" fillId="0" borderId="22" xfId="46" applyNumberFormat="1" applyFont="1" applyFill="1" applyBorder="1" applyAlignment="1" applyProtection="1">
      <alignment horizontal="right" vertical="top"/>
      <protection locked="0"/>
    </xf>
    <xf numFmtId="0" fontId="0" fillId="0" borderId="0" xfId="0" applyFont="1" applyFill="1" applyAlignment="1">
      <alignment wrapText="1"/>
    </xf>
    <xf numFmtId="4" fontId="0" fillId="0" borderId="0" xfId="0" applyNumberFormat="1" applyFont="1" applyFill="1" applyAlignment="1">
      <alignment horizontal="center"/>
    </xf>
    <xf numFmtId="4" fontId="0" fillId="0" borderId="28" xfId="46" applyNumberFormat="1" applyFont="1" applyFill="1" applyBorder="1" applyAlignment="1" applyProtection="1">
      <alignment horizontal="right" vertical="top"/>
      <protection locked="0"/>
    </xf>
    <xf numFmtId="4" fontId="0" fillId="0" borderId="60" xfId="46" applyNumberFormat="1" applyFont="1" applyFill="1" applyBorder="1" applyAlignment="1" applyProtection="1">
      <alignment horizontal="right" vertical="top"/>
      <protection locked="0"/>
    </xf>
    <xf numFmtId="4" fontId="0" fillId="48" borderId="28" xfId="46" applyNumberFormat="1" applyFont="1" applyFill="1" applyBorder="1" applyAlignment="1" applyProtection="1">
      <alignment horizontal="right" vertical="top"/>
      <protection locked="0"/>
    </xf>
    <xf numFmtId="4" fontId="0" fillId="0" borderId="32" xfId="46" applyNumberFormat="1" applyFont="1" applyFill="1" applyBorder="1" applyAlignment="1" applyProtection="1">
      <alignment horizontal="right" vertical="top"/>
      <protection locked="0"/>
    </xf>
    <xf numFmtId="4" fontId="0" fillId="0" borderId="28" xfId="42" applyNumberFormat="1" applyFont="1" applyFill="1" applyBorder="1" applyAlignment="1">
      <alignment horizontal="right" vertical="top"/>
      <protection/>
    </xf>
    <xf numFmtId="4" fontId="0" fillId="34" borderId="28" xfId="42" applyNumberFormat="1" applyFont="1" applyFill="1" applyBorder="1" applyAlignment="1">
      <alignment horizontal="right" vertical="top"/>
      <protection/>
    </xf>
    <xf numFmtId="4" fontId="0" fillId="0" borderId="57" xfId="42" applyNumberFormat="1" applyFont="1" applyFill="1" applyBorder="1" applyAlignment="1">
      <alignment horizontal="right" vertical="top"/>
      <protection/>
    </xf>
    <xf numFmtId="4" fontId="0" fillId="0" borderId="57" xfId="46" applyNumberFormat="1" applyFont="1" applyFill="1" applyBorder="1" applyAlignment="1">
      <alignment horizontal="right" vertical="top"/>
      <protection/>
    </xf>
    <xf numFmtId="4" fontId="0" fillId="0" borderId="22" xfId="46" applyNumberFormat="1" applyFont="1" applyFill="1" applyBorder="1" applyAlignment="1">
      <alignment horizontal="right" vertical="top"/>
      <protection/>
    </xf>
    <xf numFmtId="4" fontId="0" fillId="0" borderId="57" xfId="46" applyNumberFormat="1" applyFont="1" applyFill="1" applyBorder="1" applyAlignment="1" applyProtection="1">
      <alignment horizontal="right" vertical="top"/>
      <protection locked="0"/>
    </xf>
    <xf numFmtId="4" fontId="0" fillId="39" borderId="22" xfId="42" applyNumberFormat="1" applyFont="1" applyFill="1" applyBorder="1" applyAlignment="1">
      <alignment horizontal="right" vertical="top"/>
      <protection/>
    </xf>
    <xf numFmtId="49" fontId="0" fillId="0" borderId="0" xfId="0" applyNumberFormat="1" applyFont="1" applyAlignment="1">
      <alignment horizontal="center"/>
    </xf>
    <xf numFmtId="49" fontId="0" fillId="0" borderId="0" xfId="42" applyNumberFormat="1" applyFont="1" applyBorder="1" applyAlignment="1">
      <alignment horizontal="center"/>
      <protection/>
    </xf>
    <xf numFmtId="0" fontId="0" fillId="0" borderId="0" xfId="42" applyFont="1" applyBorder="1" applyAlignment="1">
      <alignment horizontal="center"/>
      <protection/>
    </xf>
    <xf numFmtId="0" fontId="0" fillId="0" borderId="0" xfId="42" applyFont="1" applyBorder="1">
      <alignment/>
      <protection/>
    </xf>
    <xf numFmtId="0" fontId="0" fillId="42" borderId="24" xfId="42" applyFont="1" applyFill="1" applyBorder="1" applyAlignment="1">
      <alignment horizontal="center"/>
      <protection/>
    </xf>
    <xf numFmtId="0" fontId="0" fillId="42" borderId="60" xfId="42" applyFont="1" applyFill="1" applyBorder="1" applyAlignment="1">
      <alignment horizontal="center"/>
      <protection/>
    </xf>
    <xf numFmtId="49" fontId="0" fillId="34" borderId="21" xfId="42" applyNumberFormat="1" applyFont="1" applyFill="1" applyBorder="1" applyAlignment="1">
      <alignment horizontal="center"/>
      <protection/>
    </xf>
    <xf numFmtId="49" fontId="0" fillId="34" borderId="22" xfId="42" applyNumberFormat="1" applyFont="1" applyFill="1" applyBorder="1" applyAlignment="1">
      <alignment horizontal="center"/>
      <protection/>
    </xf>
    <xf numFmtId="0" fontId="0" fillId="34" borderId="22" xfId="42" applyFont="1" applyFill="1" applyBorder="1" applyAlignment="1">
      <alignment horizontal="center"/>
      <protection/>
    </xf>
    <xf numFmtId="0" fontId="0" fillId="34" borderId="28" xfId="42" applyFont="1" applyFill="1" applyBorder="1" applyAlignment="1">
      <alignment horizontal="center"/>
      <protection/>
    </xf>
    <xf numFmtId="168" fontId="0" fillId="48" borderId="28" xfId="42" applyNumberFormat="1" applyFont="1" applyFill="1" applyBorder="1" applyAlignment="1">
      <alignment horizontal="center" vertical="top"/>
      <protection/>
    </xf>
    <xf numFmtId="0" fontId="0" fillId="0" borderId="32" xfId="0" applyFont="1" applyBorder="1" applyAlignment="1">
      <alignment vertical="top"/>
    </xf>
    <xf numFmtId="0" fontId="0" fillId="0" borderId="27" xfId="0" applyFont="1" applyBorder="1" applyAlignment="1">
      <alignment vertical="top"/>
    </xf>
    <xf numFmtId="0" fontId="0" fillId="0" borderId="32" xfId="0" applyFont="1" applyBorder="1" applyAlignment="1">
      <alignment horizontal="left" vertical="top"/>
    </xf>
    <xf numFmtId="0" fontId="0" fillId="0" borderId="27" xfId="0" applyFont="1" applyBorder="1" applyAlignment="1">
      <alignment horizontal="left" vertical="top"/>
    </xf>
    <xf numFmtId="0" fontId="0" fillId="0" borderId="32" xfId="0" applyFont="1" applyFill="1" applyBorder="1" applyAlignment="1">
      <alignment horizontal="left" vertical="top"/>
    </xf>
    <xf numFmtId="0" fontId="0" fillId="0" borderId="27" xfId="0" applyFont="1" applyFill="1" applyBorder="1" applyAlignment="1">
      <alignment horizontal="left" vertical="top"/>
    </xf>
    <xf numFmtId="4" fontId="0" fillId="0" borderId="24" xfId="46" applyNumberFormat="1" applyFont="1" applyFill="1" applyBorder="1" applyAlignment="1" applyProtection="1">
      <alignment horizontal="right" vertical="top"/>
      <protection locked="0"/>
    </xf>
    <xf numFmtId="0" fontId="0" fillId="0" borderId="32" xfId="0" applyFont="1" applyFill="1" applyBorder="1" applyAlignment="1">
      <alignment vertical="top"/>
    </xf>
    <xf numFmtId="0" fontId="0" fillId="0" borderId="27" xfId="0" applyFont="1" applyFill="1" applyBorder="1" applyAlignment="1">
      <alignment vertical="top"/>
    </xf>
    <xf numFmtId="168" fontId="0" fillId="0" borderId="28" xfId="42" applyNumberFormat="1" applyFont="1" applyFill="1" applyBorder="1" applyAlignment="1">
      <alignment horizontal="center" vertical="top"/>
      <protection/>
    </xf>
    <xf numFmtId="0" fontId="0" fillId="0" borderId="27" xfId="0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center"/>
    </xf>
    <xf numFmtId="0" fontId="0" fillId="48" borderId="28" xfId="42" applyFont="1" applyFill="1" applyBorder="1" applyAlignment="1">
      <alignment horizontal="center"/>
      <protection/>
    </xf>
    <xf numFmtId="0" fontId="0" fillId="0" borderId="32" xfId="0" applyFont="1" applyFill="1" applyBorder="1" applyAlignment="1">
      <alignment/>
    </xf>
    <xf numFmtId="4" fontId="0" fillId="0" borderId="22" xfId="42" applyNumberFormat="1" applyFont="1" applyFill="1" applyBorder="1" applyAlignment="1">
      <alignment horizontal="right" vertical="top"/>
      <protection/>
    </xf>
    <xf numFmtId="4" fontId="0" fillId="0" borderId="64" xfId="46" applyNumberFormat="1" applyFont="1" applyFill="1" applyBorder="1" applyAlignment="1" applyProtection="1">
      <alignment horizontal="right" vertical="top"/>
      <protection locked="0"/>
    </xf>
    <xf numFmtId="49" fontId="0" fillId="48" borderId="22" xfId="42" applyNumberFormat="1" applyFont="1" applyFill="1" applyBorder="1" applyAlignment="1">
      <alignment horizontal="center"/>
      <protection/>
    </xf>
    <xf numFmtId="0" fontId="0" fillId="0" borderId="27" xfId="0" applyFont="1" applyBorder="1" applyAlignment="1">
      <alignment/>
    </xf>
    <xf numFmtId="4" fontId="0" fillId="0" borderId="32" xfId="0" applyNumberFormat="1" applyFont="1" applyBorder="1" applyAlignment="1">
      <alignment horizontal="right"/>
    </xf>
    <xf numFmtId="49" fontId="0" fillId="0" borderId="0" xfId="42" applyNumberFormat="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4" fontId="0" fillId="0" borderId="16" xfId="46" applyNumberFormat="1" applyFont="1" applyFill="1" applyBorder="1" applyAlignment="1" applyProtection="1">
      <alignment horizontal="right" vertical="top"/>
      <protection locked="0"/>
    </xf>
    <xf numFmtId="49" fontId="0" fillId="39" borderId="21" xfId="42" applyNumberFormat="1" applyFont="1" applyFill="1" applyBorder="1" applyAlignment="1">
      <alignment horizontal="center"/>
      <protection/>
    </xf>
    <xf numFmtId="49" fontId="0" fillId="34" borderId="22" xfId="42" applyNumberFormat="1" applyFont="1" applyFill="1" applyBorder="1" applyAlignment="1">
      <alignment horizontal="center" vertical="top"/>
      <protection/>
    </xf>
    <xf numFmtId="4" fontId="0" fillId="34" borderId="22" xfId="42" applyNumberFormat="1" applyFont="1" applyFill="1" applyBorder="1" applyAlignment="1">
      <alignment horizontal="right" vertical="top"/>
      <protection/>
    </xf>
    <xf numFmtId="4" fontId="0" fillId="34" borderId="32" xfId="42" applyNumberFormat="1" applyFont="1" applyFill="1" applyBorder="1" applyAlignment="1">
      <alignment horizontal="right" vertical="top"/>
      <protection/>
    </xf>
    <xf numFmtId="4" fontId="0" fillId="0" borderId="64" xfId="46" applyNumberFormat="1" applyFont="1" applyFill="1" applyBorder="1" applyAlignment="1">
      <alignment horizontal="right" vertical="top"/>
      <protection/>
    </xf>
    <xf numFmtId="167" fontId="0" fillId="34" borderId="24" xfId="42" applyNumberFormat="1" applyFont="1" applyFill="1" applyBorder="1" applyAlignment="1">
      <alignment horizontal="center" vertical="top"/>
      <protection/>
    </xf>
    <xf numFmtId="168" fontId="0" fillId="0" borderId="24" xfId="42" applyNumberFormat="1" applyFont="1" applyFill="1" applyBorder="1" applyAlignment="1">
      <alignment horizontal="center" vertical="top"/>
      <protection/>
    </xf>
    <xf numFmtId="168" fontId="0" fillId="0" borderId="60" xfId="42" applyNumberFormat="1" applyFont="1" applyFill="1" applyBorder="1" applyAlignment="1">
      <alignment horizontal="center" vertical="top"/>
      <protection/>
    </xf>
    <xf numFmtId="49" fontId="0" fillId="39" borderId="22" xfId="42" applyNumberFormat="1" applyFont="1" applyFill="1" applyBorder="1" applyAlignment="1">
      <alignment horizontal="center" vertical="top"/>
      <protection/>
    </xf>
    <xf numFmtId="0" fontId="0" fillId="39" borderId="22" xfId="42" applyFont="1" applyFill="1" applyBorder="1" applyAlignment="1">
      <alignment horizontal="center"/>
      <protection/>
    </xf>
    <xf numFmtId="49" fontId="0" fillId="39" borderId="22" xfId="42" applyNumberFormat="1" applyFont="1" applyFill="1" applyBorder="1" applyAlignment="1">
      <alignment horizontal="center"/>
      <protection/>
    </xf>
    <xf numFmtId="0" fontId="0" fillId="39" borderId="28" xfId="42" applyFont="1" applyFill="1" applyBorder="1" applyAlignment="1">
      <alignment horizontal="center"/>
      <protection/>
    </xf>
    <xf numFmtId="4" fontId="0" fillId="39" borderId="65" xfId="42" applyNumberFormat="1" applyFont="1" applyFill="1" applyBorder="1" applyAlignment="1">
      <alignment horizontal="right" vertical="top"/>
      <protection/>
    </xf>
    <xf numFmtId="4" fontId="0" fillId="39" borderId="32" xfId="42" applyNumberFormat="1" applyFont="1" applyFill="1" applyBorder="1" applyAlignment="1">
      <alignment horizontal="right" vertical="top"/>
      <protection/>
    </xf>
    <xf numFmtId="4" fontId="0" fillId="39" borderId="28" xfId="42" applyNumberFormat="1" applyFont="1" applyFill="1" applyBorder="1" applyAlignment="1">
      <alignment horizontal="right" vertical="top"/>
      <protection/>
    </xf>
    <xf numFmtId="49" fontId="0" fillId="0" borderId="66" xfId="42" applyNumberFormat="1" applyFont="1" applyFill="1" applyBorder="1" applyAlignment="1">
      <alignment horizontal="center"/>
      <protection/>
    </xf>
    <xf numFmtId="49" fontId="0" fillId="0" borderId="62" xfId="42" applyNumberFormat="1" applyFont="1" applyFill="1" applyBorder="1" applyAlignment="1">
      <alignment horizontal="center"/>
      <protection/>
    </xf>
    <xf numFmtId="0" fontId="0" fillId="0" borderId="62" xfId="42" applyFont="1" applyFill="1" applyBorder="1" applyAlignment="1">
      <alignment horizontal="center"/>
      <protection/>
    </xf>
    <xf numFmtId="168" fontId="0" fillId="0" borderId="67" xfId="42" applyNumberFormat="1" applyFont="1" applyFill="1" applyBorder="1" applyAlignment="1">
      <alignment horizontal="center" vertical="top"/>
      <protection/>
    </xf>
    <xf numFmtId="0" fontId="0" fillId="0" borderId="32" xfId="0" applyFont="1" applyBorder="1" applyAlignment="1">
      <alignment/>
    </xf>
    <xf numFmtId="0" fontId="0" fillId="0" borderId="68" xfId="0" applyFont="1" applyBorder="1" applyAlignment="1">
      <alignment vertical="top"/>
    </xf>
    <xf numFmtId="0" fontId="0" fillId="0" borderId="57" xfId="0" applyFont="1" applyBorder="1" applyAlignment="1">
      <alignment/>
    </xf>
    <xf numFmtId="49" fontId="0" fillId="34" borderId="69" xfId="42" applyNumberFormat="1" applyFont="1" applyFill="1" applyBorder="1" applyAlignment="1">
      <alignment horizontal="center"/>
      <protection/>
    </xf>
    <xf numFmtId="49" fontId="0" fillId="34" borderId="16" xfId="42" applyNumberFormat="1" applyFont="1" applyFill="1" applyBorder="1" applyAlignment="1">
      <alignment horizontal="center"/>
      <protection/>
    </xf>
    <xf numFmtId="0" fontId="0" fillId="34" borderId="16" xfId="42" applyFont="1" applyFill="1" applyBorder="1" applyAlignment="1">
      <alignment horizontal="center"/>
      <protection/>
    </xf>
    <xf numFmtId="0" fontId="0" fillId="34" borderId="35" xfId="42" applyFont="1" applyFill="1" applyBorder="1" applyAlignment="1">
      <alignment horizontal="center"/>
      <protection/>
    </xf>
    <xf numFmtId="168" fontId="0" fillId="0" borderId="16" xfId="42" applyNumberFormat="1" applyFont="1" applyFill="1" applyBorder="1" applyAlignment="1">
      <alignment horizontal="center" vertical="top"/>
      <protection/>
    </xf>
    <xf numFmtId="49" fontId="0" fillId="0" borderId="70" xfId="42" applyNumberFormat="1" applyFont="1" applyFill="1" applyBorder="1" applyAlignment="1">
      <alignment horizontal="center"/>
      <protection/>
    </xf>
    <xf numFmtId="49" fontId="0" fillId="0" borderId="69" xfId="42" applyNumberFormat="1" applyFont="1" applyFill="1" applyBorder="1" applyAlignment="1">
      <alignment horizontal="center"/>
      <protection/>
    </xf>
    <xf numFmtId="49" fontId="0" fillId="0" borderId="16" xfId="42" applyNumberFormat="1" applyFont="1" applyFill="1" applyBorder="1" applyAlignment="1">
      <alignment horizontal="center"/>
      <protection/>
    </xf>
    <xf numFmtId="49" fontId="0" fillId="0" borderId="71" xfId="42" applyNumberFormat="1" applyFont="1" applyFill="1" applyBorder="1" applyAlignment="1">
      <alignment horizontal="center"/>
      <protection/>
    </xf>
    <xf numFmtId="49" fontId="0" fillId="0" borderId="25" xfId="42" applyNumberFormat="1" applyFont="1" applyFill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right" vertical="center"/>
    </xf>
    <xf numFmtId="4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horizontal="right" vertical="center" wrapText="1"/>
    </xf>
    <xf numFmtId="171" fontId="0" fillId="0" borderId="0" xfId="0" applyNumberFormat="1" applyFont="1" applyAlignment="1">
      <alignment/>
    </xf>
    <xf numFmtId="49" fontId="72" fillId="35" borderId="72" xfId="42" applyNumberFormat="1" applyFont="1" applyFill="1" applyBorder="1" applyAlignment="1">
      <alignment horizontal="center" vertical="top"/>
      <protection/>
    </xf>
    <xf numFmtId="49" fontId="72" fillId="35" borderId="73" xfId="42" applyNumberFormat="1" applyFont="1" applyFill="1" applyBorder="1" applyAlignment="1">
      <alignment horizontal="center"/>
      <protection/>
    </xf>
    <xf numFmtId="0" fontId="73" fillId="35" borderId="73" xfId="42" applyFont="1" applyFill="1" applyBorder="1" applyAlignment="1">
      <alignment horizontal="center"/>
      <protection/>
    </xf>
    <xf numFmtId="49" fontId="73" fillId="35" borderId="73" xfId="42" applyNumberFormat="1" applyFont="1" applyFill="1" applyBorder="1" applyAlignment="1">
      <alignment horizontal="center"/>
      <protection/>
    </xf>
    <xf numFmtId="4" fontId="72" fillId="35" borderId="73" xfId="42" applyNumberFormat="1" applyFont="1" applyFill="1" applyBorder="1" applyAlignment="1">
      <alignment horizontal="right" vertical="top"/>
      <protection/>
    </xf>
    <xf numFmtId="4" fontId="72" fillId="35" borderId="74" xfId="42" applyNumberFormat="1" applyFont="1" applyFill="1" applyBorder="1" applyAlignment="1">
      <alignment horizontal="right" vertical="top"/>
      <protection/>
    </xf>
    <xf numFmtId="0" fontId="73" fillId="0" borderId="0" xfId="0" applyFont="1" applyAlignment="1">
      <alignment/>
    </xf>
    <xf numFmtId="49" fontId="72" fillId="35" borderId="21" xfId="42" applyNumberFormat="1" applyFont="1" applyFill="1" applyBorder="1" applyAlignment="1">
      <alignment horizontal="center"/>
      <protection/>
    </xf>
    <xf numFmtId="49" fontId="72" fillId="35" borderId="22" xfId="42" applyNumberFormat="1" applyFont="1" applyFill="1" applyBorder="1" applyAlignment="1">
      <alignment horizontal="center" vertical="top"/>
      <protection/>
    </xf>
    <xf numFmtId="0" fontId="72" fillId="35" borderId="22" xfId="42" applyFont="1" applyFill="1" applyBorder="1" applyAlignment="1">
      <alignment horizontal="center"/>
      <protection/>
    </xf>
    <xf numFmtId="49" fontId="72" fillId="35" borderId="22" xfId="42" applyNumberFormat="1" applyFont="1" applyFill="1" applyBorder="1" applyAlignment="1">
      <alignment horizontal="center"/>
      <protection/>
    </xf>
    <xf numFmtId="0" fontId="72" fillId="35" borderId="28" xfId="42" applyFont="1" applyFill="1" applyBorder="1" applyAlignment="1">
      <alignment horizontal="center"/>
      <protection/>
    </xf>
    <xf numFmtId="4" fontId="72" fillId="35" borderId="27" xfId="42" applyNumberFormat="1" applyFont="1" applyFill="1" applyBorder="1" applyAlignment="1">
      <alignment horizontal="right" vertical="top"/>
      <protection/>
    </xf>
    <xf numFmtId="4" fontId="72" fillId="35" borderId="51" xfId="0" applyNumberFormat="1" applyFont="1" applyFill="1" applyBorder="1" applyAlignment="1">
      <alignment vertical="center"/>
    </xf>
    <xf numFmtId="4" fontId="72" fillId="35" borderId="57" xfId="0" applyNumberFormat="1" applyFont="1" applyFill="1" applyBorder="1" applyAlignment="1">
      <alignment vertical="center"/>
    </xf>
    <xf numFmtId="4" fontId="72" fillId="35" borderId="24" xfId="42" applyNumberFormat="1" applyFont="1" applyFill="1" applyBorder="1" applyAlignment="1">
      <alignment horizontal="right" vertical="top"/>
      <protection/>
    </xf>
    <xf numFmtId="4" fontId="72" fillId="35" borderId="60" xfId="42" applyNumberFormat="1" applyFont="1" applyFill="1" applyBorder="1" applyAlignment="1">
      <alignment horizontal="right" vertical="top"/>
      <protection/>
    </xf>
    <xf numFmtId="2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/>
    </xf>
    <xf numFmtId="2" fontId="25" fillId="0" borderId="0" xfId="0" applyNumberFormat="1" applyFont="1" applyAlignment="1">
      <alignment horizontal="center" vertical="center"/>
    </xf>
    <xf numFmtId="4" fontId="24" fillId="0" borderId="0" xfId="0" applyNumberFormat="1" applyFont="1" applyAlignment="1">
      <alignment horizontal="center" vertical="center"/>
    </xf>
    <xf numFmtId="1" fontId="24" fillId="0" borderId="0" xfId="0" applyNumberFormat="1" applyFont="1" applyAlignment="1">
      <alignment horizontal="center" vertical="center"/>
    </xf>
    <xf numFmtId="0" fontId="0" fillId="48" borderId="0" xfId="0" applyFont="1" applyFill="1" applyAlignment="1">
      <alignment/>
    </xf>
    <xf numFmtId="49" fontId="0" fillId="48" borderId="21" xfId="42" applyNumberFormat="1" applyFont="1" applyFill="1" applyBorder="1" applyAlignment="1">
      <alignment horizontal="center"/>
      <protection/>
    </xf>
    <xf numFmtId="0" fontId="0" fillId="48" borderId="22" xfId="42" applyFont="1" applyFill="1" applyBorder="1" applyAlignment="1">
      <alignment horizontal="center"/>
      <protection/>
    </xf>
    <xf numFmtId="4" fontId="0" fillId="48" borderId="22" xfId="46" applyNumberFormat="1" applyFont="1" applyFill="1" applyBorder="1" applyAlignment="1" applyProtection="1">
      <alignment horizontal="right" vertical="top"/>
      <protection locked="0"/>
    </xf>
    <xf numFmtId="4" fontId="0" fillId="48" borderId="32" xfId="46" applyNumberFormat="1" applyFont="1" applyFill="1" applyBorder="1" applyAlignment="1" applyProtection="1">
      <alignment horizontal="right" vertical="top"/>
      <protection locked="0"/>
    </xf>
    <xf numFmtId="0" fontId="0" fillId="48" borderId="24" xfId="42" applyFont="1" applyFill="1" applyBorder="1" applyAlignment="1">
      <alignment horizontal="center"/>
      <protection/>
    </xf>
    <xf numFmtId="49" fontId="0" fillId="48" borderId="50" xfId="42" applyNumberFormat="1" applyFont="1" applyFill="1" applyBorder="1" applyAlignment="1">
      <alignment horizontal="center"/>
      <protection/>
    </xf>
    <xf numFmtId="49" fontId="4" fillId="48" borderId="24" xfId="42" applyNumberFormat="1" applyFont="1" applyFill="1" applyBorder="1" applyAlignment="1">
      <alignment horizontal="center" vertical="top"/>
      <protection/>
    </xf>
    <xf numFmtId="0" fontId="0" fillId="0" borderId="34" xfId="0" applyFont="1" applyBorder="1" applyAlignment="1">
      <alignment/>
    </xf>
    <xf numFmtId="166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0" fontId="16" fillId="47" borderId="0" xfId="0" applyFont="1" applyFill="1" applyAlignment="1">
      <alignment/>
    </xf>
    <xf numFmtId="3" fontId="16" fillId="47" borderId="0" xfId="0" applyNumberFormat="1" applyFont="1" applyFill="1" applyAlignment="1">
      <alignment horizontal="center"/>
    </xf>
    <xf numFmtId="4" fontId="0" fillId="0" borderId="51" xfId="0" applyNumberFormat="1" applyFont="1" applyFill="1" applyBorder="1" applyAlignment="1">
      <alignment horizontal="right"/>
    </xf>
    <xf numFmtId="0" fontId="73" fillId="35" borderId="24" xfId="42" applyFont="1" applyFill="1" applyBorder="1" applyAlignment="1">
      <alignment horizontal="center"/>
      <protection/>
    </xf>
    <xf numFmtId="168" fontId="0" fillId="48" borderId="16" xfId="42" applyNumberFormat="1" applyFont="1" applyFill="1" applyBorder="1" applyAlignment="1">
      <alignment horizontal="center" vertical="top"/>
      <protection/>
    </xf>
    <xf numFmtId="49" fontId="0" fillId="0" borderId="60" xfId="42" applyNumberFormat="1" applyFont="1" applyFill="1" applyBorder="1" applyAlignment="1">
      <alignment horizontal="center"/>
      <protection/>
    </xf>
    <xf numFmtId="0" fontId="4" fillId="33" borderId="24" xfId="42" applyFont="1" applyFill="1" applyBorder="1" applyAlignment="1">
      <alignment horizontal="center"/>
      <protection/>
    </xf>
    <xf numFmtId="0" fontId="4" fillId="33" borderId="60" xfId="42" applyFont="1" applyFill="1" applyBorder="1" applyAlignment="1">
      <alignment horizontal="center"/>
      <protection/>
    </xf>
    <xf numFmtId="168" fontId="0" fillId="0" borderId="70" xfId="42" applyNumberFormat="1" applyFont="1" applyFill="1" applyBorder="1" applyAlignment="1">
      <alignment horizontal="center" vertical="top"/>
      <protection/>
    </xf>
    <xf numFmtId="168" fontId="0" fillId="48" borderId="64" xfId="42" applyNumberFormat="1" applyFont="1" applyFill="1" applyBorder="1" applyAlignment="1">
      <alignment horizontal="center" vertical="top"/>
      <protection/>
    </xf>
    <xf numFmtId="4" fontId="0" fillId="0" borderId="70" xfId="46" applyNumberFormat="1" applyFont="1" applyFill="1" applyBorder="1" applyAlignment="1" applyProtection="1">
      <alignment horizontal="right" vertical="top"/>
      <protection locked="0"/>
    </xf>
    <xf numFmtId="0" fontId="0" fillId="0" borderId="16" xfId="42" applyFont="1" applyFill="1" applyBorder="1" applyAlignment="1">
      <alignment horizontal="center"/>
      <protection/>
    </xf>
    <xf numFmtId="0" fontId="0" fillId="48" borderId="70" xfId="42" applyFont="1" applyFill="1" applyBorder="1" applyAlignment="1">
      <alignment horizontal="center"/>
      <protection/>
    </xf>
    <xf numFmtId="168" fontId="0" fillId="0" borderId="64" xfId="42" applyNumberFormat="1" applyFont="1" applyFill="1" applyBorder="1" applyAlignment="1">
      <alignment horizontal="center" vertical="top"/>
      <protection/>
    </xf>
    <xf numFmtId="49" fontId="73" fillId="35" borderId="24" xfId="42" applyNumberFormat="1" applyFont="1" applyFill="1" applyBorder="1" applyAlignment="1">
      <alignment horizontal="center"/>
      <protection/>
    </xf>
    <xf numFmtId="0" fontId="0" fillId="0" borderId="75" xfId="0" applyFont="1" applyBorder="1" applyAlignment="1">
      <alignment/>
    </xf>
    <xf numFmtId="0" fontId="0" fillId="0" borderId="64" xfId="42" applyFont="1" applyFill="1" applyBorder="1" applyAlignment="1">
      <alignment horizontal="center"/>
      <protection/>
    </xf>
    <xf numFmtId="49" fontId="4" fillId="0" borderId="24" xfId="42" applyNumberFormat="1" applyFont="1" applyFill="1" applyBorder="1" applyAlignment="1">
      <alignment horizontal="center" vertical="top"/>
      <protection/>
    </xf>
    <xf numFmtId="0" fontId="0" fillId="34" borderId="64" xfId="42" applyFont="1" applyFill="1" applyBorder="1" applyAlignment="1">
      <alignment horizontal="center"/>
      <protection/>
    </xf>
    <xf numFmtId="4" fontId="0" fillId="0" borderId="76" xfId="42" applyNumberFormat="1" applyFont="1" applyFill="1" applyBorder="1" applyAlignment="1">
      <alignment horizontal="right" vertical="center"/>
      <protection/>
    </xf>
    <xf numFmtId="49" fontId="4" fillId="0" borderId="16" xfId="42" applyNumberFormat="1" applyFont="1" applyFill="1" applyBorder="1" applyAlignment="1">
      <alignment horizontal="center" vertical="top"/>
      <protection/>
    </xf>
    <xf numFmtId="4" fontId="4" fillId="0" borderId="27" xfId="0" applyNumberFormat="1" applyFont="1" applyFill="1" applyBorder="1" applyAlignment="1">
      <alignment horizontal="right"/>
    </xf>
    <xf numFmtId="4" fontId="0" fillId="0" borderId="16" xfId="0" applyNumberFormat="1" applyFont="1" applyFill="1" applyBorder="1" applyAlignment="1">
      <alignment horizontal="right" vertical="top"/>
    </xf>
    <xf numFmtId="0" fontId="0" fillId="0" borderId="64" xfId="0" applyFont="1" applyFill="1" applyBorder="1" applyAlignment="1">
      <alignment vertical="top"/>
    </xf>
    <xf numFmtId="49" fontId="0" fillId="47" borderId="16" xfId="42" applyNumberFormat="1" applyFont="1" applyFill="1" applyBorder="1" applyAlignment="1">
      <alignment horizontal="center"/>
      <protection/>
    </xf>
    <xf numFmtId="0" fontId="0" fillId="42" borderId="57" xfId="42" applyFont="1" applyFill="1" applyBorder="1" applyAlignment="1">
      <alignment horizontal="center"/>
      <protection/>
    </xf>
    <xf numFmtId="0" fontId="0" fillId="42" borderId="77" xfId="42" applyFont="1" applyFill="1" applyBorder="1" applyAlignment="1">
      <alignment horizontal="center"/>
      <protection/>
    </xf>
    <xf numFmtId="0" fontId="0" fillId="42" borderId="16" xfId="42" applyFont="1" applyFill="1" applyBorder="1" applyAlignment="1">
      <alignment horizontal="center"/>
      <protection/>
    </xf>
    <xf numFmtId="49" fontId="4" fillId="34" borderId="21" xfId="42" applyNumberFormat="1" applyFont="1" applyFill="1" applyBorder="1" applyAlignment="1">
      <alignment horizontal="center"/>
      <protection/>
    </xf>
    <xf numFmtId="49" fontId="4" fillId="34" borderId="22" xfId="42" applyNumberFormat="1" applyFont="1" applyFill="1" applyBorder="1" applyAlignment="1">
      <alignment horizontal="center"/>
      <protection/>
    </xf>
    <xf numFmtId="0" fontId="4" fillId="34" borderId="22" xfId="42" applyFont="1" applyFill="1" applyBorder="1" applyAlignment="1">
      <alignment horizontal="center"/>
      <protection/>
    </xf>
    <xf numFmtId="0" fontId="4" fillId="34" borderId="28" xfId="42" applyFont="1" applyFill="1" applyBorder="1" applyAlignment="1">
      <alignment horizontal="center"/>
      <protection/>
    </xf>
    <xf numFmtId="4" fontId="4" fillId="0" borderId="27" xfId="46" applyNumberFormat="1" applyFont="1" applyFill="1" applyBorder="1" applyAlignment="1" applyProtection="1">
      <alignment horizontal="right" vertical="top"/>
      <protection locked="0"/>
    </xf>
    <xf numFmtId="3" fontId="16" fillId="0" borderId="0" xfId="0" applyNumberFormat="1" applyFont="1" applyAlignment="1">
      <alignment horizontal="center"/>
    </xf>
    <xf numFmtId="9" fontId="0" fillId="0" borderId="0" xfId="0" applyNumberFormat="1" applyFont="1" applyFill="1" applyAlignment="1">
      <alignment horizontal="center"/>
    </xf>
    <xf numFmtId="0" fontId="0" fillId="47" borderId="0" xfId="0" applyFont="1" applyFill="1" applyAlignment="1">
      <alignment horizontal="center"/>
    </xf>
    <xf numFmtId="4" fontId="0" fillId="0" borderId="0" xfId="0" applyNumberFormat="1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" fontId="4" fillId="49" borderId="0" xfId="0" applyNumberFormat="1" applyFont="1" applyFill="1" applyAlignment="1">
      <alignment horizontal="center"/>
    </xf>
    <xf numFmtId="0" fontId="0" fillId="0" borderId="24" xfId="42" applyFont="1" applyFill="1" applyBorder="1" applyAlignment="1">
      <alignment horizontal="center" vertical="center"/>
      <protection/>
    </xf>
    <xf numFmtId="170" fontId="0" fillId="0" borderId="0" xfId="0" applyNumberFormat="1" applyFont="1" applyFill="1" applyAlignment="1">
      <alignment/>
    </xf>
    <xf numFmtId="171" fontId="4" fillId="0" borderId="0" xfId="0" applyNumberFormat="1" applyFont="1" applyAlignment="1">
      <alignment/>
    </xf>
    <xf numFmtId="0" fontId="0" fillId="47" borderId="0" xfId="0" applyFont="1" applyFill="1" applyAlignment="1">
      <alignment/>
    </xf>
    <xf numFmtId="4" fontId="4" fillId="47" borderId="0" xfId="0" applyNumberFormat="1" applyFont="1" applyFill="1" applyAlignment="1">
      <alignment/>
    </xf>
    <xf numFmtId="4" fontId="4" fillId="49" borderId="0" xfId="0" applyNumberFormat="1" applyFont="1" applyFill="1" applyAlignment="1">
      <alignment/>
    </xf>
    <xf numFmtId="49" fontId="0" fillId="0" borderId="78" xfId="42" applyNumberFormat="1" applyFont="1" applyFill="1" applyBorder="1" applyAlignment="1">
      <alignment horizontal="center"/>
      <protection/>
    </xf>
    <xf numFmtId="0" fontId="0" fillId="0" borderId="70" xfId="42" applyFont="1" applyFill="1" applyBorder="1" applyAlignment="1">
      <alignment horizontal="center"/>
      <protection/>
    </xf>
    <xf numFmtId="0" fontId="0" fillId="0" borderId="27" xfId="0" applyFont="1" applyFill="1" applyBorder="1" applyAlignment="1">
      <alignment horizontal="left"/>
    </xf>
    <xf numFmtId="171" fontId="0" fillId="0" borderId="0" xfId="0" applyNumberFormat="1" applyFont="1" applyAlignment="1">
      <alignment horizontal="right"/>
    </xf>
    <xf numFmtId="0" fontId="5" fillId="0" borderId="79" xfId="0" applyFont="1" applyBorder="1" applyAlignment="1">
      <alignment wrapText="1"/>
    </xf>
    <xf numFmtId="0" fontId="5" fillId="0" borderId="43" xfId="0" applyFont="1" applyBorder="1" applyAlignment="1">
      <alignment wrapText="1"/>
    </xf>
    <xf numFmtId="0" fontId="5" fillId="0" borderId="0" xfId="0" applyFont="1" applyBorder="1" applyAlignment="1">
      <alignment wrapText="1"/>
    </xf>
    <xf numFmtId="4" fontId="5" fillId="0" borderId="10" xfId="0" applyNumberFormat="1" applyFont="1" applyBorder="1" applyAlignment="1">
      <alignment wrapText="1"/>
    </xf>
    <xf numFmtId="0" fontId="0" fillId="0" borderId="68" xfId="0" applyFont="1" applyFill="1" applyBorder="1" applyAlignment="1">
      <alignment/>
    </xf>
    <xf numFmtId="0" fontId="0" fillId="0" borderId="75" xfId="0" applyFont="1" applyFill="1" applyBorder="1" applyAlignment="1">
      <alignment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42" applyFont="1" applyBorder="1" applyAlignment="1">
      <alignment horizontal="left"/>
      <protection/>
    </xf>
    <xf numFmtId="4" fontId="4" fillId="0" borderId="75" xfId="42" applyNumberFormat="1" applyFont="1" applyFill="1" applyBorder="1" applyAlignment="1">
      <alignment horizontal="right" vertical="top"/>
      <protection/>
    </xf>
    <xf numFmtId="0" fontId="11" fillId="0" borderId="35" xfId="0" applyFont="1" applyBorder="1" applyAlignment="1">
      <alignment vertical="top"/>
    </xf>
    <xf numFmtId="0" fontId="11" fillId="0" borderId="26" xfId="0" applyFont="1" applyBorder="1" applyAlignment="1">
      <alignment vertical="top"/>
    </xf>
    <xf numFmtId="0" fontId="11" fillId="0" borderId="34" xfId="0" applyFont="1" applyBorder="1" applyAlignment="1">
      <alignment vertical="top"/>
    </xf>
    <xf numFmtId="49" fontId="4" fillId="42" borderId="80" xfId="42" applyNumberFormat="1" applyFont="1" applyFill="1" applyBorder="1" applyAlignment="1">
      <alignment horizontal="center" vertical="top"/>
      <protection/>
    </xf>
    <xf numFmtId="49" fontId="4" fillId="42" borderId="77" xfId="42" applyNumberFormat="1" applyFont="1" applyFill="1" applyBorder="1" applyAlignment="1">
      <alignment horizontal="center"/>
      <protection/>
    </xf>
    <xf numFmtId="49" fontId="0" fillId="34" borderId="24" xfId="42" applyNumberFormat="1" applyFont="1" applyFill="1" applyBorder="1" applyAlignment="1">
      <alignment horizontal="center"/>
      <protection/>
    </xf>
    <xf numFmtId="49" fontId="4" fillId="42" borderId="16" xfId="42" applyNumberFormat="1" applyFont="1" applyFill="1" applyBorder="1" applyAlignment="1">
      <alignment horizontal="center" vertical="top"/>
      <protection/>
    </xf>
    <xf numFmtId="49" fontId="4" fillId="42" borderId="16" xfId="42" applyNumberFormat="1" applyFont="1" applyFill="1" applyBorder="1" applyAlignment="1">
      <alignment horizontal="center"/>
      <protection/>
    </xf>
    <xf numFmtId="4" fontId="4" fillId="48" borderId="27" xfId="42" applyNumberFormat="1" applyFont="1" applyFill="1" applyBorder="1" applyAlignment="1">
      <alignment horizontal="right" vertical="top"/>
      <protection/>
    </xf>
    <xf numFmtId="49" fontId="4" fillId="48" borderId="50" xfId="42" applyNumberFormat="1" applyFont="1" applyFill="1" applyBorder="1" applyAlignment="1">
      <alignment horizontal="center"/>
      <protection/>
    </xf>
    <xf numFmtId="49" fontId="4" fillId="34" borderId="24" xfId="42" applyNumberFormat="1" applyFont="1" applyFill="1" applyBorder="1" applyAlignment="1">
      <alignment horizontal="center"/>
      <protection/>
    </xf>
    <xf numFmtId="0" fontId="4" fillId="48" borderId="24" xfId="42" applyFont="1" applyFill="1" applyBorder="1" applyAlignment="1">
      <alignment horizontal="center"/>
      <protection/>
    </xf>
    <xf numFmtId="49" fontId="0" fillId="0" borderId="28" xfId="42" applyNumberFormat="1" applyFont="1" applyFill="1" applyBorder="1" applyAlignment="1">
      <alignment horizontal="center"/>
      <protection/>
    </xf>
    <xf numFmtId="49" fontId="0" fillId="34" borderId="21" xfId="42" applyNumberFormat="1" applyFont="1" applyFill="1" applyBorder="1" applyAlignment="1">
      <alignment horizontal="center" vertical="center"/>
      <protection/>
    </xf>
    <xf numFmtId="49" fontId="0" fillId="34" borderId="22" xfId="42" applyNumberFormat="1" applyFont="1" applyFill="1" applyBorder="1" applyAlignment="1">
      <alignment horizontal="center" vertical="center"/>
      <protection/>
    </xf>
    <xf numFmtId="49" fontId="4" fillId="34" borderId="22" xfId="42" applyNumberFormat="1" applyFont="1" applyFill="1" applyBorder="1" applyAlignment="1">
      <alignment horizontal="center" vertical="center"/>
      <protection/>
    </xf>
    <xf numFmtId="0" fontId="0" fillId="34" borderId="22" xfId="42" applyFont="1" applyFill="1" applyBorder="1" applyAlignment="1">
      <alignment horizontal="center" vertical="center"/>
      <protection/>
    </xf>
    <xf numFmtId="0" fontId="0" fillId="34" borderId="28" xfId="42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4" fontId="4" fillId="0" borderId="27" xfId="0" applyNumberFormat="1" applyFont="1" applyFill="1" applyBorder="1" applyAlignment="1">
      <alignment horizontal="right" vertical="center"/>
    </xf>
    <xf numFmtId="4" fontId="0" fillId="39" borderId="24" xfId="42" applyNumberFormat="1" applyFont="1" applyFill="1" applyBorder="1" applyAlignment="1">
      <alignment horizontal="right" vertical="top"/>
      <protection/>
    </xf>
    <xf numFmtId="4" fontId="4" fillId="0" borderId="68" xfId="42" applyNumberFormat="1" applyFont="1" applyFill="1" applyBorder="1" applyAlignment="1">
      <alignment horizontal="right" vertical="top"/>
      <protection/>
    </xf>
    <xf numFmtId="0" fontId="4" fillId="0" borderId="0" xfId="0" applyFont="1" applyAlignment="1">
      <alignment/>
    </xf>
    <xf numFmtId="4" fontId="0" fillId="0" borderId="22" xfId="46" applyNumberFormat="1" applyFont="1" applyFill="1" applyBorder="1" applyAlignment="1">
      <alignment horizontal="right" vertical="center"/>
      <protection/>
    </xf>
    <xf numFmtId="49" fontId="0" fillId="47" borderId="21" xfId="42" applyNumberFormat="1" applyFont="1" applyFill="1" applyBorder="1" applyAlignment="1">
      <alignment horizontal="center"/>
      <protection/>
    </xf>
    <xf numFmtId="49" fontId="0" fillId="47" borderId="22" xfId="42" applyNumberFormat="1" applyFont="1" applyFill="1" applyBorder="1" applyAlignment="1">
      <alignment horizontal="center"/>
      <protection/>
    </xf>
    <xf numFmtId="0" fontId="0" fillId="47" borderId="28" xfId="42" applyFont="1" applyFill="1" applyBorder="1" applyAlignment="1">
      <alignment horizontal="center"/>
      <protection/>
    </xf>
    <xf numFmtId="0" fontId="0" fillId="47" borderId="24" xfId="42" applyFont="1" applyFill="1" applyBorder="1" applyAlignment="1">
      <alignment horizontal="center"/>
      <protection/>
    </xf>
    <xf numFmtId="0" fontId="0" fillId="47" borderId="60" xfId="42" applyFont="1" applyFill="1" applyBorder="1" applyAlignment="1">
      <alignment horizontal="center"/>
      <protection/>
    </xf>
    <xf numFmtId="4" fontId="4" fillId="47" borderId="51" xfId="42" applyNumberFormat="1" applyFont="1" applyFill="1" applyBorder="1" applyAlignment="1">
      <alignment horizontal="right" vertical="top"/>
      <protection/>
    </xf>
    <xf numFmtId="4" fontId="0" fillId="47" borderId="28" xfId="46" applyNumberFormat="1" applyFont="1" applyFill="1" applyBorder="1" applyAlignment="1" applyProtection="1">
      <alignment horizontal="right" vertical="top"/>
      <protection locked="0"/>
    </xf>
    <xf numFmtId="49" fontId="0" fillId="0" borderId="81" xfId="42" applyNumberFormat="1" applyFont="1" applyFill="1" applyBorder="1" applyAlignment="1">
      <alignment horizontal="center"/>
      <protection/>
    </xf>
    <xf numFmtId="168" fontId="0" fillId="0" borderId="81" xfId="42" applyNumberFormat="1" applyFont="1" applyFill="1" applyBorder="1" applyAlignment="1">
      <alignment horizontal="center" vertical="top"/>
      <protection/>
    </xf>
    <xf numFmtId="168" fontId="0" fillId="0" borderId="82" xfId="42" applyNumberFormat="1" applyFont="1" applyFill="1" applyBorder="1" applyAlignment="1">
      <alignment horizontal="center" vertical="top"/>
      <protection/>
    </xf>
    <xf numFmtId="168" fontId="0" fillId="0" borderId="83" xfId="42" applyNumberFormat="1" applyFont="1" applyFill="1" applyBorder="1" applyAlignment="1">
      <alignment horizontal="center" vertical="top"/>
      <protection/>
    </xf>
    <xf numFmtId="0" fontId="0" fillId="0" borderId="84" xfId="42" applyFont="1" applyFill="1" applyBorder="1" applyAlignment="1">
      <alignment horizontal="center"/>
      <protection/>
    </xf>
    <xf numFmtId="4" fontId="0" fillId="0" borderId="75" xfId="46" applyNumberFormat="1" applyFont="1" applyFill="1" applyBorder="1" applyAlignment="1" applyProtection="1">
      <alignment horizontal="right" vertical="top"/>
      <protection locked="0"/>
    </xf>
    <xf numFmtId="4" fontId="0" fillId="0" borderId="16" xfId="42" applyNumberFormat="1" applyFont="1" applyFill="1" applyBorder="1" applyAlignment="1" applyProtection="1">
      <alignment horizontal="right" vertical="center"/>
      <protection locked="0"/>
    </xf>
    <xf numFmtId="168" fontId="0" fillId="48" borderId="82" xfId="42" applyNumberFormat="1" applyFont="1" applyFill="1" applyBorder="1" applyAlignment="1">
      <alignment horizontal="center" vertical="top"/>
      <protection/>
    </xf>
    <xf numFmtId="49" fontId="74" fillId="47" borderId="24" xfId="42" applyNumberFormat="1" applyFont="1" applyFill="1" applyBorder="1" applyAlignment="1">
      <alignment horizontal="center"/>
      <protection/>
    </xf>
    <xf numFmtId="0" fontId="74" fillId="42" borderId="24" xfId="42" applyFont="1" applyFill="1" applyBorder="1" applyAlignment="1">
      <alignment horizontal="center"/>
      <protection/>
    </xf>
    <xf numFmtId="0" fontId="74" fillId="42" borderId="60" xfId="42" applyFont="1" applyFill="1" applyBorder="1" applyAlignment="1">
      <alignment horizontal="center"/>
      <protection/>
    </xf>
    <xf numFmtId="49" fontId="74" fillId="47" borderId="77" xfId="42" applyNumberFormat="1" applyFont="1" applyFill="1" applyBorder="1" applyAlignment="1">
      <alignment horizontal="center"/>
      <protection/>
    </xf>
    <xf numFmtId="4" fontId="0" fillId="0" borderId="16" xfId="46" applyNumberFormat="1" applyFont="1" applyFill="1" applyBorder="1" applyAlignment="1">
      <alignment horizontal="right" vertical="top"/>
      <protection/>
    </xf>
    <xf numFmtId="4" fontId="0" fillId="0" borderId="64" xfId="46" applyNumberFormat="1" applyFont="1" applyFill="1" applyBorder="1" applyAlignment="1">
      <alignment horizontal="right" vertical="center"/>
      <protection/>
    </xf>
    <xf numFmtId="4" fontId="4" fillId="34" borderId="27" xfId="42" applyNumberFormat="1" applyFont="1" applyFill="1" applyBorder="1" applyAlignment="1">
      <alignment horizontal="right" vertical="center"/>
      <protection/>
    </xf>
    <xf numFmtId="4" fontId="4" fillId="34" borderId="32" xfId="42" applyNumberFormat="1" applyFont="1" applyFill="1" applyBorder="1" applyAlignment="1">
      <alignment horizontal="right" vertical="center"/>
      <protection/>
    </xf>
    <xf numFmtId="4" fontId="4" fillId="47" borderId="16" xfId="42" applyNumberFormat="1" applyFont="1" applyFill="1" applyBorder="1" applyAlignment="1">
      <alignment horizontal="right" vertical="top"/>
      <protection/>
    </xf>
    <xf numFmtId="49" fontId="4" fillId="0" borderId="21" xfId="42" applyNumberFormat="1" applyFont="1" applyFill="1" applyBorder="1" applyAlignment="1">
      <alignment horizontal="center"/>
      <protection/>
    </xf>
    <xf numFmtId="49" fontId="8" fillId="0" borderId="22" xfId="42" applyNumberFormat="1" applyFont="1" applyFill="1" applyBorder="1" applyAlignment="1">
      <alignment horizontal="center" vertical="top"/>
      <protection/>
    </xf>
    <xf numFmtId="0" fontId="4" fillId="0" borderId="22" xfId="42" applyFont="1" applyFill="1" applyBorder="1" applyAlignment="1">
      <alignment horizontal="center"/>
      <protection/>
    </xf>
    <xf numFmtId="0" fontId="4" fillId="0" borderId="28" xfId="42" applyFont="1" applyFill="1" applyBorder="1" applyAlignment="1">
      <alignment horizontal="center"/>
      <protection/>
    </xf>
    <xf numFmtId="4" fontId="4" fillId="0" borderId="76" xfId="0" applyNumberFormat="1" applyFont="1" applyFill="1" applyBorder="1" applyAlignment="1">
      <alignment horizontal="right"/>
    </xf>
    <xf numFmtId="4" fontId="0" fillId="0" borderId="35" xfId="42" applyNumberFormat="1" applyFont="1" applyFill="1" applyBorder="1" applyAlignment="1">
      <alignment horizontal="right" vertical="top"/>
      <protection/>
    </xf>
    <xf numFmtId="4" fontId="0" fillId="0" borderId="16" xfId="42" applyNumberFormat="1" applyFont="1" applyFill="1" applyBorder="1" applyAlignment="1">
      <alignment horizontal="right" vertical="top"/>
      <protection/>
    </xf>
    <xf numFmtId="4" fontId="0" fillId="0" borderId="70" xfId="42" applyNumberFormat="1" applyFont="1" applyFill="1" applyBorder="1" applyAlignment="1">
      <alignment horizontal="right" vertical="top"/>
      <protection/>
    </xf>
    <xf numFmtId="4" fontId="0" fillId="0" borderId="51" xfId="46" applyNumberFormat="1" applyFont="1" applyFill="1" applyBorder="1" applyAlignment="1">
      <alignment horizontal="right" vertical="top"/>
      <protection/>
    </xf>
    <xf numFmtId="49" fontId="0" fillId="0" borderId="77" xfId="42" applyNumberFormat="1" applyFont="1" applyFill="1" applyBorder="1" applyAlignment="1">
      <alignment horizontal="center"/>
      <protection/>
    </xf>
    <xf numFmtId="4" fontId="0" fillId="0" borderId="84" xfId="42" applyNumberFormat="1" applyFont="1" applyFill="1" applyBorder="1" applyAlignment="1">
      <alignment horizontal="right" vertical="center"/>
      <protection/>
    </xf>
    <xf numFmtId="4" fontId="0" fillId="0" borderId="84" xfId="46" applyNumberFormat="1" applyFont="1" applyFill="1" applyBorder="1" applyAlignment="1">
      <alignment horizontal="right" vertical="top"/>
      <protection/>
    </xf>
    <xf numFmtId="4" fontId="0" fillId="0" borderId="22" xfId="42" applyNumberFormat="1" applyFont="1" applyFill="1" applyBorder="1" applyAlignment="1">
      <alignment horizontal="right" vertical="center"/>
      <protection/>
    </xf>
    <xf numFmtId="49" fontId="0" fillId="34" borderId="70" xfId="42" applyNumberFormat="1" applyFont="1" applyFill="1" applyBorder="1" applyAlignment="1">
      <alignment horizontal="center" vertical="top"/>
      <protection/>
    </xf>
    <xf numFmtId="49" fontId="74" fillId="47" borderId="22" xfId="42" applyNumberFormat="1" applyFont="1" applyFill="1" applyBorder="1" applyAlignment="1">
      <alignment horizontal="center"/>
      <protection/>
    </xf>
    <xf numFmtId="0" fontId="0" fillId="42" borderId="22" xfId="42" applyFont="1" applyFill="1" applyBorder="1" applyAlignment="1">
      <alignment horizontal="center"/>
      <protection/>
    </xf>
    <xf numFmtId="49" fontId="75" fillId="42" borderId="50" xfId="42" applyNumberFormat="1" applyFont="1" applyFill="1" applyBorder="1" applyAlignment="1">
      <alignment horizontal="center" vertical="top"/>
      <protection/>
    </xf>
    <xf numFmtId="49" fontId="75" fillId="42" borderId="24" xfId="42" applyNumberFormat="1" applyFont="1" applyFill="1" applyBorder="1" applyAlignment="1">
      <alignment horizontal="center"/>
      <protection/>
    </xf>
    <xf numFmtId="4" fontId="75" fillId="42" borderId="51" xfId="42" applyNumberFormat="1" applyFont="1" applyFill="1" applyBorder="1" applyAlignment="1">
      <alignment horizontal="right" vertical="top"/>
      <protection/>
    </xf>
    <xf numFmtId="4" fontId="75" fillId="42" borderId="57" xfId="42" applyNumberFormat="1" applyFont="1" applyFill="1" applyBorder="1" applyAlignment="1">
      <alignment horizontal="right" vertical="top"/>
      <protection/>
    </xf>
    <xf numFmtId="0" fontId="74" fillId="0" borderId="0" xfId="0" applyFont="1" applyFill="1" applyAlignment="1">
      <alignment/>
    </xf>
    <xf numFmtId="168" fontId="0" fillId="48" borderId="25" xfId="42" applyNumberFormat="1" applyFont="1" applyFill="1" applyBorder="1" applyAlignment="1">
      <alignment horizontal="center" vertical="top"/>
      <protection/>
    </xf>
    <xf numFmtId="0" fontId="73" fillId="35" borderId="60" xfId="42" applyFont="1" applyFill="1" applyBorder="1" applyAlignment="1">
      <alignment horizontal="center"/>
      <protection/>
    </xf>
    <xf numFmtId="0" fontId="0" fillId="0" borderId="83" xfId="42" applyFont="1" applyFill="1" applyBorder="1" applyAlignment="1">
      <alignment horizontal="center"/>
      <protection/>
    </xf>
    <xf numFmtId="0" fontId="0" fillId="0" borderId="82" xfId="42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 vertical="center"/>
    </xf>
    <xf numFmtId="4" fontId="0" fillId="0" borderId="0" xfId="46" applyNumberFormat="1" applyFont="1" applyFill="1" applyBorder="1" applyAlignment="1" applyProtection="1">
      <alignment horizontal="right" vertical="top"/>
      <protection locked="0"/>
    </xf>
    <xf numFmtId="4" fontId="0" fillId="0" borderId="25" xfId="46" applyNumberFormat="1" applyFont="1" applyFill="1" applyBorder="1" applyAlignment="1" applyProtection="1">
      <alignment horizontal="right" vertical="top"/>
      <protection locked="0"/>
    </xf>
    <xf numFmtId="167" fontId="4" fillId="0" borderId="22" xfId="42" applyNumberFormat="1" applyFont="1" applyFill="1" applyBorder="1" applyAlignment="1">
      <alignment horizontal="center" vertical="center"/>
      <protection/>
    </xf>
    <xf numFmtId="49" fontId="0" fillId="0" borderId="85" xfId="42" applyNumberFormat="1" applyFont="1" applyFill="1" applyBorder="1" applyAlignment="1">
      <alignment horizontal="center"/>
      <protection/>
    </xf>
    <xf numFmtId="49" fontId="0" fillId="0" borderId="64" xfId="42" applyNumberFormat="1" applyFont="1" applyFill="1" applyBorder="1" applyAlignment="1">
      <alignment horizontal="center"/>
      <protection/>
    </xf>
    <xf numFmtId="49" fontId="0" fillId="0" borderId="84" xfId="42" applyNumberFormat="1" applyFont="1" applyFill="1" applyBorder="1" applyAlignment="1">
      <alignment horizontal="center"/>
      <protection/>
    </xf>
    <xf numFmtId="168" fontId="0" fillId="48" borderId="84" xfId="42" applyNumberFormat="1" applyFont="1" applyFill="1" applyBorder="1" applyAlignment="1">
      <alignment horizontal="center" vertical="top"/>
      <protection/>
    </xf>
    <xf numFmtId="49" fontId="4" fillId="42" borderId="60" xfId="42" applyNumberFormat="1" applyFont="1" applyFill="1" applyBorder="1" applyAlignment="1">
      <alignment horizontal="center"/>
      <protection/>
    </xf>
    <xf numFmtId="0" fontId="0" fillId="0" borderId="32" xfId="42" applyFont="1" applyFill="1" applyBorder="1" applyAlignment="1">
      <alignment horizontal="center"/>
      <protection/>
    </xf>
    <xf numFmtId="4" fontId="4" fillId="42" borderId="76" xfId="42" applyNumberFormat="1" applyFont="1" applyFill="1" applyBorder="1" applyAlignment="1">
      <alignment horizontal="right" vertical="top"/>
      <protection/>
    </xf>
    <xf numFmtId="4" fontId="4" fillId="42" borderId="0" xfId="42" applyNumberFormat="1" applyFont="1" applyFill="1" applyBorder="1" applyAlignment="1">
      <alignment horizontal="right" vertical="top"/>
      <protection/>
    </xf>
    <xf numFmtId="4" fontId="4" fillId="42" borderId="16" xfId="42" applyNumberFormat="1" applyFont="1" applyFill="1" applyBorder="1" applyAlignment="1">
      <alignment horizontal="right" vertical="center"/>
      <protection/>
    </xf>
    <xf numFmtId="4" fontId="4" fillId="0" borderId="16" xfId="42" applyNumberFormat="1" applyFont="1" applyFill="1" applyBorder="1" applyAlignment="1">
      <alignment horizontal="right" vertical="top"/>
      <protection/>
    </xf>
    <xf numFmtId="49" fontId="0" fillId="0" borderId="55" xfId="0" applyNumberFormat="1" applyFont="1" applyFill="1" applyBorder="1" applyAlignment="1">
      <alignment horizontal="center"/>
    </xf>
    <xf numFmtId="0" fontId="0" fillId="0" borderId="55" xfId="0" applyFont="1" applyFill="1" applyBorder="1" applyAlignment="1">
      <alignment horizontal="left" wrapText="1"/>
    </xf>
    <xf numFmtId="4" fontId="0" fillId="0" borderId="68" xfId="46" applyNumberFormat="1" applyFont="1" applyFill="1" applyBorder="1" applyAlignment="1" applyProtection="1">
      <alignment horizontal="right" vertical="top"/>
      <protection locked="0"/>
    </xf>
    <xf numFmtId="4" fontId="0" fillId="0" borderId="28" xfId="42" applyNumberFormat="1" applyFont="1" applyFill="1" applyBorder="1" applyAlignment="1">
      <alignment horizontal="right" vertical="center"/>
      <protection/>
    </xf>
    <xf numFmtId="4" fontId="0" fillId="0" borderId="86" xfId="42" applyNumberFormat="1" applyFont="1" applyFill="1" applyBorder="1" applyAlignment="1">
      <alignment horizontal="right" vertical="center"/>
      <protection/>
    </xf>
    <xf numFmtId="4" fontId="0" fillId="0" borderId="41" xfId="42" applyNumberFormat="1" applyFont="1" applyFill="1" applyBorder="1" applyAlignment="1">
      <alignment horizontal="right" vertical="center"/>
      <protection/>
    </xf>
    <xf numFmtId="49" fontId="4" fillId="42" borderId="50" xfId="42" applyNumberFormat="1" applyFont="1" applyFill="1" applyBorder="1" applyAlignment="1">
      <alignment horizontal="center" vertical="center"/>
      <protection/>
    </xf>
    <xf numFmtId="49" fontId="4" fillId="42" borderId="24" xfId="42" applyNumberFormat="1" applyFont="1" applyFill="1" applyBorder="1" applyAlignment="1">
      <alignment horizontal="center" vertical="center"/>
      <protection/>
    </xf>
    <xf numFmtId="0" fontId="0" fillId="42" borderId="24" xfId="42" applyFont="1" applyFill="1" applyBorder="1" applyAlignment="1">
      <alignment horizontal="center" vertical="center"/>
      <protection/>
    </xf>
    <xf numFmtId="49" fontId="0" fillId="47" borderId="24" xfId="42" applyNumberFormat="1" applyFont="1" applyFill="1" applyBorder="1" applyAlignment="1">
      <alignment horizontal="center" vertical="center"/>
      <protection/>
    </xf>
    <xf numFmtId="0" fontId="0" fillId="42" borderId="60" xfId="42" applyFont="1" applyFill="1" applyBorder="1" applyAlignment="1">
      <alignment horizontal="center" vertical="center"/>
      <protection/>
    </xf>
    <xf numFmtId="10" fontId="12" fillId="0" borderId="0" xfId="0" applyNumberFormat="1" applyFont="1" applyAlignment="1">
      <alignment/>
    </xf>
    <xf numFmtId="49" fontId="0" fillId="0" borderId="81" xfId="42" applyNumberFormat="1" applyFont="1" applyFill="1" applyBorder="1" applyAlignment="1">
      <alignment horizontal="center" vertical="top"/>
      <protection/>
    </xf>
    <xf numFmtId="49" fontId="0" fillId="0" borderId="16" xfId="42" applyNumberFormat="1" applyFont="1" applyFill="1" applyBorder="1" applyAlignment="1">
      <alignment horizontal="center" vertical="top"/>
      <protection/>
    </xf>
    <xf numFmtId="180" fontId="0" fillId="0" borderId="0" xfId="0" applyNumberFormat="1" applyFont="1" applyAlignment="1">
      <alignment/>
    </xf>
    <xf numFmtId="172" fontId="10" fillId="0" borderId="18" xfId="45" applyNumberFormat="1" applyFont="1" applyBorder="1" applyAlignment="1" applyProtection="1">
      <alignment horizontal="right" vertical="top"/>
      <protection locked="0"/>
    </xf>
    <xf numFmtId="172" fontId="12" fillId="0" borderId="18" xfId="45" applyNumberFormat="1" applyFont="1" applyBorder="1" applyAlignment="1" applyProtection="1">
      <alignment horizontal="right" vertical="top"/>
      <protection locked="0"/>
    </xf>
    <xf numFmtId="167" fontId="10" fillId="0" borderId="16" xfId="45" applyNumberFormat="1" applyFont="1" applyFill="1" applyBorder="1" applyAlignment="1">
      <alignment horizontal="left" vertical="top"/>
      <protection/>
    </xf>
    <xf numFmtId="167" fontId="10" fillId="0" borderId="35" xfId="45" applyNumberFormat="1" applyFont="1" applyBorder="1" applyAlignment="1">
      <alignment horizontal="center" vertical="top"/>
      <protection/>
    </xf>
    <xf numFmtId="0" fontId="10" fillId="0" borderId="26" xfId="0" applyFont="1" applyFill="1" applyBorder="1" applyAlignment="1">
      <alignment vertical="top"/>
    </xf>
    <xf numFmtId="0" fontId="10" fillId="0" borderId="34" xfId="0" applyFont="1" applyFill="1" applyBorder="1" applyAlignment="1">
      <alignment vertical="top"/>
    </xf>
    <xf numFmtId="4" fontId="10" fillId="0" borderId="26" xfId="0" applyNumberFormat="1" applyFont="1" applyFill="1" applyBorder="1" applyAlignment="1">
      <alignment horizontal="right" vertical="top"/>
    </xf>
    <xf numFmtId="0" fontId="12" fillId="0" borderId="35" xfId="0" applyFont="1" applyFill="1" applyBorder="1" applyAlignment="1">
      <alignment vertical="top"/>
    </xf>
    <xf numFmtId="10" fontId="4" fillId="43" borderId="16" xfId="0" applyNumberFormat="1" applyFont="1" applyFill="1" applyBorder="1" applyAlignment="1">
      <alignment horizontal="center" vertical="center" wrapText="1" shrinkToFit="1"/>
    </xf>
    <xf numFmtId="10" fontId="0" fillId="0" borderId="54" xfId="0" applyNumberFormat="1" applyFont="1" applyFill="1" applyBorder="1" applyAlignment="1">
      <alignment horizontal="center" vertical="center" wrapText="1"/>
    </xf>
    <xf numFmtId="10" fontId="4" fillId="44" borderId="55" xfId="64" applyNumberFormat="1" applyFont="1" applyFill="1" applyBorder="1" applyAlignment="1">
      <alignment horizontal="center" vertical="center" wrapText="1"/>
      <protection/>
    </xf>
    <xf numFmtId="10" fontId="0" fillId="0" borderId="55" xfId="0" applyNumberFormat="1" applyFont="1" applyFill="1" applyBorder="1" applyAlignment="1">
      <alignment horizontal="center" vertical="center" wrapText="1"/>
    </xf>
    <xf numFmtId="10" fontId="4" fillId="44" borderId="55" xfId="0" applyNumberFormat="1" applyFont="1" applyFill="1" applyBorder="1" applyAlignment="1">
      <alignment horizontal="center" vertical="center" wrapText="1"/>
    </xf>
    <xf numFmtId="10" fontId="4" fillId="39" borderId="55" xfId="0" applyNumberFormat="1" applyFont="1" applyFill="1" applyBorder="1" applyAlignment="1">
      <alignment horizontal="center" vertical="center" wrapText="1"/>
    </xf>
    <xf numFmtId="10" fontId="4" fillId="45" borderId="56" xfId="44" applyNumberFormat="1" applyFont="1" applyFill="1" applyBorder="1" applyAlignment="1" applyProtection="1">
      <alignment horizontal="right" vertical="center" wrapText="1"/>
      <protection/>
    </xf>
    <xf numFmtId="10" fontId="0" fillId="0" borderId="0" xfId="44" applyNumberFormat="1" applyFont="1" applyFill="1" applyBorder="1" applyAlignment="1" applyProtection="1">
      <alignment horizontal="right" vertical="center" wrapText="1"/>
      <protection/>
    </xf>
    <xf numFmtId="14" fontId="0" fillId="39" borderId="22" xfId="42" applyNumberFormat="1" applyFont="1" applyFill="1" applyBorder="1" applyAlignment="1">
      <alignment horizontal="center"/>
      <protection/>
    </xf>
    <xf numFmtId="49" fontId="75" fillId="42" borderId="16" xfId="42" applyNumberFormat="1" applyFont="1" applyFill="1" applyBorder="1" applyAlignment="1">
      <alignment horizontal="center" vertical="top"/>
      <protection/>
    </xf>
    <xf numFmtId="49" fontId="75" fillId="42" borderId="16" xfId="42" applyNumberFormat="1" applyFont="1" applyFill="1" applyBorder="1" applyAlignment="1">
      <alignment horizontal="center"/>
      <protection/>
    </xf>
    <xf numFmtId="0" fontId="74" fillId="42" borderId="16" xfId="42" applyFont="1" applyFill="1" applyBorder="1" applyAlignment="1">
      <alignment horizontal="center"/>
      <protection/>
    </xf>
    <xf numFmtId="49" fontId="74" fillId="47" borderId="16" xfId="42" applyNumberFormat="1" applyFont="1" applyFill="1" applyBorder="1" applyAlignment="1">
      <alignment horizontal="center"/>
      <protection/>
    </xf>
    <xf numFmtId="4" fontId="75" fillId="42" borderId="16" xfId="42" applyNumberFormat="1" applyFont="1" applyFill="1" applyBorder="1" applyAlignment="1">
      <alignment horizontal="right" vertical="top"/>
      <protection/>
    </xf>
    <xf numFmtId="0" fontId="74" fillId="0" borderId="0" xfId="0" applyFont="1" applyAlignment="1">
      <alignment/>
    </xf>
    <xf numFmtId="0" fontId="0" fillId="0" borderId="16" xfId="0" applyFont="1" applyBorder="1" applyAlignment="1">
      <alignment/>
    </xf>
    <xf numFmtId="0" fontId="72" fillId="35" borderId="87" xfId="0" applyFont="1" applyFill="1" applyBorder="1" applyAlignment="1">
      <alignment vertical="top"/>
    </xf>
    <xf numFmtId="0" fontId="72" fillId="35" borderId="0" xfId="0" applyFont="1" applyFill="1" applyBorder="1" applyAlignment="1">
      <alignment vertical="top"/>
    </xf>
    <xf numFmtId="0" fontId="72" fillId="35" borderId="76" xfId="0" applyFont="1" applyFill="1" applyBorder="1" applyAlignment="1">
      <alignment vertical="top"/>
    </xf>
    <xf numFmtId="49" fontId="72" fillId="35" borderId="50" xfId="42" applyNumberFormat="1" applyFont="1" applyFill="1" applyBorder="1" applyAlignment="1">
      <alignment horizontal="center" vertical="top"/>
      <protection/>
    </xf>
    <xf numFmtId="49" fontId="72" fillId="35" borderId="24" xfId="42" applyNumberFormat="1" applyFont="1" applyFill="1" applyBorder="1" applyAlignment="1">
      <alignment horizontal="center"/>
      <protection/>
    </xf>
    <xf numFmtId="0" fontId="0" fillId="0" borderId="16" xfId="0" applyFont="1" applyFill="1" applyBorder="1" applyAlignment="1">
      <alignment vertical="top"/>
    </xf>
    <xf numFmtId="49" fontId="0" fillId="39" borderId="84" xfId="42" applyNumberFormat="1" applyFont="1" applyFill="1" applyBorder="1" applyAlignment="1">
      <alignment horizontal="center"/>
      <protection/>
    </xf>
    <xf numFmtId="49" fontId="0" fillId="39" borderId="84" xfId="42" applyNumberFormat="1" applyFont="1" applyFill="1" applyBorder="1" applyAlignment="1">
      <alignment horizontal="center" vertical="top"/>
      <protection/>
    </xf>
    <xf numFmtId="0" fontId="0" fillId="39" borderId="84" xfId="42" applyFont="1" applyFill="1" applyBorder="1" applyAlignment="1">
      <alignment horizontal="center"/>
      <protection/>
    </xf>
    <xf numFmtId="4" fontId="0" fillId="39" borderId="84" xfId="42" applyNumberFormat="1" applyFont="1" applyFill="1" applyBorder="1" applyAlignment="1">
      <alignment horizontal="right" vertical="top"/>
      <protection/>
    </xf>
    <xf numFmtId="4" fontId="0" fillId="39" borderId="88" xfId="42" applyNumberFormat="1" applyFont="1" applyFill="1" applyBorder="1" applyAlignment="1">
      <alignment horizontal="right" vertical="top"/>
      <protection/>
    </xf>
    <xf numFmtId="4" fontId="0" fillId="39" borderId="89" xfId="42" applyNumberFormat="1" applyFont="1" applyFill="1" applyBorder="1" applyAlignment="1">
      <alignment horizontal="right" vertical="top"/>
      <protection/>
    </xf>
    <xf numFmtId="4" fontId="0" fillId="39" borderId="90" xfId="42" applyNumberFormat="1" applyFont="1" applyFill="1" applyBorder="1" applyAlignment="1">
      <alignment horizontal="right" vertical="top"/>
      <protection/>
    </xf>
    <xf numFmtId="4" fontId="0" fillId="39" borderId="91" xfId="42" applyNumberFormat="1" applyFont="1" applyFill="1" applyBorder="1" applyAlignment="1">
      <alignment horizontal="right" vertical="top"/>
      <protection/>
    </xf>
    <xf numFmtId="4" fontId="4" fillId="0" borderId="28" xfId="0" applyNumberFormat="1" applyFont="1" applyFill="1" applyBorder="1" applyAlignment="1">
      <alignment horizontal="right"/>
    </xf>
    <xf numFmtId="4" fontId="0" fillId="0" borderId="68" xfId="42" applyNumberFormat="1" applyFont="1" applyFill="1" applyBorder="1" applyAlignment="1">
      <alignment horizontal="right" vertical="top"/>
      <protection/>
    </xf>
    <xf numFmtId="0" fontId="0" fillId="0" borderId="64" xfId="0" applyFont="1" applyBorder="1" applyAlignment="1">
      <alignment vertical="top"/>
    </xf>
    <xf numFmtId="0" fontId="0" fillId="0" borderId="75" xfId="0" applyFont="1" applyBorder="1" applyAlignment="1">
      <alignment vertical="top"/>
    </xf>
    <xf numFmtId="0" fontId="4" fillId="0" borderId="27" xfId="0" applyFont="1" applyFill="1" applyBorder="1" applyAlignment="1">
      <alignment vertical="top"/>
    </xf>
    <xf numFmtId="4" fontId="0" fillId="39" borderId="60" xfId="42" applyNumberFormat="1" applyFont="1" applyFill="1" applyBorder="1" applyAlignment="1">
      <alignment horizontal="right" vertical="top"/>
      <protection/>
    </xf>
    <xf numFmtId="4" fontId="0" fillId="39" borderId="57" xfId="42" applyNumberFormat="1" applyFont="1" applyFill="1" applyBorder="1" applyAlignment="1">
      <alignment horizontal="right" vertical="top"/>
      <protection/>
    </xf>
    <xf numFmtId="4" fontId="10" fillId="0" borderId="26" xfId="0" applyNumberFormat="1" applyFont="1" applyBorder="1" applyAlignment="1">
      <alignment horizontal="right" vertical="top"/>
    </xf>
    <xf numFmtId="170" fontId="10" fillId="0" borderId="18" xfId="45" applyNumberFormat="1" applyFont="1" applyBorder="1" applyAlignment="1" applyProtection="1">
      <alignment horizontal="right" vertical="top"/>
      <protection locked="0"/>
    </xf>
    <xf numFmtId="0" fontId="7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wrapText="1"/>
    </xf>
    <xf numFmtId="4" fontId="4" fillId="34" borderId="75" xfId="42" applyNumberFormat="1" applyFont="1" applyFill="1" applyBorder="1" applyAlignment="1">
      <alignment horizontal="right" vertical="top"/>
      <protection/>
    </xf>
    <xf numFmtId="0" fontId="26" fillId="0" borderId="0" xfId="0" applyFont="1" applyAlignment="1">
      <alignment/>
    </xf>
    <xf numFmtId="0" fontId="5" fillId="0" borderId="0" xfId="45" applyFont="1" applyBorder="1" applyAlignment="1">
      <alignment horizontal="center" vertical="top"/>
      <protection/>
    </xf>
    <xf numFmtId="0" fontId="0" fillId="0" borderId="68" xfId="0" applyFont="1" applyFill="1" applyBorder="1" applyAlignment="1">
      <alignment vertical="top"/>
    </xf>
    <xf numFmtId="0" fontId="0" fillId="0" borderId="75" xfId="0" applyFont="1" applyFill="1" applyBorder="1" applyAlignment="1">
      <alignment vertical="top"/>
    </xf>
    <xf numFmtId="0" fontId="0" fillId="42" borderId="84" xfId="42" applyFont="1" applyFill="1" applyBorder="1" applyAlignment="1">
      <alignment horizontal="center"/>
      <protection/>
    </xf>
    <xf numFmtId="0" fontId="0" fillId="34" borderId="60" xfId="42" applyFont="1" applyFill="1" applyBorder="1" applyAlignment="1">
      <alignment horizontal="center"/>
      <protection/>
    </xf>
    <xf numFmtId="49" fontId="0" fillId="34" borderId="24" xfId="42" applyNumberFormat="1" applyFont="1" applyFill="1" applyBorder="1" applyAlignment="1">
      <alignment horizontal="center" vertical="top"/>
      <protection/>
    </xf>
    <xf numFmtId="4" fontId="4" fillId="42" borderId="76" xfId="42" applyNumberFormat="1" applyFont="1" applyFill="1" applyBorder="1" applyAlignment="1">
      <alignment horizontal="right" vertical="center"/>
      <protection/>
    </xf>
    <xf numFmtId="4" fontId="0" fillId="0" borderId="70" xfId="46" applyNumberFormat="1" applyFont="1" applyFill="1" applyBorder="1" applyAlignment="1">
      <alignment horizontal="right" vertical="top"/>
      <protection/>
    </xf>
    <xf numFmtId="4" fontId="0" fillId="0" borderId="75" xfId="42" applyNumberFormat="1" applyFont="1" applyFill="1" applyBorder="1" applyAlignment="1">
      <alignment horizontal="right" vertical="top"/>
      <protection/>
    </xf>
    <xf numFmtId="0" fontId="0" fillId="0" borderId="60" xfId="0" applyFont="1" applyFill="1" applyBorder="1" applyAlignment="1">
      <alignment horizontal="left" vertical="top"/>
    </xf>
    <xf numFmtId="0" fontId="0" fillId="0" borderId="57" xfId="0" applyFont="1" applyFill="1" applyBorder="1" applyAlignment="1">
      <alignment horizontal="left" vertical="top"/>
    </xf>
    <xf numFmtId="4" fontId="0" fillId="0" borderId="57" xfId="0" applyNumberFormat="1" applyFont="1" applyFill="1" applyBorder="1" applyAlignment="1">
      <alignment horizontal="right"/>
    </xf>
    <xf numFmtId="4" fontId="0" fillId="0" borderId="16" xfId="0" applyNumberFormat="1" applyFont="1" applyFill="1" applyBorder="1" applyAlignment="1">
      <alignment horizontal="right"/>
    </xf>
    <xf numFmtId="0" fontId="10" fillId="0" borderId="26" xfId="0" applyFont="1" applyBorder="1" applyAlignment="1">
      <alignment horizontal="left" vertical="top"/>
    </xf>
    <xf numFmtId="4" fontId="4" fillId="50" borderId="57" xfId="0" applyNumberFormat="1" applyFont="1" applyFill="1" applyBorder="1" applyAlignment="1">
      <alignment horizontal="right"/>
    </xf>
    <xf numFmtId="0" fontId="4" fillId="0" borderId="27" xfId="0" applyFont="1" applyFill="1" applyBorder="1" applyAlignment="1">
      <alignment/>
    </xf>
    <xf numFmtId="4" fontId="4" fillId="0" borderId="57" xfId="0" applyNumberFormat="1" applyFont="1" applyFill="1" applyBorder="1" applyAlignment="1">
      <alignment horizontal="right"/>
    </xf>
    <xf numFmtId="4" fontId="0" fillId="0" borderId="35" xfId="46" applyNumberFormat="1" applyFont="1" applyFill="1" applyBorder="1" applyAlignment="1">
      <alignment horizontal="right" vertical="top"/>
      <protection/>
    </xf>
    <xf numFmtId="4" fontId="0" fillId="0" borderId="90" xfId="46" applyNumberFormat="1" applyFont="1" applyFill="1" applyBorder="1" applyAlignment="1">
      <alignment horizontal="right" vertical="top"/>
      <protection/>
    </xf>
    <xf numFmtId="4" fontId="0" fillId="0" borderId="35" xfId="46" applyNumberFormat="1" applyFont="1" applyFill="1" applyBorder="1" applyAlignment="1" applyProtection="1">
      <alignment horizontal="right" vertical="top"/>
      <protection locked="0"/>
    </xf>
    <xf numFmtId="4" fontId="4" fillId="0" borderId="16" xfId="0" applyNumberFormat="1" applyFont="1" applyFill="1" applyBorder="1" applyAlignment="1">
      <alignment horizontal="right"/>
    </xf>
    <xf numFmtId="4" fontId="0" fillId="0" borderId="0" xfId="46" applyNumberFormat="1" applyFont="1" applyFill="1" applyBorder="1" applyAlignment="1">
      <alignment horizontal="right" vertical="top"/>
      <protection/>
    </xf>
    <xf numFmtId="0" fontId="0" fillId="0" borderId="16" xfId="0" applyFont="1" applyFill="1" applyBorder="1" applyAlignment="1">
      <alignment/>
    </xf>
    <xf numFmtId="4" fontId="0" fillId="0" borderId="34" xfId="46" applyNumberFormat="1" applyFont="1" applyFill="1" applyBorder="1" applyAlignment="1" applyProtection="1">
      <alignment horizontal="right" vertical="top"/>
      <protection locked="0"/>
    </xf>
    <xf numFmtId="4" fontId="4" fillId="33" borderId="51" xfId="42" applyNumberFormat="1" applyFont="1" applyFill="1" applyBorder="1" applyAlignment="1">
      <alignment horizontal="right" vertical="top"/>
      <protection/>
    </xf>
    <xf numFmtId="0" fontId="0" fillId="0" borderId="51" xfId="0" applyFont="1" applyFill="1" applyBorder="1" applyAlignment="1">
      <alignment horizontal="left" vertical="top"/>
    </xf>
    <xf numFmtId="4" fontId="4" fillId="0" borderId="51" xfId="42" applyNumberFormat="1" applyFont="1" applyFill="1" applyBorder="1" applyAlignment="1">
      <alignment horizontal="right" vertical="top"/>
      <protection/>
    </xf>
    <xf numFmtId="4" fontId="0" fillId="0" borderId="76" xfId="42" applyNumberFormat="1" applyFont="1" applyFill="1" applyBorder="1" applyAlignment="1">
      <alignment horizontal="right" vertical="top"/>
      <protection/>
    </xf>
    <xf numFmtId="4" fontId="0" fillId="0" borderId="64" xfId="42" applyNumberFormat="1" applyFont="1" applyFill="1" applyBorder="1" applyAlignment="1">
      <alignment horizontal="right" vertical="top"/>
      <protection/>
    </xf>
    <xf numFmtId="4" fontId="0" fillId="0" borderId="0" xfId="42" applyNumberFormat="1" applyFont="1" applyFill="1" applyBorder="1" applyAlignment="1">
      <alignment horizontal="right" vertical="top"/>
      <protection/>
    </xf>
    <xf numFmtId="4" fontId="0" fillId="0" borderId="41" xfId="42" applyNumberFormat="1" applyFont="1" applyFill="1" applyBorder="1" applyAlignment="1">
      <alignment horizontal="right" vertical="top"/>
      <protection/>
    </xf>
    <xf numFmtId="49" fontId="0" fillId="0" borderId="92" xfId="42" applyNumberFormat="1" applyFont="1" applyFill="1" applyBorder="1" applyAlignment="1">
      <alignment horizontal="center"/>
      <protection/>
    </xf>
    <xf numFmtId="0" fontId="0" fillId="0" borderId="68" xfId="0" applyFont="1" applyBorder="1" applyAlignment="1">
      <alignment/>
    </xf>
    <xf numFmtId="4" fontId="0" fillId="0" borderId="25" xfId="46" applyNumberFormat="1" applyFont="1" applyFill="1" applyBorder="1" applyAlignment="1">
      <alignment horizontal="right" vertical="top"/>
      <protection/>
    </xf>
    <xf numFmtId="168" fontId="0" fillId="48" borderId="60" xfId="42" applyNumberFormat="1" applyFont="1" applyFill="1" applyBorder="1" applyAlignment="1">
      <alignment horizontal="center" vertical="top"/>
      <protection/>
    </xf>
    <xf numFmtId="168" fontId="0" fillId="48" borderId="0" xfId="42" applyNumberFormat="1" applyFont="1" applyFill="1" applyBorder="1" applyAlignment="1">
      <alignment horizontal="center" vertical="top"/>
      <protection/>
    </xf>
    <xf numFmtId="168" fontId="0" fillId="48" borderId="35" xfId="42" applyNumberFormat="1" applyFont="1" applyFill="1" applyBorder="1" applyAlignment="1">
      <alignment horizontal="center" vertical="top"/>
      <protection/>
    </xf>
    <xf numFmtId="4" fontId="0" fillId="0" borderId="27" xfId="0" applyNumberFormat="1" applyFont="1" applyFill="1" applyBorder="1" applyAlignment="1">
      <alignment horizontal="right" vertical="top"/>
    </xf>
    <xf numFmtId="49" fontId="4" fillId="47" borderId="50" xfId="42" applyNumberFormat="1" applyFont="1" applyFill="1" applyBorder="1" applyAlignment="1">
      <alignment horizontal="center" vertical="top"/>
      <protection/>
    </xf>
    <xf numFmtId="49" fontId="4" fillId="47" borderId="24" xfId="42" applyNumberFormat="1" applyFont="1" applyFill="1" applyBorder="1" applyAlignment="1">
      <alignment horizontal="center"/>
      <protection/>
    </xf>
    <xf numFmtId="4" fontId="4" fillId="47" borderId="51" xfId="42" applyNumberFormat="1" applyFont="1" applyFill="1" applyBorder="1" applyAlignment="1">
      <alignment horizontal="right" vertical="center"/>
      <protection/>
    </xf>
    <xf numFmtId="4" fontId="4" fillId="47" borderId="57" xfId="42" applyNumberFormat="1" applyFont="1" applyFill="1" applyBorder="1" applyAlignment="1">
      <alignment horizontal="right" vertical="center"/>
      <protection/>
    </xf>
    <xf numFmtId="4" fontId="4" fillId="0" borderId="51" xfId="0" applyNumberFormat="1" applyFont="1" applyFill="1" applyBorder="1" applyAlignment="1">
      <alignment horizontal="right" vertical="top"/>
    </xf>
    <xf numFmtId="177" fontId="4" fillId="51" borderId="55" xfId="0" applyNumberFormat="1" applyFont="1" applyFill="1" applyBorder="1" applyAlignment="1">
      <alignment horizontal="center" vertical="center" wrapText="1"/>
    </xf>
    <xf numFmtId="49" fontId="4" fillId="51" borderId="55" xfId="0" applyNumberFormat="1" applyFont="1" applyFill="1" applyBorder="1" applyAlignment="1">
      <alignment horizontal="center"/>
    </xf>
    <xf numFmtId="0" fontId="5" fillId="51" borderId="55" xfId="0" applyFont="1" applyFill="1" applyBorder="1" applyAlignment="1">
      <alignment wrapText="1"/>
    </xf>
    <xf numFmtId="10" fontId="4" fillId="51" borderId="55" xfId="0" applyNumberFormat="1" applyFont="1" applyFill="1" applyBorder="1" applyAlignment="1">
      <alignment horizontal="center" vertical="center" wrapText="1"/>
    </xf>
    <xf numFmtId="4" fontId="10" fillId="48" borderId="26" xfId="0" applyNumberFormat="1" applyFont="1" applyFill="1" applyBorder="1" applyAlignment="1">
      <alignment horizontal="right" vertical="top"/>
    </xf>
    <xf numFmtId="4" fontId="12" fillId="0" borderId="26" xfId="0" applyNumberFormat="1" applyFont="1" applyFill="1" applyBorder="1" applyAlignment="1">
      <alignment horizontal="right" vertical="top"/>
    </xf>
    <xf numFmtId="180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4" fillId="0" borderId="64" xfId="0" applyFont="1" applyFill="1" applyBorder="1" applyAlignment="1">
      <alignment vertical="top"/>
    </xf>
    <xf numFmtId="0" fontId="4" fillId="0" borderId="68" xfId="0" applyFont="1" applyFill="1" applyBorder="1" applyAlignment="1">
      <alignment vertical="top"/>
    </xf>
    <xf numFmtId="49" fontId="0" fillId="0" borderId="28" xfId="42" applyNumberFormat="1" applyFont="1" applyFill="1" applyBorder="1" applyAlignment="1">
      <alignment horizontal="center" vertical="top"/>
      <protection/>
    </xf>
    <xf numFmtId="49" fontId="0" fillId="0" borderId="60" xfId="42" applyNumberFormat="1" applyFont="1" applyFill="1" applyBorder="1" applyAlignment="1">
      <alignment horizontal="center" vertical="top"/>
      <protection/>
    </xf>
    <xf numFmtId="4" fontId="0" fillId="0" borderId="25" xfId="42" applyNumberFormat="1" applyFont="1" applyFill="1" applyBorder="1" applyAlignment="1">
      <alignment horizontal="right" vertical="top"/>
      <protection/>
    </xf>
    <xf numFmtId="4" fontId="4" fillId="33" borderId="57" xfId="42" applyNumberFormat="1" applyFont="1" applyFill="1" applyBorder="1" applyAlignment="1">
      <alignment horizontal="right" vertical="top"/>
      <protection/>
    </xf>
    <xf numFmtId="4" fontId="0" fillId="34" borderId="16" xfId="42" applyNumberFormat="1" applyFont="1" applyFill="1" applyBorder="1" applyAlignment="1">
      <alignment horizontal="right" vertical="center"/>
      <protection/>
    </xf>
    <xf numFmtId="4" fontId="4" fillId="0" borderId="75" xfId="0" applyNumberFormat="1" applyFont="1" applyFill="1" applyBorder="1" applyAlignment="1">
      <alignment horizontal="right"/>
    </xf>
    <xf numFmtId="4" fontId="0" fillId="0" borderId="60" xfId="46" applyNumberFormat="1" applyFont="1" applyFill="1" applyBorder="1" applyAlignment="1">
      <alignment horizontal="right" vertical="top"/>
      <protection/>
    </xf>
    <xf numFmtId="4" fontId="4" fillId="0" borderId="75" xfId="0" applyNumberFormat="1" applyFont="1" applyFill="1" applyBorder="1" applyAlignment="1">
      <alignment horizontal="right" vertical="top"/>
    </xf>
    <xf numFmtId="0" fontId="0" fillId="0" borderId="41" xfId="0" applyFont="1" applyFill="1" applyBorder="1" applyAlignment="1">
      <alignment vertical="top"/>
    </xf>
    <xf numFmtId="0" fontId="0" fillId="0" borderId="49" xfId="0" applyFont="1" applyFill="1" applyBorder="1" applyAlignment="1">
      <alignment vertical="top"/>
    </xf>
    <xf numFmtId="0" fontId="0" fillId="0" borderId="44" xfId="0" applyFont="1" applyFill="1" applyBorder="1" applyAlignment="1">
      <alignment vertical="top"/>
    </xf>
    <xf numFmtId="49" fontId="0" fillId="0" borderId="50" xfId="42" applyNumberFormat="1" applyFont="1" applyFill="1" applyBorder="1" applyAlignment="1">
      <alignment horizontal="right" vertical="center"/>
      <protection/>
    </xf>
    <xf numFmtId="49" fontId="0" fillId="0" borderId="24" xfId="42" applyNumberFormat="1" applyFont="1" applyFill="1" applyBorder="1" applyAlignment="1">
      <alignment horizontal="right" vertical="center"/>
      <protection/>
    </xf>
    <xf numFmtId="167" fontId="0" fillId="0" borderId="24" xfId="42" applyNumberFormat="1" applyFont="1" applyFill="1" applyBorder="1" applyAlignment="1">
      <alignment horizontal="right" vertical="center"/>
      <protection/>
    </xf>
    <xf numFmtId="0" fontId="0" fillId="0" borderId="24" xfId="42" applyFont="1" applyFill="1" applyBorder="1" applyAlignment="1">
      <alignment horizontal="right" vertical="center"/>
      <protection/>
    </xf>
    <xf numFmtId="0" fontId="0" fillId="0" borderId="60" xfId="42" applyFont="1" applyFill="1" applyBorder="1" applyAlignment="1">
      <alignment horizontal="right" vertical="center"/>
      <protection/>
    </xf>
    <xf numFmtId="4" fontId="0" fillId="0" borderId="51" xfId="0" applyNumberFormat="1" applyFont="1" applyFill="1" applyBorder="1" applyAlignment="1">
      <alignment horizontal="right" vertical="center"/>
    </xf>
    <xf numFmtId="4" fontId="0" fillId="0" borderId="57" xfId="0" applyNumberFormat="1" applyFont="1" applyFill="1" applyBorder="1" applyAlignment="1">
      <alignment horizontal="right" vertical="center"/>
    </xf>
    <xf numFmtId="4" fontId="0" fillId="0" borderId="16" xfId="0" applyNumberFormat="1" applyFont="1" applyFill="1" applyBorder="1" applyAlignment="1">
      <alignment horizontal="right" vertical="center"/>
    </xf>
    <xf numFmtId="49" fontId="0" fillId="0" borderId="21" xfId="42" applyNumberFormat="1" applyFont="1" applyFill="1" applyBorder="1" applyAlignment="1">
      <alignment horizontal="right" vertical="center"/>
      <protection/>
    </xf>
    <xf numFmtId="49" fontId="7" fillId="0" borderId="22" xfId="42" applyNumberFormat="1" applyFont="1" applyFill="1" applyBorder="1" applyAlignment="1">
      <alignment horizontal="right" vertical="center"/>
      <protection/>
    </xf>
    <xf numFmtId="0" fontId="0" fillId="0" borderId="22" xfId="42" applyFont="1" applyFill="1" applyBorder="1" applyAlignment="1">
      <alignment horizontal="right" vertical="center"/>
      <protection/>
    </xf>
    <xf numFmtId="49" fontId="0" fillId="0" borderId="22" xfId="42" applyNumberFormat="1" applyFont="1" applyFill="1" applyBorder="1" applyAlignment="1">
      <alignment horizontal="right" vertical="center"/>
      <protection/>
    </xf>
    <xf numFmtId="168" fontId="0" fillId="0" borderId="28" xfId="42" applyNumberFormat="1" applyFont="1" applyFill="1" applyBorder="1" applyAlignment="1">
      <alignment horizontal="right" vertical="center"/>
      <protection/>
    </xf>
    <xf numFmtId="4" fontId="0" fillId="0" borderId="27" xfId="42" applyNumberFormat="1" applyFont="1" applyFill="1" applyBorder="1" applyAlignment="1">
      <alignment horizontal="right" vertical="center"/>
      <protection/>
    </xf>
    <xf numFmtId="4" fontId="0" fillId="0" borderId="22" xfId="46" applyNumberFormat="1" applyFont="1" applyFill="1" applyBorder="1" applyAlignment="1" applyProtection="1">
      <alignment horizontal="right" vertical="center"/>
      <protection locked="0"/>
    </xf>
    <xf numFmtId="4" fontId="0" fillId="0" borderId="28" xfId="46" applyNumberFormat="1" applyFont="1" applyFill="1" applyBorder="1" applyAlignment="1" applyProtection="1">
      <alignment horizontal="right" vertical="center"/>
      <protection locked="0"/>
    </xf>
    <xf numFmtId="4" fontId="0" fillId="0" borderId="16" xfId="46" applyNumberFormat="1" applyFont="1" applyFill="1" applyBorder="1" applyAlignment="1">
      <alignment horizontal="right" vertical="center"/>
      <protection/>
    </xf>
    <xf numFmtId="4" fontId="0" fillId="0" borderId="32" xfId="46" applyNumberFormat="1" applyFont="1" applyFill="1" applyBorder="1" applyAlignment="1">
      <alignment horizontal="right" vertical="center"/>
      <protection/>
    </xf>
    <xf numFmtId="4" fontId="0" fillId="0" borderId="16" xfId="46" applyNumberFormat="1" applyFont="1" applyFill="1" applyBorder="1" applyAlignment="1" applyProtection="1">
      <alignment horizontal="right" vertical="center"/>
      <protection locked="0"/>
    </xf>
    <xf numFmtId="49" fontId="7" fillId="0" borderId="24" xfId="42" applyNumberFormat="1" applyFont="1" applyFill="1" applyBorder="1" applyAlignment="1">
      <alignment horizontal="right" vertical="center"/>
      <protection/>
    </xf>
    <xf numFmtId="167" fontId="0" fillId="34" borderId="24" xfId="42" applyNumberFormat="1" applyFont="1" applyFill="1" applyBorder="1" applyAlignment="1">
      <alignment horizontal="right" vertical="center"/>
      <protection/>
    </xf>
    <xf numFmtId="0" fontId="0" fillId="0" borderId="60" xfId="42" applyFont="1" applyFill="1" applyBorder="1" applyAlignment="1">
      <alignment horizontal="center" vertical="center"/>
      <protection/>
    </xf>
    <xf numFmtId="0" fontId="26" fillId="0" borderId="0" xfId="0" applyFont="1" applyAlignment="1">
      <alignment horizontal="right"/>
    </xf>
    <xf numFmtId="0" fontId="0" fillId="0" borderId="35" xfId="0" applyFont="1" applyBorder="1" applyAlignment="1">
      <alignment horizontal="left" vertical="top"/>
    </xf>
    <xf numFmtId="0" fontId="0" fillId="0" borderId="26" xfId="0" applyFont="1" applyBorder="1" applyAlignment="1">
      <alignment horizontal="left" vertical="top"/>
    </xf>
    <xf numFmtId="0" fontId="0" fillId="0" borderId="34" xfId="0" applyFont="1" applyBorder="1" applyAlignment="1">
      <alignment horizontal="left" vertical="top"/>
    </xf>
    <xf numFmtId="168" fontId="0" fillId="0" borderId="77" xfId="42" applyNumberFormat="1" applyFont="1" applyFill="1" applyBorder="1" applyAlignment="1">
      <alignment horizontal="center" vertical="top"/>
      <protection/>
    </xf>
    <xf numFmtId="168" fontId="0" fillId="48" borderId="83" xfId="42" applyNumberFormat="1" applyFont="1" applyFill="1" applyBorder="1" applyAlignment="1">
      <alignment horizontal="center" vertical="top"/>
      <protection/>
    </xf>
    <xf numFmtId="0" fontId="0" fillId="0" borderId="90" xfId="0" applyFont="1" applyBorder="1" applyAlignment="1">
      <alignment vertical="top"/>
    </xf>
    <xf numFmtId="0" fontId="0" fillId="0" borderId="91" xfId="0" applyFont="1" applyBorder="1" applyAlignment="1">
      <alignment vertical="top"/>
    </xf>
    <xf numFmtId="0" fontId="0" fillId="0" borderId="88" xfId="0" applyFont="1" applyBorder="1" applyAlignment="1">
      <alignment vertical="top"/>
    </xf>
    <xf numFmtId="4" fontId="0" fillId="0" borderId="84" xfId="42" applyNumberFormat="1" applyFont="1" applyFill="1" applyBorder="1" applyAlignment="1">
      <alignment horizontal="right" vertical="top"/>
      <protection/>
    </xf>
    <xf numFmtId="4" fontId="0" fillId="0" borderId="84" xfId="46" applyNumberFormat="1" applyFont="1" applyFill="1" applyBorder="1" applyAlignment="1" applyProtection="1">
      <alignment horizontal="right" vertical="top"/>
      <protection locked="0"/>
    </xf>
    <xf numFmtId="4" fontId="0" fillId="0" borderId="91" xfId="46" applyNumberFormat="1" applyFont="1" applyFill="1" applyBorder="1" applyAlignment="1" applyProtection="1">
      <alignment horizontal="right" vertical="top"/>
      <protection locked="0"/>
    </xf>
    <xf numFmtId="4" fontId="0" fillId="0" borderId="93" xfId="46" applyNumberFormat="1" applyFont="1" applyFill="1" applyBorder="1" applyAlignment="1" applyProtection="1">
      <alignment horizontal="right" vertical="top"/>
      <protection locked="0"/>
    </xf>
    <xf numFmtId="4" fontId="0" fillId="0" borderId="94" xfId="46" applyNumberFormat="1" applyFont="1" applyFill="1" applyBorder="1" applyAlignment="1" applyProtection="1">
      <alignment horizontal="right" vertical="top"/>
      <protection locked="0"/>
    </xf>
    <xf numFmtId="4" fontId="0" fillId="0" borderId="67" xfId="46" applyNumberFormat="1" applyFont="1" applyFill="1" applyBorder="1" applyAlignment="1" applyProtection="1">
      <alignment horizontal="right" vertical="top"/>
      <protection locked="0"/>
    </xf>
    <xf numFmtId="4" fontId="0" fillId="0" borderId="49" xfId="46" applyNumberFormat="1" applyFont="1" applyFill="1" applyBorder="1" applyAlignment="1" applyProtection="1">
      <alignment horizontal="right" vertical="top"/>
      <protection locked="0"/>
    </xf>
    <xf numFmtId="4" fontId="76" fillId="48" borderId="0" xfId="0" applyNumberFormat="1" applyFont="1" applyFill="1" applyBorder="1" applyAlignment="1">
      <alignment horizontal="right" vertical="center" wrapText="1" readingOrder="1"/>
    </xf>
    <xf numFmtId="4" fontId="76" fillId="48" borderId="95" xfId="0" applyNumberFormat="1" applyFont="1" applyFill="1" applyBorder="1" applyAlignment="1">
      <alignment horizontal="right" vertical="center" wrapText="1" readingOrder="1"/>
    </xf>
    <xf numFmtId="0" fontId="77" fillId="48" borderId="0" xfId="0" applyFont="1" applyFill="1" applyBorder="1" applyAlignment="1">
      <alignment horizontal="right" wrapText="1"/>
    </xf>
    <xf numFmtId="4" fontId="76" fillId="48" borderId="0" xfId="0" applyNumberFormat="1" applyFont="1" applyFill="1" applyBorder="1" applyAlignment="1">
      <alignment horizontal="right" wrapText="1" readingOrder="1"/>
    </xf>
    <xf numFmtId="4" fontId="77" fillId="48" borderId="0" xfId="0" applyNumberFormat="1" applyFont="1" applyFill="1" applyBorder="1" applyAlignment="1">
      <alignment horizontal="right" wrapText="1" readingOrder="1"/>
    </xf>
    <xf numFmtId="0" fontId="74" fillId="0" borderId="0" xfId="0" applyFont="1" applyFill="1" applyBorder="1" applyAlignment="1">
      <alignment/>
    </xf>
    <xf numFmtId="0" fontId="0" fillId="48" borderId="0" xfId="0" applyFont="1" applyFill="1" applyBorder="1" applyAlignment="1">
      <alignment/>
    </xf>
    <xf numFmtId="4" fontId="0" fillId="48" borderId="96" xfId="0" applyNumberFormat="1" applyFont="1" applyFill="1" applyBorder="1" applyAlignment="1">
      <alignment/>
    </xf>
    <xf numFmtId="49" fontId="0" fillId="0" borderId="97" xfId="42" applyNumberFormat="1" applyFont="1" applyFill="1" applyBorder="1" applyAlignment="1">
      <alignment horizontal="center"/>
      <protection/>
    </xf>
    <xf numFmtId="49" fontId="4" fillId="42" borderId="84" xfId="42" applyNumberFormat="1" applyFont="1" applyFill="1" applyBorder="1" applyAlignment="1">
      <alignment horizontal="center"/>
      <protection/>
    </xf>
    <xf numFmtId="49" fontId="0" fillId="47" borderId="84" xfId="42" applyNumberFormat="1" applyFont="1" applyFill="1" applyBorder="1" applyAlignment="1">
      <alignment horizontal="center"/>
      <protection/>
    </xf>
    <xf numFmtId="0" fontId="0" fillId="48" borderId="16" xfId="42" applyFont="1" applyFill="1" applyBorder="1" applyAlignment="1">
      <alignment horizontal="center"/>
      <protection/>
    </xf>
    <xf numFmtId="0" fontId="0" fillId="48" borderId="25" xfId="0" applyFont="1" applyFill="1" applyBorder="1" applyAlignment="1">
      <alignment/>
    </xf>
    <xf numFmtId="0" fontId="0" fillId="48" borderId="0" xfId="0" applyFont="1" applyFill="1" applyBorder="1" applyAlignment="1">
      <alignment horizontal="left" vertical="top"/>
    </xf>
    <xf numFmtId="0" fontId="0" fillId="48" borderId="76" xfId="0" applyFont="1" applyFill="1" applyBorder="1" applyAlignment="1">
      <alignment horizontal="left" vertical="top"/>
    </xf>
    <xf numFmtId="0" fontId="10" fillId="0" borderId="34" xfId="0" applyFont="1" applyBorder="1" applyAlignment="1">
      <alignment horizontal="left" vertical="top"/>
    </xf>
    <xf numFmtId="0" fontId="0" fillId="0" borderId="35" xfId="0" applyFont="1" applyBorder="1" applyAlignment="1">
      <alignment/>
    </xf>
    <xf numFmtId="0" fontId="0" fillId="0" borderId="35" xfId="45" applyFont="1" applyFill="1" applyBorder="1">
      <alignment/>
      <protection/>
    </xf>
    <xf numFmtId="0" fontId="12" fillId="0" borderId="26" xfId="0" applyFont="1" applyFill="1" applyBorder="1" applyAlignment="1">
      <alignment vertical="top"/>
    </xf>
    <xf numFmtId="169" fontId="10" fillId="48" borderId="18" xfId="45" applyNumberFormat="1" applyFont="1" applyFill="1" applyBorder="1" applyAlignment="1" applyProtection="1">
      <alignment horizontal="right" vertical="top"/>
      <protection locked="0"/>
    </xf>
    <xf numFmtId="0" fontId="10" fillId="0" borderId="35" xfId="0" applyFont="1" applyFill="1" applyBorder="1" applyAlignment="1">
      <alignment vertical="top"/>
    </xf>
    <xf numFmtId="167" fontId="10" fillId="0" borderId="16" xfId="45" applyNumberFormat="1" applyFont="1" applyFill="1" applyBorder="1" applyAlignment="1">
      <alignment horizontal="center" vertical="top"/>
      <protection/>
    </xf>
    <xf numFmtId="0" fontId="8" fillId="0" borderId="16" xfId="45" applyFont="1" applyBorder="1">
      <alignment/>
      <protection/>
    </xf>
    <xf numFmtId="4" fontId="4" fillId="42" borderId="35" xfId="42" applyNumberFormat="1" applyFont="1" applyFill="1" applyBorder="1" applyAlignment="1">
      <alignment horizontal="right" vertical="center"/>
      <protection/>
    </xf>
    <xf numFmtId="4" fontId="4" fillId="0" borderId="32" xfId="0" applyNumberFormat="1" applyFont="1" applyFill="1" applyBorder="1" applyAlignment="1">
      <alignment horizontal="right" vertical="center"/>
    </xf>
    <xf numFmtId="4" fontId="72" fillId="35" borderId="32" xfId="42" applyNumberFormat="1" applyFont="1" applyFill="1" applyBorder="1" applyAlignment="1">
      <alignment horizontal="right" vertical="top"/>
      <protection/>
    </xf>
    <xf numFmtId="4" fontId="4" fillId="0" borderId="35" xfId="42" applyNumberFormat="1" applyFont="1" applyFill="1" applyBorder="1" applyAlignment="1">
      <alignment horizontal="right" vertical="center"/>
      <protection/>
    </xf>
    <xf numFmtId="4" fontId="0" fillId="0" borderId="35" xfId="42" applyNumberFormat="1" applyFont="1" applyFill="1" applyBorder="1" applyAlignment="1">
      <alignment horizontal="right" vertical="center"/>
      <protection/>
    </xf>
    <xf numFmtId="4" fontId="4" fillId="34" borderId="35" xfId="42" applyNumberFormat="1" applyFont="1" applyFill="1" applyBorder="1" applyAlignment="1">
      <alignment horizontal="right" vertical="top"/>
      <protection/>
    </xf>
    <xf numFmtId="4" fontId="4" fillId="47" borderId="35" xfId="42" applyNumberFormat="1" applyFont="1" applyFill="1" applyBorder="1" applyAlignment="1">
      <alignment horizontal="right" vertical="top"/>
      <protection/>
    </xf>
    <xf numFmtId="4" fontId="4" fillId="0" borderId="32" xfId="0" applyNumberFormat="1" applyFont="1" applyFill="1" applyBorder="1" applyAlignment="1">
      <alignment horizontal="right"/>
    </xf>
    <xf numFmtId="4" fontId="4" fillId="0" borderId="35" xfId="42" applyNumberFormat="1" applyFont="1" applyFill="1" applyBorder="1" applyAlignment="1">
      <alignment horizontal="right" vertical="top"/>
      <protection/>
    </xf>
    <xf numFmtId="4" fontId="4" fillId="48" borderId="32" xfId="42" applyNumberFormat="1" applyFont="1" applyFill="1" applyBorder="1" applyAlignment="1">
      <alignment horizontal="right" vertical="top"/>
      <protection/>
    </xf>
    <xf numFmtId="4" fontId="4" fillId="50" borderId="32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4" fillId="47" borderId="41" xfId="42" applyNumberFormat="1" applyFont="1" applyFill="1" applyBorder="1" applyAlignment="1">
      <alignment horizontal="right" vertical="top"/>
      <protection/>
    </xf>
    <xf numFmtId="4" fontId="4" fillId="0" borderId="35" xfId="0" applyNumberFormat="1" applyFont="1" applyFill="1" applyBorder="1" applyAlignment="1">
      <alignment horizontal="right"/>
    </xf>
    <xf numFmtId="4" fontId="4" fillId="50" borderId="57" xfId="0" applyNumberFormat="1" applyFont="1" applyFill="1" applyBorder="1" applyAlignment="1">
      <alignment horizontal="right" vertical="center"/>
    </xf>
    <xf numFmtId="4" fontId="0" fillId="0" borderId="35" xfId="46" applyNumberFormat="1" applyFont="1" applyFill="1" applyBorder="1" applyAlignment="1" applyProtection="1">
      <alignment horizontal="right" vertical="center"/>
      <protection locked="0"/>
    </xf>
    <xf numFmtId="0" fontId="4" fillId="48" borderId="98" xfId="0" applyFont="1" applyFill="1" applyBorder="1" applyAlignment="1">
      <alignment horizontal="center" vertical="center" wrapText="1"/>
    </xf>
    <xf numFmtId="4" fontId="72" fillId="35" borderId="16" xfId="42" applyNumberFormat="1" applyFont="1" applyFill="1" applyBorder="1" applyAlignment="1">
      <alignment horizontal="right" vertical="center"/>
      <protection/>
    </xf>
    <xf numFmtId="4" fontId="72" fillId="35" borderId="16" xfId="42" applyNumberFormat="1" applyFont="1" applyFill="1" applyBorder="1" applyAlignment="1">
      <alignment horizontal="right" vertical="top"/>
      <protection/>
    </xf>
    <xf numFmtId="4" fontId="4" fillId="34" borderId="16" xfId="42" applyNumberFormat="1" applyFont="1" applyFill="1" applyBorder="1" applyAlignment="1">
      <alignment horizontal="right" vertical="center"/>
      <protection/>
    </xf>
    <xf numFmtId="4" fontId="4" fillId="0" borderId="16" xfId="0" applyNumberFormat="1" applyFont="1" applyFill="1" applyBorder="1" applyAlignment="1">
      <alignment horizontal="right" vertical="top"/>
    </xf>
    <xf numFmtId="4" fontId="4" fillId="0" borderId="16" xfId="46" applyNumberFormat="1" applyFont="1" applyFill="1" applyBorder="1" applyAlignment="1" applyProtection="1">
      <alignment horizontal="right" vertical="top"/>
      <protection locked="0"/>
    </xf>
    <xf numFmtId="4" fontId="72" fillId="35" borderId="16" xfId="42" applyNumberFormat="1" applyFont="1" applyFill="1" applyBorder="1" applyAlignment="1">
      <alignment vertical="center"/>
      <protection/>
    </xf>
    <xf numFmtId="4" fontId="72" fillId="35" borderId="16" xfId="0" applyNumberFormat="1" applyFont="1" applyFill="1" applyBorder="1" applyAlignment="1">
      <alignment vertical="center"/>
    </xf>
    <xf numFmtId="4" fontId="4" fillId="0" borderId="16" xfId="0" applyNumberFormat="1" applyFont="1" applyFill="1" applyBorder="1" applyAlignment="1">
      <alignment horizontal="right" vertical="center"/>
    </xf>
    <xf numFmtId="4" fontId="0" fillId="48" borderId="16" xfId="42" applyNumberFormat="1" applyFont="1" applyFill="1" applyBorder="1" applyAlignment="1" applyProtection="1">
      <alignment horizontal="right" vertical="center"/>
      <protection locked="0"/>
    </xf>
    <xf numFmtId="4" fontId="0" fillId="47" borderId="16" xfId="42" applyNumberFormat="1" applyFont="1" applyFill="1" applyBorder="1" applyAlignment="1" applyProtection="1">
      <alignment horizontal="right" vertical="center"/>
      <protection locked="0"/>
    </xf>
    <xf numFmtId="4" fontId="4" fillId="42" borderId="16" xfId="42" applyNumberFormat="1" applyFont="1" applyFill="1" applyBorder="1" applyAlignment="1" applyProtection="1">
      <alignment horizontal="right" vertical="center"/>
      <protection locked="0"/>
    </xf>
    <xf numFmtId="4" fontId="4" fillId="48" borderId="16" xfId="42" applyNumberFormat="1" applyFont="1" applyFill="1" applyBorder="1" applyAlignment="1">
      <alignment horizontal="right" vertical="top"/>
      <protection/>
    </xf>
    <xf numFmtId="4" fontId="0" fillId="48" borderId="16" xfId="42" applyNumberFormat="1" applyFont="1" applyFill="1" applyBorder="1" applyAlignment="1">
      <alignment horizontal="right" vertical="center"/>
      <protection/>
    </xf>
    <xf numFmtId="4" fontId="4" fillId="47" borderId="16" xfId="42" applyNumberFormat="1" applyFont="1" applyFill="1" applyBorder="1" applyAlignment="1">
      <alignment horizontal="right" vertical="center"/>
      <protection/>
    </xf>
    <xf numFmtId="4" fontId="4" fillId="33" borderId="16" xfId="42" applyNumberFormat="1" applyFont="1" applyFill="1" applyBorder="1" applyAlignment="1">
      <alignment horizontal="right" vertical="center"/>
      <protection/>
    </xf>
    <xf numFmtId="4" fontId="0" fillId="39" borderId="16" xfId="42" applyNumberFormat="1" applyFont="1" applyFill="1" applyBorder="1" applyAlignment="1">
      <alignment horizontal="right" vertical="center"/>
      <protection/>
    </xf>
    <xf numFmtId="4" fontId="75" fillId="42" borderId="16" xfId="42" applyNumberFormat="1" applyFont="1" applyFill="1" applyBorder="1" applyAlignment="1">
      <alignment horizontal="right" vertical="center"/>
      <protection/>
    </xf>
    <xf numFmtId="0" fontId="0" fillId="0" borderId="0" xfId="61" applyFont="1" applyAlignment="1">
      <alignment horizontal="center"/>
      <protection/>
    </xf>
    <xf numFmtId="0" fontId="0" fillId="0" borderId="0" xfId="45" applyFont="1" applyBorder="1" applyAlignment="1">
      <alignment horizontal="center"/>
      <protection/>
    </xf>
    <xf numFmtId="0" fontId="5" fillId="0" borderId="11" xfId="0" applyFont="1" applyBorder="1" applyAlignment="1">
      <alignment horizontal="center" textRotation="90"/>
    </xf>
    <xf numFmtId="0" fontId="4" fillId="33" borderId="16" xfId="45" applyFont="1" applyFill="1" applyBorder="1" applyAlignment="1">
      <alignment horizontal="center"/>
      <protection/>
    </xf>
    <xf numFmtId="0" fontId="7" fillId="0" borderId="16" xfId="45" applyFont="1" applyBorder="1" applyAlignment="1">
      <alignment horizontal="center"/>
      <protection/>
    </xf>
    <xf numFmtId="175" fontId="12" fillId="0" borderId="16" xfId="45" applyNumberFormat="1" applyFont="1" applyBorder="1" applyAlignment="1">
      <alignment horizontal="center" vertical="top"/>
      <protection/>
    </xf>
    <xf numFmtId="175" fontId="12" fillId="0" borderId="16" xfId="45" applyNumberFormat="1" applyFont="1" applyFill="1" applyBorder="1" applyAlignment="1">
      <alignment horizontal="center" vertical="top"/>
      <protection/>
    </xf>
    <xf numFmtId="0" fontId="7" fillId="0" borderId="16" xfId="45" applyFont="1" applyFill="1" applyBorder="1" applyAlignment="1">
      <alignment horizontal="center"/>
      <protection/>
    </xf>
    <xf numFmtId="176" fontId="12" fillId="0" borderId="35" xfId="45" applyNumberFormat="1" applyFont="1" applyFill="1" applyBorder="1" applyAlignment="1">
      <alignment horizontal="center" vertical="top"/>
      <protection/>
    </xf>
    <xf numFmtId="175" fontId="10" fillId="0" borderId="16" xfId="45" applyNumberFormat="1" applyFont="1" applyBorder="1" applyAlignment="1">
      <alignment horizontal="center" vertical="top"/>
      <protection/>
    </xf>
    <xf numFmtId="0" fontId="0" fillId="0" borderId="16" xfId="45" applyFont="1" applyBorder="1" applyAlignment="1">
      <alignment horizontal="center"/>
      <protection/>
    </xf>
    <xf numFmtId="0" fontId="0" fillId="0" borderId="16" xfId="45" applyFont="1" applyBorder="1" applyAlignment="1">
      <alignment horizontal="center"/>
      <protection/>
    </xf>
    <xf numFmtId="167" fontId="11" fillId="33" borderId="16" xfId="45" applyNumberFormat="1" applyFont="1" applyFill="1" applyBorder="1" applyAlignment="1">
      <alignment horizontal="center" vertical="top"/>
      <protection/>
    </xf>
    <xf numFmtId="0" fontId="4" fillId="0" borderId="16" xfId="45" applyFont="1" applyBorder="1" applyAlignment="1">
      <alignment horizontal="center"/>
      <protection/>
    </xf>
    <xf numFmtId="0" fontId="0" fillId="0" borderId="25" xfId="45" applyFont="1" applyBorder="1" applyAlignment="1">
      <alignment horizontal="center"/>
      <protection/>
    </xf>
    <xf numFmtId="0" fontId="4" fillId="0" borderId="36" xfId="45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171" fontId="4" fillId="0" borderId="99" xfId="45" applyNumberFormat="1" applyFont="1" applyBorder="1" applyAlignment="1">
      <alignment horizontal="right" vertical="center"/>
      <protection/>
    </xf>
    <xf numFmtId="171" fontId="9" fillId="35" borderId="100" xfId="45" applyNumberFormat="1" applyFont="1" applyFill="1" applyBorder="1" applyAlignment="1">
      <alignment horizontal="right" vertical="top"/>
      <protection/>
    </xf>
    <xf numFmtId="4" fontId="4" fillId="33" borderId="100" xfId="45" applyNumberFormat="1" applyFont="1" applyFill="1" applyBorder="1">
      <alignment/>
      <protection/>
    </xf>
    <xf numFmtId="165" fontId="7" fillId="0" borderId="100" xfId="45" applyNumberFormat="1" applyFont="1" applyBorder="1" applyAlignment="1">
      <alignment horizontal="right" vertical="top"/>
      <protection/>
    </xf>
    <xf numFmtId="165" fontId="12" fillId="0" borderId="100" xfId="45" applyNumberFormat="1" applyFont="1" applyFill="1" applyBorder="1" applyAlignment="1" applyProtection="1">
      <alignment horizontal="right" vertical="top"/>
      <protection locked="0"/>
    </xf>
    <xf numFmtId="169" fontId="8" fillId="33" borderId="100" xfId="45" applyNumberFormat="1" applyFont="1" applyFill="1" applyBorder="1" applyAlignment="1">
      <alignment horizontal="right" vertical="top"/>
      <protection/>
    </xf>
    <xf numFmtId="169" fontId="7" fillId="0" borderId="100" xfId="45" applyNumberFormat="1" applyFont="1" applyBorder="1" applyAlignment="1">
      <alignment horizontal="right" vertical="top"/>
      <protection/>
    </xf>
    <xf numFmtId="169" fontId="12" fillId="0" borderId="100" xfId="45" applyNumberFormat="1" applyFont="1" applyBorder="1" applyAlignment="1" applyProtection="1">
      <alignment horizontal="right" vertical="top"/>
      <protection locked="0"/>
    </xf>
    <xf numFmtId="165" fontId="8" fillId="33" borderId="100" xfId="45" applyNumberFormat="1" applyFont="1" applyFill="1" applyBorder="1" applyAlignment="1">
      <alignment horizontal="right" vertical="top"/>
      <protection/>
    </xf>
    <xf numFmtId="166" fontId="7" fillId="0" borderId="100" xfId="45" applyNumberFormat="1" applyFont="1" applyBorder="1" applyAlignment="1">
      <alignment horizontal="right" vertical="top"/>
      <protection/>
    </xf>
    <xf numFmtId="166" fontId="12" fillId="0" borderId="100" xfId="45" applyNumberFormat="1" applyFont="1" applyFill="1" applyBorder="1" applyAlignment="1" applyProtection="1">
      <alignment horizontal="right" vertical="top"/>
      <protection locked="0"/>
    </xf>
    <xf numFmtId="169" fontId="10" fillId="0" borderId="100" xfId="45" applyNumberFormat="1" applyFont="1" applyBorder="1" applyAlignment="1">
      <alignment horizontal="right" vertical="top"/>
      <protection/>
    </xf>
    <xf numFmtId="170" fontId="10" fillId="0" borderId="100" xfId="45" applyNumberFormat="1" applyFont="1" applyBorder="1" applyAlignment="1">
      <alignment horizontal="right" vertical="top"/>
      <protection/>
    </xf>
    <xf numFmtId="170" fontId="12" fillId="0" borderId="100" xfId="45" applyNumberFormat="1" applyFont="1" applyBorder="1" applyAlignment="1" applyProtection="1">
      <alignment horizontal="right" vertical="top"/>
      <protection locked="0"/>
    </xf>
    <xf numFmtId="166" fontId="8" fillId="33" borderId="100" xfId="45" applyNumberFormat="1" applyFont="1" applyFill="1" applyBorder="1" applyAlignment="1">
      <alignment horizontal="right" vertical="top"/>
      <protection/>
    </xf>
    <xf numFmtId="170" fontId="7" fillId="0" borderId="100" xfId="45" applyNumberFormat="1" applyFont="1" applyBorder="1" applyAlignment="1">
      <alignment horizontal="right" vertical="top"/>
      <protection/>
    </xf>
    <xf numFmtId="170" fontId="0" fillId="0" borderId="100" xfId="45" applyNumberFormat="1" applyFont="1" applyFill="1" applyBorder="1" applyAlignment="1" applyProtection="1">
      <alignment horizontal="right" vertical="top"/>
      <protection locked="0"/>
    </xf>
    <xf numFmtId="166" fontId="12" fillId="0" borderId="100" xfId="45" applyNumberFormat="1" applyFont="1" applyBorder="1" applyAlignment="1" applyProtection="1">
      <alignment horizontal="right" vertical="top"/>
      <protection locked="0"/>
    </xf>
    <xf numFmtId="166" fontId="0" fillId="0" borderId="100" xfId="45" applyNumberFormat="1" applyFont="1" applyFill="1" applyBorder="1" applyAlignment="1" applyProtection="1">
      <alignment horizontal="right" vertical="top"/>
      <protection locked="0"/>
    </xf>
    <xf numFmtId="165" fontId="12" fillId="0" borderId="100" xfId="45" applyNumberFormat="1" applyFont="1" applyBorder="1" applyAlignment="1">
      <alignment horizontal="right" vertical="top"/>
      <protection/>
    </xf>
    <xf numFmtId="169" fontId="12" fillId="0" borderId="100" xfId="45" applyNumberFormat="1" applyFont="1" applyFill="1" applyBorder="1" applyAlignment="1" applyProtection="1">
      <alignment horizontal="right" vertical="top"/>
      <protection locked="0"/>
    </xf>
    <xf numFmtId="169" fontId="10" fillId="0" borderId="100" xfId="45" applyNumberFormat="1" applyFont="1" applyFill="1" applyBorder="1" applyAlignment="1" applyProtection="1">
      <alignment horizontal="right" vertical="top"/>
      <protection locked="0"/>
    </xf>
    <xf numFmtId="169" fontId="12" fillId="48" borderId="100" xfId="45" applyNumberFormat="1" applyFont="1" applyFill="1" applyBorder="1" applyAlignment="1" applyProtection="1">
      <alignment horizontal="right" vertical="top"/>
      <protection locked="0"/>
    </xf>
    <xf numFmtId="169" fontId="10" fillId="48" borderId="100" xfId="45" applyNumberFormat="1" applyFont="1" applyFill="1" applyBorder="1" applyAlignment="1" applyProtection="1">
      <alignment horizontal="right" vertical="top"/>
      <protection locked="0"/>
    </xf>
    <xf numFmtId="170" fontId="7" fillId="0" borderId="100" xfId="45" applyNumberFormat="1" applyFont="1" applyBorder="1" applyAlignment="1" applyProtection="1">
      <alignment horizontal="right" vertical="top"/>
      <protection locked="0"/>
    </xf>
    <xf numFmtId="170" fontId="0" fillId="0" borderId="100" xfId="45" applyNumberFormat="1" applyFont="1" applyBorder="1" applyAlignment="1" applyProtection="1">
      <alignment horizontal="right" vertical="top"/>
      <protection locked="0"/>
    </xf>
    <xf numFmtId="169" fontId="0" fillId="0" borderId="100" xfId="45" applyNumberFormat="1" applyFont="1" applyFill="1" applyBorder="1" applyAlignment="1" applyProtection="1">
      <alignment horizontal="right" vertical="top"/>
      <protection locked="0"/>
    </xf>
    <xf numFmtId="169" fontId="0" fillId="0" borderId="100" xfId="45" applyNumberFormat="1" applyFont="1" applyBorder="1" applyAlignment="1">
      <alignment horizontal="right" vertical="top"/>
      <protection/>
    </xf>
    <xf numFmtId="169" fontId="0" fillId="0" borderId="100" xfId="45" applyNumberFormat="1" applyFont="1" applyFill="1" applyBorder="1" applyAlignment="1">
      <alignment horizontal="right" vertical="top"/>
      <protection/>
    </xf>
    <xf numFmtId="169" fontId="0" fillId="0" borderId="100" xfId="45" applyNumberFormat="1" applyFont="1" applyFill="1" applyBorder="1" applyAlignment="1" applyProtection="1">
      <alignment horizontal="right" vertical="top"/>
      <protection locked="0"/>
    </xf>
    <xf numFmtId="166" fontId="0" fillId="0" borderId="100" xfId="45" applyNumberFormat="1" applyFont="1" applyBorder="1" applyAlignment="1" applyProtection="1">
      <alignment horizontal="right" vertical="top"/>
      <protection locked="0"/>
    </xf>
    <xf numFmtId="169" fontId="9" fillId="35" borderId="100" xfId="45" applyNumberFormat="1" applyFont="1" applyFill="1" applyBorder="1" applyAlignment="1">
      <alignment horizontal="right" vertical="top"/>
      <protection/>
    </xf>
    <xf numFmtId="169" fontId="0" fillId="0" borderId="100" xfId="45" applyNumberFormat="1" applyFont="1" applyBorder="1" applyAlignment="1" applyProtection="1">
      <alignment horizontal="right" vertical="top"/>
      <protection locked="0"/>
    </xf>
    <xf numFmtId="172" fontId="4" fillId="0" borderId="100" xfId="45" applyNumberFormat="1" applyFont="1" applyBorder="1" applyAlignment="1">
      <alignment horizontal="right" vertical="top"/>
      <protection/>
    </xf>
    <xf numFmtId="172" fontId="9" fillId="35" borderId="100" xfId="45" applyNumberFormat="1" applyFont="1" applyFill="1" applyBorder="1" applyAlignment="1">
      <alignment horizontal="right" vertical="top"/>
      <protection/>
    </xf>
    <xf numFmtId="172" fontId="4" fillId="0" borderId="100" xfId="45" applyNumberFormat="1" applyFont="1" applyFill="1" applyBorder="1" applyAlignment="1">
      <alignment horizontal="right" vertical="top"/>
      <protection/>
    </xf>
    <xf numFmtId="172" fontId="11" fillId="0" borderId="100" xfId="45" applyNumberFormat="1" applyFont="1" applyBorder="1" applyAlignment="1" applyProtection="1">
      <alignment horizontal="right" vertical="top"/>
      <protection locked="0"/>
    </xf>
    <xf numFmtId="172" fontId="12" fillId="0" borderId="100" xfId="45" applyNumberFormat="1" applyFont="1" applyBorder="1" applyAlignment="1" applyProtection="1">
      <alignment horizontal="right" vertical="top"/>
      <protection locked="0"/>
    </xf>
    <xf numFmtId="172" fontId="0" fillId="0" borderId="100" xfId="45" applyNumberFormat="1" applyFont="1" applyFill="1" applyBorder="1">
      <alignment/>
      <protection/>
    </xf>
    <xf numFmtId="172" fontId="10" fillId="0" borderId="100" xfId="45" applyNumberFormat="1" applyFont="1" applyBorder="1" applyAlignment="1" applyProtection="1">
      <alignment horizontal="right" vertical="top"/>
      <protection locked="0"/>
    </xf>
    <xf numFmtId="172" fontId="4" fillId="0" borderId="101" xfId="45" applyNumberFormat="1" applyFont="1" applyBorder="1" applyAlignment="1">
      <alignment horizontal="right" vertical="top"/>
      <protection/>
    </xf>
    <xf numFmtId="172" fontId="4" fillId="0" borderId="101" xfId="45" applyNumberFormat="1" applyFont="1" applyBorder="1">
      <alignment/>
      <protection/>
    </xf>
    <xf numFmtId="171" fontId="4" fillId="0" borderId="100" xfId="45" applyNumberFormat="1" applyFont="1" applyFill="1" applyBorder="1">
      <alignment/>
      <protection/>
    </xf>
    <xf numFmtId="172" fontId="0" fillId="0" borderId="101" xfId="45" applyNumberFormat="1" applyFont="1" applyBorder="1">
      <alignment/>
      <protection/>
    </xf>
    <xf numFmtId="171" fontId="4" fillId="0" borderId="38" xfId="45" applyNumberFormat="1" applyFont="1" applyFill="1" applyBorder="1">
      <alignment/>
      <protection/>
    </xf>
    <xf numFmtId="4" fontId="4" fillId="0" borderId="0" xfId="0" applyNumberFormat="1" applyFont="1" applyAlignment="1">
      <alignment horizontal="right"/>
    </xf>
    <xf numFmtId="4" fontId="0" fillId="0" borderId="0" xfId="42" applyNumberFormat="1" applyFont="1" applyBorder="1" applyAlignment="1">
      <alignment horizontal="right"/>
      <protection/>
    </xf>
    <xf numFmtId="4" fontId="4" fillId="14" borderId="87" xfId="0" applyNumberFormat="1" applyFont="1" applyFill="1" applyBorder="1" applyAlignment="1">
      <alignment horizontal="right"/>
    </xf>
    <xf numFmtId="4" fontId="72" fillId="35" borderId="76" xfId="0" applyNumberFormat="1" applyFont="1" applyFill="1" applyBorder="1" applyAlignment="1">
      <alignment horizontal="right" vertical="top"/>
    </xf>
    <xf numFmtId="4" fontId="75" fillId="47" borderId="76" xfId="0" applyNumberFormat="1" applyFont="1" applyFill="1" applyBorder="1" applyAlignment="1">
      <alignment horizontal="right" vertical="top"/>
    </xf>
    <xf numFmtId="4" fontId="4" fillId="42" borderId="51" xfId="0" applyNumberFormat="1" applyFont="1" applyFill="1" applyBorder="1" applyAlignment="1">
      <alignment horizontal="right" vertical="top"/>
    </xf>
    <xf numFmtId="4" fontId="0" fillId="0" borderId="27" xfId="0" applyNumberFormat="1" applyFont="1" applyBorder="1" applyAlignment="1">
      <alignment horizontal="right" vertical="top"/>
    </xf>
    <xf numFmtId="4" fontId="0" fillId="0" borderId="75" xfId="0" applyNumberFormat="1" applyFont="1" applyBorder="1" applyAlignment="1">
      <alignment horizontal="right" vertical="top"/>
    </xf>
    <xf numFmtId="4" fontId="4" fillId="47" borderId="51" xfId="0" applyNumberFormat="1" applyFont="1" applyFill="1" applyBorder="1" applyAlignment="1">
      <alignment horizontal="right" vertical="top"/>
    </xf>
    <xf numFmtId="4" fontId="0" fillId="0" borderId="32" xfId="0" applyNumberFormat="1" applyFont="1" applyBorder="1" applyAlignment="1">
      <alignment horizontal="right" vertical="top"/>
    </xf>
    <xf numFmtId="4" fontId="0" fillId="0" borderId="68" xfId="0" applyNumberFormat="1" applyFont="1" applyBorder="1" applyAlignment="1">
      <alignment horizontal="right" vertical="top"/>
    </xf>
    <xf numFmtId="4" fontId="0" fillId="0" borderId="35" xfId="0" applyNumberFormat="1" applyFont="1" applyBorder="1" applyAlignment="1">
      <alignment horizontal="right" vertical="top"/>
    </xf>
    <xf numFmtId="4" fontId="0" fillId="0" borderId="86" xfId="0" applyNumberFormat="1" applyFont="1" applyBorder="1" applyAlignment="1">
      <alignment horizontal="right" vertical="top"/>
    </xf>
    <xf numFmtId="4" fontId="72" fillId="35" borderId="51" xfId="0" applyNumberFormat="1" applyFont="1" applyFill="1" applyBorder="1" applyAlignment="1">
      <alignment horizontal="right" vertical="center"/>
    </xf>
    <xf numFmtId="4" fontId="0" fillId="0" borderId="51" xfId="0" applyNumberFormat="1" applyFont="1" applyBorder="1" applyAlignment="1">
      <alignment horizontal="right" vertical="top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Fill="1" applyBorder="1" applyAlignment="1">
      <alignment horizontal="right" vertical="top"/>
    </xf>
    <xf numFmtId="4" fontId="0" fillId="48" borderId="27" xfId="0" applyNumberFormat="1" applyFont="1" applyFill="1" applyBorder="1" applyAlignment="1">
      <alignment horizontal="right" vertical="top"/>
    </xf>
    <xf numFmtId="4" fontId="0" fillId="48" borderId="75" xfId="0" applyNumberFormat="1" applyFont="1" applyFill="1" applyBorder="1" applyAlignment="1">
      <alignment horizontal="right" vertical="top"/>
    </xf>
    <xf numFmtId="4" fontId="0" fillId="48" borderId="76" xfId="0" applyNumberFormat="1" applyFont="1" applyFill="1" applyBorder="1" applyAlignment="1">
      <alignment horizontal="right" vertical="top"/>
    </xf>
    <xf numFmtId="4" fontId="72" fillId="35" borderId="51" xfId="0" applyNumberFormat="1" applyFont="1" applyFill="1" applyBorder="1" applyAlignment="1">
      <alignment horizontal="right" vertical="top"/>
    </xf>
    <xf numFmtId="4" fontId="0" fillId="0" borderId="27" xfId="0" applyNumberFormat="1" applyFont="1" applyFill="1" applyBorder="1" applyAlignment="1">
      <alignment horizontal="right"/>
    </xf>
    <xf numFmtId="4" fontId="0" fillId="0" borderId="75" xfId="0" applyNumberFormat="1" applyFont="1" applyFill="1" applyBorder="1" applyAlignment="1">
      <alignment horizontal="right"/>
    </xf>
    <xf numFmtId="4" fontId="4" fillId="47" borderId="76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 wrapText="1"/>
    </xf>
    <xf numFmtId="4" fontId="0" fillId="0" borderId="0" xfId="0" applyNumberFormat="1" applyFont="1" applyFill="1" applyBorder="1" applyAlignment="1">
      <alignment horizontal="right" vertical="top" wrapText="1"/>
    </xf>
    <xf numFmtId="4" fontId="0" fillId="0" borderId="51" xfId="0" applyNumberFormat="1" applyFont="1" applyFill="1" applyBorder="1" applyAlignment="1">
      <alignment horizontal="right" vertical="top" wrapText="1"/>
    </xf>
    <xf numFmtId="4" fontId="0" fillId="0" borderId="91" xfId="0" applyNumberFormat="1" applyFont="1" applyFill="1" applyBorder="1" applyAlignment="1">
      <alignment horizontal="right" vertical="top" wrapText="1"/>
    </xf>
    <xf numFmtId="4" fontId="0" fillId="0" borderId="51" xfId="0" applyNumberFormat="1" applyFont="1" applyBorder="1" applyAlignment="1">
      <alignment horizontal="right"/>
    </xf>
    <xf numFmtId="4" fontId="0" fillId="0" borderId="102" xfId="0" applyNumberFormat="1" applyFont="1" applyFill="1" applyBorder="1" applyAlignment="1">
      <alignment horizontal="right" vertical="top"/>
    </xf>
    <xf numFmtId="4" fontId="0" fillId="47" borderId="0" xfId="0" applyNumberFormat="1" applyFont="1" applyFill="1" applyBorder="1" applyAlignment="1">
      <alignment horizontal="right"/>
    </xf>
    <xf numFmtId="4" fontId="75" fillId="42" borderId="76" xfId="0" applyNumberFormat="1" applyFont="1" applyFill="1" applyBorder="1" applyAlignment="1">
      <alignment horizontal="right" vertical="top"/>
    </xf>
    <xf numFmtId="4" fontId="0" fillId="0" borderId="76" xfId="0" applyNumberFormat="1" applyFont="1" applyBorder="1" applyAlignment="1">
      <alignment horizontal="right" vertical="top"/>
    </xf>
    <xf numFmtId="4" fontId="0" fillId="0" borderId="27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 vertical="top"/>
    </xf>
    <xf numFmtId="4" fontId="0" fillId="0" borderId="75" xfId="0" applyNumberFormat="1" applyFont="1" applyFill="1" applyBorder="1" applyAlignment="1">
      <alignment horizontal="right" vertical="top"/>
    </xf>
    <xf numFmtId="4" fontId="4" fillId="47" borderId="51" xfId="0" applyNumberFormat="1" applyFont="1" applyFill="1" applyBorder="1" applyAlignment="1">
      <alignment horizontal="right" vertical="top" wrapText="1"/>
    </xf>
    <xf numFmtId="4" fontId="4" fillId="47" borderId="0" xfId="0" applyNumberFormat="1" applyFont="1" applyFill="1" applyBorder="1" applyAlignment="1">
      <alignment horizontal="right" vertical="top"/>
    </xf>
    <xf numFmtId="4" fontId="0" fillId="0" borderId="0" xfId="0" applyNumberFormat="1" applyFont="1" applyFill="1" applyBorder="1" applyAlignment="1">
      <alignment horizontal="right"/>
    </xf>
    <xf numFmtId="4" fontId="0" fillId="0" borderId="76" xfId="0" applyNumberFormat="1" applyFont="1" applyFill="1" applyBorder="1" applyAlignment="1">
      <alignment horizontal="right" vertical="top"/>
    </xf>
    <xf numFmtId="4" fontId="4" fillId="0" borderId="51" xfId="0" applyNumberFormat="1" applyFont="1" applyFill="1" applyBorder="1" applyAlignment="1">
      <alignment horizontal="right" vertical="top" wrapText="1"/>
    </xf>
    <xf numFmtId="4" fontId="0" fillId="0" borderId="51" xfId="0" applyNumberFormat="1" applyFont="1" applyFill="1" applyBorder="1" applyAlignment="1">
      <alignment horizontal="right" vertical="center" wrapText="1"/>
    </xf>
    <xf numFmtId="4" fontId="75" fillId="42" borderId="51" xfId="0" applyNumberFormat="1" applyFont="1" applyFill="1" applyBorder="1" applyAlignment="1">
      <alignment horizontal="right" vertical="top"/>
    </xf>
    <xf numFmtId="4" fontId="0" fillId="0" borderId="75" xfId="0" applyNumberFormat="1" applyFont="1" applyFill="1" applyBorder="1" applyAlignment="1">
      <alignment horizontal="right" vertical="center"/>
    </xf>
    <xf numFmtId="4" fontId="0" fillId="0" borderId="44" xfId="0" applyNumberFormat="1" applyFont="1" applyFill="1" applyBorder="1" applyAlignment="1">
      <alignment horizontal="right" vertical="top"/>
    </xf>
    <xf numFmtId="4" fontId="4" fillId="47" borderId="51" xfId="0" applyNumberFormat="1" applyFont="1" applyFill="1" applyBorder="1" applyAlignment="1">
      <alignment horizontal="right" vertical="center"/>
    </xf>
    <xf numFmtId="4" fontId="0" fillId="0" borderId="76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top"/>
    </xf>
    <xf numFmtId="4" fontId="0" fillId="0" borderId="34" xfId="0" applyNumberFormat="1" applyFont="1" applyFill="1" applyBorder="1" applyAlignment="1">
      <alignment horizontal="right" vertical="top"/>
    </xf>
    <xf numFmtId="4" fontId="4" fillId="33" borderId="0" xfId="42" applyNumberFormat="1" applyFont="1" applyFill="1" applyBorder="1" applyAlignment="1">
      <alignment horizontal="right"/>
      <protection/>
    </xf>
    <xf numFmtId="4" fontId="4" fillId="33" borderId="57" xfId="42" applyNumberFormat="1" applyFont="1" applyFill="1" applyBorder="1" applyAlignment="1">
      <alignment horizontal="right"/>
      <protection/>
    </xf>
    <xf numFmtId="4" fontId="4" fillId="33" borderId="51" xfId="0" applyNumberFormat="1" applyFont="1" applyFill="1" applyBorder="1" applyAlignment="1">
      <alignment horizontal="right" vertical="top"/>
    </xf>
    <xf numFmtId="4" fontId="0" fillId="39" borderId="32" xfId="42" applyNumberFormat="1" applyFont="1" applyFill="1" applyBorder="1" applyAlignment="1">
      <alignment horizontal="right"/>
      <protection/>
    </xf>
    <xf numFmtId="4" fontId="0" fillId="0" borderId="32" xfId="0" applyNumberFormat="1" applyFont="1" applyFill="1" applyBorder="1" applyAlignment="1">
      <alignment horizontal="right"/>
    </xf>
    <xf numFmtId="4" fontId="0" fillId="0" borderId="57" xfId="0" applyNumberFormat="1" applyFont="1" applyBorder="1" applyAlignment="1">
      <alignment horizontal="right"/>
    </xf>
    <xf numFmtId="4" fontId="0" fillId="0" borderId="75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 horizontal="right" vertical="top"/>
    </xf>
    <xf numFmtId="4" fontId="0" fillId="39" borderId="103" xfId="42" applyNumberFormat="1" applyFont="1" applyFill="1" applyBorder="1" applyAlignment="1">
      <alignment horizontal="right"/>
      <protection/>
    </xf>
    <xf numFmtId="4" fontId="75" fillId="47" borderId="16" xfId="0" applyNumberFormat="1" applyFont="1" applyFill="1" applyBorder="1" applyAlignment="1">
      <alignment horizontal="right" vertical="top"/>
    </xf>
    <xf numFmtId="4" fontId="0" fillId="0" borderId="68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4" fontId="4" fillId="14" borderId="87" xfId="0" applyNumberFormat="1" applyFont="1" applyFill="1" applyBorder="1" applyAlignment="1">
      <alignment horizontal="right" wrapText="1"/>
    </xf>
    <xf numFmtId="0" fontId="4" fillId="47" borderId="10" xfId="45" applyFont="1" applyFill="1" applyBorder="1" applyAlignment="1">
      <alignment horizontal="center" vertical="center" wrapText="1"/>
      <protection/>
    </xf>
    <xf numFmtId="172" fontId="0" fillId="0" borderId="100" xfId="45" applyNumberFormat="1" applyFont="1" applyFill="1" applyBorder="1" applyAlignment="1">
      <alignment horizontal="right"/>
      <protection/>
    </xf>
    <xf numFmtId="172" fontId="0" fillId="0" borderId="100" xfId="45" applyNumberFormat="1" applyFont="1" applyBorder="1" applyAlignment="1">
      <alignment horizontal="right"/>
      <protection/>
    </xf>
    <xf numFmtId="0" fontId="4" fillId="48" borderId="104" xfId="0" applyFont="1" applyFill="1" applyBorder="1" applyAlignment="1">
      <alignment horizontal="center" vertical="center" wrapText="1"/>
    </xf>
    <xf numFmtId="0" fontId="27" fillId="0" borderId="105" xfId="0" applyFont="1" applyBorder="1" applyAlignment="1">
      <alignment horizontal="center" vertical="center" wrapText="1"/>
    </xf>
    <xf numFmtId="0" fontId="27" fillId="0" borderId="106" xfId="0" applyFont="1" applyBorder="1" applyAlignment="1">
      <alignment horizontal="center" vertical="center" wrapText="1"/>
    </xf>
    <xf numFmtId="0" fontId="27" fillId="0" borderId="107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4" fontId="27" fillId="0" borderId="107" xfId="0" applyNumberFormat="1" applyFont="1" applyFill="1" applyBorder="1" applyAlignment="1">
      <alignment horizontal="right" vertical="center" wrapText="1"/>
    </xf>
    <xf numFmtId="0" fontId="27" fillId="0" borderId="105" xfId="0" applyFont="1" applyBorder="1" applyAlignment="1">
      <alignment horizontal="center" vertical="center"/>
    </xf>
    <xf numFmtId="0" fontId="27" fillId="0" borderId="106" xfId="0" applyFont="1" applyBorder="1" applyAlignment="1">
      <alignment horizontal="left"/>
    </xf>
    <xf numFmtId="4" fontId="27" fillId="0" borderId="107" xfId="0" applyNumberFormat="1" applyFont="1" applyFill="1" applyBorder="1" applyAlignment="1">
      <alignment/>
    </xf>
    <xf numFmtId="0" fontId="28" fillId="0" borderId="108" xfId="0" applyFont="1" applyBorder="1" applyAlignment="1">
      <alignment horizontal="center" vertical="center"/>
    </xf>
    <xf numFmtId="0" fontId="28" fillId="0" borderId="84" xfId="0" applyFont="1" applyBorder="1" applyAlignment="1">
      <alignment/>
    </xf>
    <xf numFmtId="4" fontId="28" fillId="0" borderId="84" xfId="0" applyNumberFormat="1" applyFont="1" applyFill="1" applyBorder="1" applyAlignment="1">
      <alignment/>
    </xf>
    <xf numFmtId="4" fontId="28" fillId="0" borderId="109" xfId="0" applyNumberFormat="1" applyFont="1" applyFill="1" applyBorder="1" applyAlignment="1">
      <alignment horizontal="right" vertical="center" wrapText="1"/>
    </xf>
    <xf numFmtId="0" fontId="28" fillId="0" borderId="17" xfId="0" applyFont="1" applyBorder="1" applyAlignment="1">
      <alignment horizontal="center" vertical="center"/>
    </xf>
    <xf numFmtId="0" fontId="28" fillId="0" borderId="16" xfId="0" applyFont="1" applyBorder="1" applyAlignment="1">
      <alignment/>
    </xf>
    <xf numFmtId="4" fontId="28" fillId="0" borderId="16" xfId="0" applyNumberFormat="1" applyFont="1" applyFill="1" applyBorder="1" applyAlignment="1">
      <alignment/>
    </xf>
    <xf numFmtId="4" fontId="28" fillId="0" borderId="18" xfId="0" applyNumberFormat="1" applyFont="1" applyFill="1" applyBorder="1" applyAlignment="1">
      <alignment horizontal="right" vertical="center" wrapText="1"/>
    </xf>
    <xf numFmtId="0" fontId="28" fillId="0" borderId="40" xfId="0" applyFont="1" applyBorder="1" applyAlignment="1">
      <alignment horizontal="center" vertical="center"/>
    </xf>
    <xf numFmtId="0" fontId="28" fillId="0" borderId="25" xfId="0" applyFont="1" applyBorder="1" applyAlignment="1">
      <alignment/>
    </xf>
    <xf numFmtId="4" fontId="28" fillId="0" borderId="25" xfId="0" applyNumberFormat="1" applyFont="1" applyFill="1" applyBorder="1" applyAlignment="1">
      <alignment/>
    </xf>
    <xf numFmtId="4" fontId="28" fillId="0" borderId="20" xfId="0" applyNumberFormat="1" applyFont="1" applyFill="1" applyBorder="1" applyAlignment="1">
      <alignment horizontal="right" vertical="center" wrapText="1"/>
    </xf>
    <xf numFmtId="0" fontId="27" fillId="0" borderId="106" xfId="0" applyFont="1" applyBorder="1" applyAlignment="1">
      <alignment/>
    </xf>
    <xf numFmtId="4" fontId="27" fillId="0" borderId="106" xfId="0" applyNumberFormat="1" applyFont="1" applyFill="1" applyBorder="1" applyAlignment="1">
      <alignment/>
    </xf>
    <xf numFmtId="0" fontId="27" fillId="0" borderId="106" xfId="0" applyFont="1" applyBorder="1" applyAlignment="1">
      <alignment/>
    </xf>
    <xf numFmtId="0" fontId="28" fillId="0" borderId="110" xfId="0" applyFont="1" applyBorder="1" applyAlignment="1">
      <alignment horizontal="center" vertical="center"/>
    </xf>
    <xf numFmtId="0" fontId="28" fillId="0" borderId="48" xfId="0" applyFont="1" applyBorder="1" applyAlignment="1">
      <alignment/>
    </xf>
    <xf numFmtId="4" fontId="28" fillId="0" borderId="48" xfId="0" applyNumberFormat="1" applyFont="1" applyFill="1" applyBorder="1" applyAlignment="1">
      <alignment/>
    </xf>
    <xf numFmtId="4" fontId="28" fillId="0" borderId="107" xfId="0" applyNumberFormat="1" applyFont="1" applyFill="1" applyBorder="1" applyAlignment="1">
      <alignment horizontal="right" vertical="center" wrapText="1"/>
    </xf>
    <xf numFmtId="0" fontId="27" fillId="0" borderId="106" xfId="0" applyFont="1" applyFill="1" applyBorder="1" applyAlignment="1">
      <alignment/>
    </xf>
    <xf numFmtId="0" fontId="28" fillId="0" borderId="111" xfId="0" applyFont="1" applyBorder="1" applyAlignment="1">
      <alignment horizontal="center" vertical="center"/>
    </xf>
    <xf numFmtId="0" fontId="28" fillId="0" borderId="47" xfId="0" applyFont="1" applyBorder="1" applyAlignment="1">
      <alignment/>
    </xf>
    <xf numFmtId="4" fontId="28" fillId="0" borderId="47" xfId="0" applyNumberFormat="1" applyFont="1" applyFill="1" applyBorder="1" applyAlignment="1">
      <alignment/>
    </xf>
    <xf numFmtId="0" fontId="28" fillId="0" borderId="111" xfId="0" applyFont="1" applyFill="1" applyBorder="1" applyAlignment="1">
      <alignment horizontal="center" vertical="center"/>
    </xf>
    <xf numFmtId="0" fontId="28" fillId="0" borderId="47" xfId="0" applyFont="1" applyFill="1" applyBorder="1" applyAlignment="1">
      <alignment/>
    </xf>
    <xf numFmtId="0" fontId="28" fillId="0" borderId="16" xfId="0" applyFont="1" applyBorder="1" applyAlignment="1">
      <alignment vertical="top"/>
    </xf>
    <xf numFmtId="4" fontId="28" fillId="0" borderId="16" xfId="0" applyNumberFormat="1" applyFont="1" applyBorder="1" applyAlignment="1">
      <alignment/>
    </xf>
    <xf numFmtId="0" fontId="28" fillId="0" borderId="37" xfId="0" applyFont="1" applyBorder="1" applyAlignment="1">
      <alignment/>
    </xf>
    <xf numFmtId="4" fontId="28" fillId="0" borderId="36" xfId="0" applyNumberFormat="1" applyFont="1" applyFill="1" applyBorder="1" applyAlignment="1">
      <alignment/>
    </xf>
    <xf numFmtId="0" fontId="27" fillId="0" borderId="112" xfId="0" applyFont="1" applyBorder="1" applyAlignment="1">
      <alignment/>
    </xf>
    <xf numFmtId="4" fontId="27" fillId="0" borderId="112" xfId="0" applyNumberFormat="1" applyFont="1" applyFill="1" applyBorder="1" applyAlignment="1">
      <alignment/>
    </xf>
    <xf numFmtId="0" fontId="28" fillId="0" borderId="113" xfId="0" applyFont="1" applyBorder="1" applyAlignment="1">
      <alignment/>
    </xf>
    <xf numFmtId="4" fontId="28" fillId="0" borderId="113" xfId="0" applyNumberFormat="1" applyFont="1" applyFill="1" applyBorder="1" applyAlignment="1">
      <alignment/>
    </xf>
    <xf numFmtId="4" fontId="27" fillId="0" borderId="12" xfId="0" applyNumberFormat="1" applyFont="1" applyFill="1" applyBorder="1" applyAlignment="1">
      <alignment/>
    </xf>
    <xf numFmtId="0" fontId="27" fillId="43" borderId="16" xfId="60" applyFont="1" applyFill="1" applyBorder="1" applyAlignment="1">
      <alignment horizontal="center" vertical="center" wrapText="1"/>
      <protection/>
    </xf>
    <xf numFmtId="49" fontId="29" fillId="0" borderId="16" xfId="60" applyNumberFormat="1" applyFont="1" applyFill="1" applyBorder="1" applyAlignment="1">
      <alignment horizontal="center" vertical="center" wrapText="1"/>
      <protection/>
    </xf>
    <xf numFmtId="0" fontId="29" fillId="0" borderId="16" xfId="42" applyNumberFormat="1" applyFont="1" applyFill="1" applyBorder="1" applyAlignment="1">
      <alignment horizontal="center" vertical="center" wrapText="1"/>
      <protection/>
    </xf>
    <xf numFmtId="10" fontId="29" fillId="0" borderId="16" xfId="60" applyNumberFormat="1" applyFont="1" applyFill="1" applyBorder="1" applyAlignment="1">
      <alignment horizontal="center" vertical="center" wrapText="1"/>
      <protection/>
    </xf>
    <xf numFmtId="0" fontId="29" fillId="0" borderId="16" xfId="60" applyNumberFormat="1" applyFont="1" applyFill="1" applyBorder="1" applyAlignment="1">
      <alignment horizontal="center" vertical="center" wrapText="1"/>
      <protection/>
    </xf>
    <xf numFmtId="0" fontId="30" fillId="0" borderId="16" xfId="0" applyFont="1" applyBorder="1" applyAlignment="1">
      <alignment horizontal="center"/>
    </xf>
    <xf numFmtId="49" fontId="31" fillId="39" borderId="16" xfId="0" applyNumberFormat="1" applyFont="1" applyFill="1" applyBorder="1" applyAlignment="1" applyProtection="1">
      <alignment horizontal="center" vertical="top"/>
      <protection/>
    </xf>
    <xf numFmtId="49" fontId="31" fillId="39" borderId="16" xfId="0" applyNumberFormat="1" applyFont="1" applyFill="1" applyBorder="1" applyAlignment="1" applyProtection="1">
      <alignment horizontal="left" vertical="top"/>
      <protection/>
    </xf>
    <xf numFmtId="0" fontId="31" fillId="39" borderId="16" xfId="0" applyFont="1" applyFill="1" applyBorder="1" applyAlignment="1" applyProtection="1">
      <alignment horizontal="left" vertical="top"/>
      <protection/>
    </xf>
    <xf numFmtId="3" fontId="31" fillId="39" borderId="16" xfId="42" applyNumberFormat="1" applyFont="1" applyFill="1" applyBorder="1" applyAlignment="1">
      <alignment vertical="center"/>
      <protection/>
    </xf>
    <xf numFmtId="10" fontId="31" fillId="52" borderId="16" xfId="42" applyNumberFormat="1" applyFont="1" applyFill="1" applyBorder="1" applyAlignment="1">
      <alignment vertical="center"/>
      <protection/>
    </xf>
    <xf numFmtId="0" fontId="30" fillId="39" borderId="16" xfId="0" applyFont="1" applyFill="1" applyBorder="1" applyAlignment="1">
      <alignment vertical="center"/>
    </xf>
    <xf numFmtId="0" fontId="30" fillId="0" borderId="16" xfId="0" applyFont="1" applyFill="1" applyBorder="1" applyAlignment="1" applyProtection="1">
      <alignment horizontal="left"/>
      <protection/>
    </xf>
    <xf numFmtId="3" fontId="30" fillId="0" borderId="16" xfId="42" applyNumberFormat="1" applyFont="1" applyBorder="1" applyAlignment="1">
      <alignment vertical="center"/>
      <protection/>
    </xf>
    <xf numFmtId="10" fontId="30" fillId="48" borderId="16" xfId="42" applyNumberFormat="1" applyFont="1" applyFill="1" applyBorder="1" applyAlignment="1">
      <alignment vertical="center"/>
      <protection/>
    </xf>
    <xf numFmtId="0" fontId="30" fillId="0" borderId="16" xfId="0" applyFont="1" applyBorder="1" applyAlignment="1">
      <alignment vertical="center"/>
    </xf>
    <xf numFmtId="3" fontId="30" fillId="0" borderId="16" xfId="0" applyNumberFormat="1" applyFont="1" applyBorder="1" applyAlignment="1">
      <alignment vertical="center"/>
    </xf>
    <xf numFmtId="3" fontId="30" fillId="0" borderId="16" xfId="42" applyNumberFormat="1" applyFont="1" applyFill="1" applyBorder="1" applyAlignment="1" applyProtection="1">
      <alignment vertical="center"/>
      <protection/>
    </xf>
    <xf numFmtId="10" fontId="31" fillId="48" borderId="16" xfId="42" applyNumberFormat="1" applyFont="1" applyFill="1" applyBorder="1" applyAlignment="1">
      <alignment vertical="center"/>
      <protection/>
    </xf>
    <xf numFmtId="3" fontId="30" fillId="0" borderId="16" xfId="0" applyNumberFormat="1" applyFont="1" applyFill="1" applyBorder="1" applyAlignment="1" applyProtection="1">
      <alignment vertical="center"/>
      <protection/>
    </xf>
    <xf numFmtId="0" fontId="30" fillId="0" borderId="16" xfId="0" applyFont="1" applyBorder="1" applyAlignment="1">
      <alignment horizontal="left"/>
    </xf>
    <xf numFmtId="0" fontId="28" fillId="0" borderId="16" xfId="0" applyFont="1" applyFill="1" applyBorder="1" applyAlignment="1">
      <alignment vertical="top" wrapText="1"/>
    </xf>
    <xf numFmtId="4" fontId="28" fillId="0" borderId="16" xfId="0" applyNumberFormat="1" applyFont="1" applyFill="1" applyBorder="1" applyAlignment="1">
      <alignment vertical="top"/>
    </xf>
    <xf numFmtId="4" fontId="30" fillId="0" borderId="16" xfId="0" applyNumberFormat="1" applyFont="1" applyFill="1" applyBorder="1" applyAlignment="1" applyProtection="1">
      <alignment horizontal="left"/>
      <protection/>
    </xf>
    <xf numFmtId="0" fontId="30" fillId="0" borderId="16" xfId="0" applyFont="1" applyFill="1" applyBorder="1" applyAlignment="1" applyProtection="1">
      <alignment horizontal="left" wrapText="1"/>
      <protection/>
    </xf>
    <xf numFmtId="3" fontId="31" fillId="39" borderId="16" xfId="0" applyNumberFormat="1" applyFont="1" applyFill="1" applyBorder="1" applyAlignment="1">
      <alignment vertical="center"/>
    </xf>
    <xf numFmtId="0" fontId="31" fillId="39" borderId="16" xfId="0" applyFont="1" applyFill="1" applyBorder="1" applyAlignment="1">
      <alignment vertical="center"/>
    </xf>
    <xf numFmtId="49" fontId="30" fillId="0" borderId="16" xfId="0" applyNumberFormat="1" applyFont="1" applyBorder="1" applyAlignment="1" applyProtection="1">
      <alignment horizontal="center" vertical="center"/>
      <protection/>
    </xf>
    <xf numFmtId="0" fontId="30" fillId="0" borderId="16" xfId="0" applyFont="1" applyFill="1" applyBorder="1" applyAlignment="1" applyProtection="1">
      <alignment horizontal="left" vertical="top"/>
      <protection/>
    </xf>
    <xf numFmtId="49" fontId="30" fillId="0" borderId="16" xfId="0" applyNumberFormat="1" applyFont="1" applyBorder="1" applyAlignment="1" applyProtection="1">
      <alignment horizontal="center" vertical="top"/>
      <protection/>
    </xf>
    <xf numFmtId="0" fontId="30" fillId="0" borderId="16" xfId="0" applyFont="1" applyFill="1" applyBorder="1" applyAlignment="1" applyProtection="1">
      <alignment horizontal="center" vertical="top"/>
      <protection/>
    </xf>
    <xf numFmtId="10" fontId="31" fillId="51" borderId="16" xfId="42" applyNumberFormat="1" applyFont="1" applyFill="1" applyBorder="1" applyAlignment="1">
      <alignment vertical="center"/>
      <protection/>
    </xf>
    <xf numFmtId="3" fontId="31" fillId="39" borderId="16" xfId="42" applyNumberFormat="1" applyFont="1" applyFill="1" applyBorder="1" applyAlignment="1" applyProtection="1">
      <alignment vertical="center"/>
      <protection/>
    </xf>
    <xf numFmtId="0" fontId="30" fillId="0" borderId="16" xfId="0" applyFont="1" applyFill="1" applyBorder="1" applyAlignment="1">
      <alignment vertical="center"/>
    </xf>
    <xf numFmtId="0" fontId="30" fillId="0" borderId="16" xfId="0" applyFont="1" applyFill="1" applyBorder="1" applyAlignment="1" applyProtection="1">
      <alignment vertical="center"/>
      <protection/>
    </xf>
    <xf numFmtId="0" fontId="30" fillId="0" borderId="16" xfId="0" applyFont="1" applyBorder="1" applyAlignment="1">
      <alignment horizontal="center" vertical="center"/>
    </xf>
    <xf numFmtId="0" fontId="30" fillId="0" borderId="16" xfId="0" applyFont="1" applyFill="1" applyBorder="1" applyAlignment="1" applyProtection="1">
      <alignment horizontal="left" vertical="center"/>
      <protection/>
    </xf>
    <xf numFmtId="0" fontId="30" fillId="0" borderId="16" xfId="0" applyFont="1" applyBorder="1" applyAlignment="1">
      <alignment vertical="center" wrapText="1"/>
    </xf>
    <xf numFmtId="0" fontId="30" fillId="0" borderId="16" xfId="0" applyFont="1" applyBorder="1" applyAlignment="1">
      <alignment/>
    </xf>
    <xf numFmtId="0" fontId="30" fillId="0" borderId="16" xfId="0" applyFont="1" applyBorder="1" applyAlignment="1" applyProtection="1">
      <alignment horizontal="left" vertical="top"/>
      <protection/>
    </xf>
    <xf numFmtId="3" fontId="30" fillId="0" borderId="16" xfId="42" applyNumberFormat="1" applyFont="1" applyFill="1" applyBorder="1" applyAlignment="1">
      <alignment vertical="center"/>
      <protection/>
    </xf>
    <xf numFmtId="0" fontId="30" fillId="0" borderId="16" xfId="0" applyFont="1" applyFill="1" applyBorder="1" applyAlignment="1" applyProtection="1">
      <alignment horizontal="left" vertical="top" wrapText="1"/>
      <protection/>
    </xf>
    <xf numFmtId="0" fontId="30" fillId="0" borderId="16" xfId="0" applyFont="1" applyFill="1" applyBorder="1" applyAlignment="1" applyProtection="1">
      <alignment horizontal="center"/>
      <protection/>
    </xf>
    <xf numFmtId="3" fontId="28" fillId="0" borderId="16" xfId="0" applyNumberFormat="1" applyFont="1" applyFill="1" applyBorder="1" applyAlignment="1">
      <alignment vertical="top"/>
    </xf>
    <xf numFmtId="49" fontId="30" fillId="0" borderId="16" xfId="0" applyNumberFormat="1" applyFont="1" applyFill="1" applyBorder="1" applyAlignment="1" applyProtection="1">
      <alignment horizontal="center" vertical="top"/>
      <protection/>
    </xf>
    <xf numFmtId="0" fontId="30" fillId="0" borderId="16" xfId="0" applyFont="1" applyBorder="1" applyAlignment="1" applyProtection="1">
      <alignment horizontal="left" vertical="top" wrapText="1"/>
      <protection/>
    </xf>
    <xf numFmtId="0" fontId="30" fillId="0" borderId="16" xfId="0" applyFont="1" applyBorder="1" applyAlignment="1">
      <alignment horizontal="left" wrapText="1"/>
    </xf>
    <xf numFmtId="4" fontId="30" fillId="0" borderId="16" xfId="42" applyNumberFormat="1" applyFont="1" applyFill="1" applyBorder="1" applyAlignment="1">
      <alignment vertical="center"/>
      <protection/>
    </xf>
    <xf numFmtId="0" fontId="27" fillId="43" borderId="16" xfId="60" applyFont="1" applyFill="1" applyBorder="1" applyAlignment="1">
      <alignment horizontal="left" vertical="center" wrapText="1"/>
      <protection/>
    </xf>
    <xf numFmtId="3" fontId="27" fillId="43" borderId="16" xfId="42" applyNumberFormat="1" applyFont="1" applyFill="1" applyBorder="1" applyAlignment="1">
      <alignment vertical="center" wrapText="1"/>
      <protection/>
    </xf>
    <xf numFmtId="10" fontId="27" fillId="43" borderId="16" xfId="60" applyNumberFormat="1" applyFont="1" applyFill="1" applyBorder="1" applyAlignment="1">
      <alignment vertical="center" wrapText="1"/>
      <protection/>
    </xf>
    <xf numFmtId="4" fontId="0" fillId="47" borderId="51" xfId="0" applyNumberFormat="1" applyFont="1" applyFill="1" applyBorder="1" applyAlignment="1">
      <alignment horizontal="right"/>
    </xf>
    <xf numFmtId="0" fontId="0" fillId="48" borderId="84" xfId="42" applyFont="1" applyFill="1" applyBorder="1" applyAlignment="1">
      <alignment horizontal="center"/>
      <protection/>
    </xf>
    <xf numFmtId="0" fontId="0" fillId="0" borderId="25" xfId="42" applyFont="1" applyFill="1" applyBorder="1" applyAlignment="1">
      <alignment horizontal="center"/>
      <protection/>
    </xf>
    <xf numFmtId="0" fontId="0" fillId="0" borderId="25" xfId="0" applyFont="1" applyBorder="1" applyAlignment="1">
      <alignment vertical="top"/>
    </xf>
    <xf numFmtId="0" fontId="0" fillId="0" borderId="41" xfId="0" applyFont="1" applyBorder="1" applyAlignment="1">
      <alignment/>
    </xf>
    <xf numFmtId="49" fontId="0" fillId="48" borderId="84" xfId="42" applyNumberFormat="1" applyFont="1" applyFill="1" applyBorder="1" applyAlignment="1">
      <alignment horizontal="center"/>
      <protection/>
    </xf>
    <xf numFmtId="49" fontId="0" fillId="47" borderId="48" xfId="42" applyNumberFormat="1" applyFont="1" applyFill="1" applyBorder="1" applyAlignment="1">
      <alignment horizontal="center"/>
      <protection/>
    </xf>
    <xf numFmtId="0" fontId="0" fillId="47" borderId="48" xfId="42" applyFont="1" applyFill="1" applyBorder="1" applyAlignment="1">
      <alignment horizontal="center"/>
      <protection/>
    </xf>
    <xf numFmtId="0" fontId="0" fillId="47" borderId="25" xfId="42" applyFont="1" applyFill="1" applyBorder="1" applyAlignment="1">
      <alignment horizontal="center"/>
      <protection/>
    </xf>
    <xf numFmtId="4" fontId="4" fillId="42" borderId="84" xfId="42" applyNumberFormat="1" applyFont="1" applyFill="1" applyBorder="1" applyAlignment="1">
      <alignment horizontal="right" vertical="center"/>
      <protection/>
    </xf>
    <xf numFmtId="49" fontId="0" fillId="48" borderId="16" xfId="42" applyNumberFormat="1" applyFont="1" applyFill="1" applyBorder="1" applyAlignment="1">
      <alignment horizontal="center"/>
      <protection/>
    </xf>
    <xf numFmtId="4" fontId="0" fillId="48" borderId="16" xfId="0" applyNumberFormat="1" applyFont="1" applyFill="1" applyBorder="1" applyAlignment="1">
      <alignment horizontal="right"/>
    </xf>
    <xf numFmtId="4" fontId="0" fillId="48" borderId="16" xfId="46" applyNumberFormat="1" applyFont="1" applyFill="1" applyBorder="1" applyAlignment="1" applyProtection="1">
      <alignment horizontal="right" vertical="top"/>
      <protection locked="0"/>
    </xf>
    <xf numFmtId="4" fontId="0" fillId="48" borderId="16" xfId="42" applyNumberFormat="1" applyFont="1" applyFill="1" applyBorder="1" applyAlignment="1">
      <alignment horizontal="right" vertical="top"/>
      <protection/>
    </xf>
    <xf numFmtId="4" fontId="4" fillId="47" borderId="25" xfId="0" applyNumberFormat="1" applyFont="1" applyFill="1" applyBorder="1" applyAlignment="1">
      <alignment horizontal="right" vertical="center"/>
    </xf>
    <xf numFmtId="4" fontId="4" fillId="47" borderId="76" xfId="46" applyNumberFormat="1" applyFont="1" applyFill="1" applyBorder="1" applyAlignment="1" applyProtection="1">
      <alignment horizontal="right" vertical="center"/>
      <protection locked="0"/>
    </xf>
    <xf numFmtId="4" fontId="4" fillId="47" borderId="76" xfId="42" applyNumberFormat="1" applyFont="1" applyFill="1" applyBorder="1" applyAlignment="1">
      <alignment horizontal="right" vertical="center"/>
      <protection/>
    </xf>
    <xf numFmtId="4" fontId="4" fillId="47" borderId="0" xfId="46" applyNumberFormat="1" applyFont="1" applyFill="1" applyBorder="1" applyAlignment="1" applyProtection="1">
      <alignment horizontal="right" vertical="center"/>
      <protection locked="0"/>
    </xf>
    <xf numFmtId="4" fontId="4" fillId="47" borderId="25" xfId="42" applyNumberFormat="1" applyFont="1" applyFill="1" applyBorder="1" applyAlignment="1" applyProtection="1">
      <alignment horizontal="right" vertical="center"/>
      <protection locked="0"/>
    </xf>
    <xf numFmtId="4" fontId="4" fillId="48" borderId="16" xfId="0" applyNumberFormat="1" applyFont="1" applyFill="1" applyBorder="1" applyAlignment="1">
      <alignment horizontal="right"/>
    </xf>
    <xf numFmtId="4" fontId="4" fillId="48" borderId="16" xfId="46" applyNumberFormat="1" applyFont="1" applyFill="1" applyBorder="1" applyAlignment="1" applyProtection="1">
      <alignment horizontal="right" vertical="top"/>
      <protection locked="0"/>
    </xf>
    <xf numFmtId="4" fontId="4" fillId="48" borderId="16" xfId="42" applyNumberFormat="1" applyFont="1" applyFill="1" applyBorder="1" applyAlignment="1" applyProtection="1">
      <alignment horizontal="right" vertical="center"/>
      <protection locked="0"/>
    </xf>
    <xf numFmtId="0" fontId="4" fillId="48" borderId="16" xfId="42" applyFont="1" applyFill="1" applyBorder="1" applyAlignment="1">
      <alignment horizontal="center"/>
      <protection/>
    </xf>
    <xf numFmtId="49" fontId="0" fillId="0" borderId="48" xfId="42" applyNumberFormat="1" applyFont="1" applyFill="1" applyBorder="1" applyAlignment="1">
      <alignment horizontal="center"/>
      <protection/>
    </xf>
    <xf numFmtId="4" fontId="4" fillId="47" borderId="16" xfId="42" applyNumberFormat="1" applyFont="1" applyFill="1" applyBorder="1" applyAlignment="1" applyProtection="1">
      <alignment horizontal="right" vertical="center"/>
      <protection locked="0"/>
    </xf>
    <xf numFmtId="0" fontId="4" fillId="14" borderId="87" xfId="0" applyNumberFormat="1" applyFont="1" applyFill="1" applyBorder="1" applyAlignment="1">
      <alignment horizontal="right" wrapText="1"/>
    </xf>
    <xf numFmtId="4" fontId="4" fillId="47" borderId="57" xfId="0" applyNumberFormat="1" applyFont="1" applyFill="1" applyBorder="1" applyAlignment="1">
      <alignment horizontal="right" vertical="top"/>
    </xf>
    <xf numFmtId="4" fontId="4" fillId="47" borderId="16" xfId="0" applyNumberFormat="1" applyFont="1" applyFill="1" applyBorder="1" applyAlignment="1">
      <alignment horizontal="right" vertical="center"/>
    </xf>
    <xf numFmtId="4" fontId="0" fillId="48" borderId="64" xfId="46" applyNumberFormat="1" applyFont="1" applyFill="1" applyBorder="1" applyAlignment="1" applyProtection="1">
      <alignment horizontal="right" vertical="top"/>
      <protection locked="0"/>
    </xf>
    <xf numFmtId="4" fontId="0" fillId="48" borderId="68" xfId="46" applyNumberFormat="1" applyFont="1" applyFill="1" applyBorder="1" applyAlignment="1" applyProtection="1">
      <alignment horizontal="right" vertical="top"/>
      <protection locked="0"/>
    </xf>
    <xf numFmtId="0" fontId="4" fillId="0" borderId="28" xfId="0" applyFont="1" applyFill="1" applyBorder="1" applyAlignment="1">
      <alignment vertical="top"/>
    </xf>
    <xf numFmtId="0" fontId="4" fillId="0" borderId="32" xfId="0" applyFont="1" applyFill="1" applyBorder="1" applyAlignment="1">
      <alignment vertical="top"/>
    </xf>
    <xf numFmtId="0" fontId="4" fillId="0" borderId="27" xfId="0" applyFont="1" applyFill="1" applyBorder="1" applyAlignment="1">
      <alignment vertical="top"/>
    </xf>
    <xf numFmtId="0" fontId="0" fillId="0" borderId="28" xfId="0" applyFont="1" applyFill="1" applyBorder="1" applyAlignment="1">
      <alignment vertical="top"/>
    </xf>
    <xf numFmtId="0" fontId="0" fillId="0" borderId="32" xfId="0" applyFont="1" applyFill="1" applyBorder="1" applyAlignment="1">
      <alignment vertical="top"/>
    </xf>
    <xf numFmtId="0" fontId="0" fillId="0" borderId="27" xfId="0" applyFont="1" applyFill="1" applyBorder="1" applyAlignment="1">
      <alignment vertical="top"/>
    </xf>
    <xf numFmtId="0" fontId="4" fillId="47" borderId="67" xfId="0" applyFont="1" applyFill="1" applyBorder="1" applyAlignment="1">
      <alignment vertical="top" wrapText="1"/>
    </xf>
    <xf numFmtId="0" fontId="4" fillId="47" borderId="114" xfId="0" applyFont="1" applyFill="1" applyBorder="1" applyAlignment="1">
      <alignment vertical="top"/>
    </xf>
    <xf numFmtId="0" fontId="4" fillId="47" borderId="115" xfId="0" applyFont="1" applyFill="1" applyBorder="1" applyAlignment="1">
      <alignment vertical="top"/>
    </xf>
    <xf numFmtId="0" fontId="4" fillId="42" borderId="67" xfId="0" applyFont="1" applyFill="1" applyBorder="1" applyAlignment="1">
      <alignment horizontal="left" vertical="top" wrapText="1"/>
    </xf>
    <xf numFmtId="0" fontId="4" fillId="42" borderId="114" xfId="0" applyFont="1" applyFill="1" applyBorder="1" applyAlignment="1">
      <alignment horizontal="left" vertical="top" wrapText="1"/>
    </xf>
    <xf numFmtId="0" fontId="4" fillId="42" borderId="115" xfId="0" applyFont="1" applyFill="1" applyBorder="1" applyAlignment="1">
      <alignment horizontal="left" vertical="top" wrapText="1"/>
    </xf>
    <xf numFmtId="0" fontId="4" fillId="0" borderId="116" xfId="0" applyFont="1" applyBorder="1" applyAlignment="1">
      <alignment horizontal="center"/>
    </xf>
    <xf numFmtId="0" fontId="4" fillId="0" borderId="1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39" borderId="28" xfId="42" applyFont="1" applyFill="1" applyBorder="1" applyAlignment="1">
      <alignment horizontal="left"/>
      <protection/>
    </xf>
    <xf numFmtId="0" fontId="0" fillId="39" borderId="32" xfId="42" applyFont="1" applyFill="1" applyBorder="1" applyAlignment="1">
      <alignment horizontal="left"/>
      <protection/>
    </xf>
    <xf numFmtId="0" fontId="0" fillId="0" borderId="28" xfId="0" applyFont="1" applyBorder="1" applyAlignment="1">
      <alignment horizontal="left" vertical="top"/>
    </xf>
    <xf numFmtId="0" fontId="0" fillId="0" borderId="32" xfId="0" applyFont="1" applyBorder="1" applyAlignment="1">
      <alignment horizontal="left" vertical="top"/>
    </xf>
    <xf numFmtId="0" fontId="0" fillId="0" borderId="27" xfId="0" applyFont="1" applyBorder="1" applyAlignment="1">
      <alignment horizontal="left" vertical="top"/>
    </xf>
    <xf numFmtId="0" fontId="0" fillId="0" borderId="28" xfId="0" applyFont="1" applyFill="1" applyBorder="1" applyAlignment="1">
      <alignment horizontal="left" vertical="top"/>
    </xf>
    <xf numFmtId="0" fontId="0" fillId="0" borderId="32" xfId="0" applyFont="1" applyFill="1" applyBorder="1" applyAlignment="1">
      <alignment horizontal="left" vertical="top"/>
    </xf>
    <xf numFmtId="0" fontId="0" fillId="0" borderId="27" xfId="0" applyFont="1" applyFill="1" applyBorder="1" applyAlignment="1">
      <alignment horizontal="left" vertical="top"/>
    </xf>
    <xf numFmtId="0" fontId="0" fillId="0" borderId="35" xfId="0" applyFont="1" applyFill="1" applyBorder="1" applyAlignment="1">
      <alignment horizontal="left" vertical="top"/>
    </xf>
    <xf numFmtId="0" fontId="0" fillId="0" borderId="26" xfId="0" applyFont="1" applyFill="1" applyBorder="1" applyAlignment="1">
      <alignment horizontal="left" vertical="top"/>
    </xf>
    <xf numFmtId="0" fontId="0" fillId="0" borderId="34" xfId="0" applyFont="1" applyFill="1" applyBorder="1" applyAlignment="1">
      <alignment horizontal="left" vertical="top"/>
    </xf>
    <xf numFmtId="0" fontId="75" fillId="42" borderId="90" xfId="0" applyFont="1" applyFill="1" applyBorder="1" applyAlignment="1">
      <alignment vertical="top"/>
    </xf>
    <xf numFmtId="0" fontId="75" fillId="42" borderId="91" xfId="0" applyFont="1" applyFill="1" applyBorder="1" applyAlignment="1">
      <alignment vertical="top"/>
    </xf>
    <xf numFmtId="0" fontId="75" fillId="42" borderId="88" xfId="0" applyFont="1" applyFill="1" applyBorder="1" applyAlignment="1">
      <alignment vertical="top"/>
    </xf>
    <xf numFmtId="0" fontId="4" fillId="33" borderId="67" xfId="42" applyFont="1" applyFill="1" applyBorder="1" applyAlignment="1">
      <alignment horizontal="left"/>
      <protection/>
    </xf>
    <xf numFmtId="0" fontId="4" fillId="33" borderId="114" xfId="42" applyFont="1" applyFill="1" applyBorder="1" applyAlignment="1">
      <alignment horizontal="left"/>
      <protection/>
    </xf>
    <xf numFmtId="0" fontId="0" fillId="0" borderId="118" xfId="0" applyFont="1" applyFill="1" applyBorder="1" applyAlignment="1">
      <alignment horizontal="left" vertical="top"/>
    </xf>
    <xf numFmtId="0" fontId="0" fillId="0" borderId="114" xfId="0" applyFont="1" applyFill="1" applyBorder="1" applyAlignment="1">
      <alignment horizontal="left" vertical="top"/>
    </xf>
    <xf numFmtId="0" fontId="0" fillId="0" borderId="119" xfId="0" applyFont="1" applyFill="1" applyBorder="1" applyAlignment="1">
      <alignment horizontal="left" vertical="top"/>
    </xf>
    <xf numFmtId="0" fontId="0" fillId="0" borderId="64" xfId="0" applyFont="1" applyFill="1" applyBorder="1" applyAlignment="1">
      <alignment horizontal="left" vertical="top"/>
    </xf>
    <xf numFmtId="0" fontId="0" fillId="0" borderId="68" xfId="0" applyFont="1" applyFill="1" applyBorder="1" applyAlignment="1">
      <alignment horizontal="left" vertical="top"/>
    </xf>
    <xf numFmtId="0" fontId="0" fillId="0" borderId="75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vertical="top"/>
    </xf>
    <xf numFmtId="0" fontId="0" fillId="0" borderId="120" xfId="0" applyFont="1" applyFill="1" applyBorder="1" applyAlignment="1">
      <alignment horizontal="left" vertical="top"/>
    </xf>
    <xf numFmtId="0" fontId="0" fillId="0" borderId="102" xfId="0" applyFont="1" applyFill="1" applyBorder="1" applyAlignment="1">
      <alignment horizontal="left" vertical="top"/>
    </xf>
    <xf numFmtId="0" fontId="4" fillId="47" borderId="94" xfId="0" applyFont="1" applyFill="1" applyBorder="1" applyAlignment="1">
      <alignment vertical="top" wrapText="1"/>
    </xf>
    <xf numFmtId="0" fontId="4" fillId="47" borderId="49" xfId="0" applyFont="1" applyFill="1" applyBorder="1" applyAlignment="1">
      <alignment vertical="top"/>
    </xf>
    <xf numFmtId="0" fontId="4" fillId="47" borderId="121" xfId="0" applyFont="1" applyFill="1" applyBorder="1" applyAlignment="1">
      <alignment vertical="top"/>
    </xf>
    <xf numFmtId="0" fontId="0" fillId="0" borderId="82" xfId="0" applyFont="1" applyFill="1" applyBorder="1" applyAlignment="1">
      <alignment horizontal="left" vertical="center" wrapText="1"/>
    </xf>
    <xf numFmtId="0" fontId="0" fillId="0" borderId="102" xfId="0" applyFont="1" applyFill="1" applyBorder="1" applyAlignment="1">
      <alignment horizontal="left" vertical="center"/>
    </xf>
    <xf numFmtId="0" fontId="0" fillId="0" borderId="122" xfId="0" applyFont="1" applyFill="1" applyBorder="1" applyAlignment="1">
      <alignment horizontal="left" vertical="center"/>
    </xf>
    <xf numFmtId="0" fontId="4" fillId="42" borderId="90" xfId="0" applyFont="1" applyFill="1" applyBorder="1" applyAlignment="1">
      <alignment horizontal="left" vertical="top"/>
    </xf>
    <xf numFmtId="0" fontId="4" fillId="47" borderId="91" xfId="0" applyFont="1" applyFill="1" applyBorder="1" applyAlignment="1">
      <alignment horizontal="left" vertical="top"/>
    </xf>
    <xf numFmtId="0" fontId="4" fillId="47" borderId="88" xfId="0" applyFont="1" applyFill="1" applyBorder="1" applyAlignment="1">
      <alignment horizontal="left" vertical="top"/>
    </xf>
    <xf numFmtId="0" fontId="4" fillId="47" borderId="114" xfId="0" applyFont="1" applyFill="1" applyBorder="1" applyAlignment="1">
      <alignment vertical="top" wrapText="1"/>
    </xf>
    <xf numFmtId="0" fontId="4" fillId="47" borderId="115" xfId="0" applyFont="1" applyFill="1" applyBorder="1" applyAlignment="1">
      <alignment vertical="top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48" borderId="28" xfId="0" applyFont="1" applyFill="1" applyBorder="1" applyAlignment="1">
      <alignment vertical="top"/>
    </xf>
    <xf numFmtId="0" fontId="0" fillId="48" borderId="32" xfId="0" applyFont="1" applyFill="1" applyBorder="1" applyAlignment="1">
      <alignment vertical="top"/>
    </xf>
    <xf numFmtId="0" fontId="0" fillId="48" borderId="27" xfId="0" applyFont="1" applyFill="1" applyBorder="1" applyAlignment="1">
      <alignment vertical="top"/>
    </xf>
    <xf numFmtId="0" fontId="0" fillId="0" borderId="82" xfId="0" applyFont="1" applyFill="1" applyBorder="1" applyAlignment="1">
      <alignment horizontal="left" vertical="top"/>
    </xf>
    <xf numFmtId="0" fontId="0" fillId="0" borderId="122" xfId="0" applyFont="1" applyFill="1" applyBorder="1" applyAlignment="1">
      <alignment horizontal="left" vertical="top"/>
    </xf>
    <xf numFmtId="0" fontId="0" fillId="0" borderId="82" xfId="0" applyFont="1" applyBorder="1" applyAlignment="1">
      <alignment horizontal="left" vertical="top"/>
    </xf>
    <xf numFmtId="0" fontId="0" fillId="0" borderId="102" xfId="0" applyFont="1" applyBorder="1" applyAlignment="1">
      <alignment horizontal="left" vertical="top"/>
    </xf>
    <xf numFmtId="0" fontId="0" fillId="0" borderId="122" xfId="0" applyFont="1" applyBorder="1" applyAlignment="1">
      <alignment horizontal="left" vertical="top"/>
    </xf>
    <xf numFmtId="0" fontId="4" fillId="0" borderId="28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left" vertical="top" wrapText="1"/>
    </xf>
    <xf numFmtId="0" fontId="4" fillId="0" borderId="27" xfId="0" applyFont="1" applyFill="1" applyBorder="1" applyAlignment="1">
      <alignment horizontal="left" vertical="top" wrapText="1"/>
    </xf>
    <xf numFmtId="0" fontId="0" fillId="0" borderId="28" xfId="0" applyFont="1" applyBorder="1" applyAlignment="1">
      <alignment vertical="top"/>
    </xf>
    <xf numFmtId="0" fontId="0" fillId="0" borderId="32" xfId="0" applyFont="1" applyBorder="1" applyAlignment="1">
      <alignment vertical="top"/>
    </xf>
    <xf numFmtId="0" fontId="0" fillId="0" borderId="27" xfId="0" applyFont="1" applyBorder="1" applyAlignment="1">
      <alignment vertical="top"/>
    </xf>
    <xf numFmtId="0" fontId="75" fillId="42" borderId="58" xfId="0" applyFont="1" applyFill="1" applyBorder="1" applyAlignment="1">
      <alignment vertical="top"/>
    </xf>
    <xf numFmtId="0" fontId="75" fillId="42" borderId="26" xfId="0" applyFont="1" applyFill="1" applyBorder="1" applyAlignment="1">
      <alignment vertical="top"/>
    </xf>
    <xf numFmtId="0" fontId="75" fillId="42" borderId="123" xfId="0" applyFont="1" applyFill="1" applyBorder="1" applyAlignment="1">
      <alignment vertical="top"/>
    </xf>
    <xf numFmtId="0" fontId="0" fillId="0" borderId="16" xfId="0" applyFont="1" applyBorder="1" applyAlignment="1">
      <alignment vertical="top"/>
    </xf>
    <xf numFmtId="0" fontId="4" fillId="48" borderId="35" xfId="0" applyFont="1" applyFill="1" applyBorder="1" applyAlignment="1">
      <alignment horizontal="left" vertical="top" wrapText="1"/>
    </xf>
    <xf numFmtId="0" fontId="4" fillId="48" borderId="26" xfId="0" applyFont="1" applyFill="1" applyBorder="1" applyAlignment="1">
      <alignment horizontal="left" vertical="top" wrapText="1"/>
    </xf>
    <xf numFmtId="0" fontId="4" fillId="48" borderId="34" xfId="0" applyFont="1" applyFill="1" applyBorder="1" applyAlignment="1">
      <alignment horizontal="left" vertical="top" wrapText="1"/>
    </xf>
    <xf numFmtId="0" fontId="0" fillId="48" borderId="35" xfId="0" applyFont="1" applyFill="1" applyBorder="1" applyAlignment="1">
      <alignment horizontal="left" vertical="top" wrapText="1"/>
    </xf>
    <xf numFmtId="0" fontId="0" fillId="0" borderId="35" xfId="0" applyFont="1" applyBorder="1" applyAlignment="1">
      <alignment horizontal="left" vertical="top"/>
    </xf>
    <xf numFmtId="0" fontId="0" fillId="0" borderId="26" xfId="0" applyFont="1" applyBorder="1" applyAlignment="1">
      <alignment horizontal="left" vertical="top"/>
    </xf>
    <xf numFmtId="0" fontId="4" fillId="47" borderId="41" xfId="0" applyFont="1" applyFill="1" applyBorder="1" applyAlignment="1">
      <alignment horizontal="left" vertical="top" wrapText="1"/>
    </xf>
    <xf numFmtId="0" fontId="0" fillId="47" borderId="49" xfId="0" applyFont="1" applyFill="1" applyBorder="1" applyAlignment="1">
      <alignment horizontal="left" vertical="top" wrapText="1"/>
    </xf>
    <xf numFmtId="0" fontId="0" fillId="47" borderId="44" xfId="0" applyFont="1" applyFill="1" applyBorder="1" applyAlignment="1">
      <alignment horizontal="left" vertical="top" wrapText="1"/>
    </xf>
    <xf numFmtId="0" fontId="0" fillId="0" borderId="58" xfId="0" applyFont="1" applyFill="1" applyBorder="1" applyAlignment="1">
      <alignment horizontal="left" vertical="top"/>
    </xf>
    <xf numFmtId="0" fontId="0" fillId="0" borderId="123" xfId="0" applyFont="1" applyFill="1" applyBorder="1" applyAlignment="1">
      <alignment horizontal="left" vertical="top"/>
    </xf>
    <xf numFmtId="0" fontId="4" fillId="47" borderId="60" xfId="0" applyFont="1" applyFill="1" applyBorder="1" applyAlignment="1">
      <alignment vertical="top" wrapText="1"/>
    </xf>
    <xf numFmtId="0" fontId="4" fillId="47" borderId="57" xfId="0" applyFont="1" applyFill="1" applyBorder="1" applyAlignment="1">
      <alignment vertical="top"/>
    </xf>
    <xf numFmtId="0" fontId="4" fillId="47" borderId="51" xfId="0" applyFont="1" applyFill="1" applyBorder="1" applyAlignment="1">
      <alignment vertical="top"/>
    </xf>
    <xf numFmtId="0" fontId="75" fillId="42" borderId="22" xfId="0" applyFont="1" applyFill="1" applyBorder="1" applyAlignment="1">
      <alignment vertical="top" wrapText="1"/>
    </xf>
    <xf numFmtId="0" fontId="75" fillId="42" borderId="22" xfId="0" applyFont="1" applyFill="1" applyBorder="1" applyAlignment="1">
      <alignment vertical="top"/>
    </xf>
    <xf numFmtId="0" fontId="75" fillId="42" borderId="90" xfId="0" applyFont="1" applyFill="1" applyBorder="1" applyAlignment="1">
      <alignment vertical="top" wrapText="1"/>
    </xf>
    <xf numFmtId="0" fontId="4" fillId="0" borderId="35" xfId="0" applyFont="1" applyFill="1" applyBorder="1" applyAlignment="1">
      <alignment horizontal="left" vertical="top"/>
    </xf>
    <xf numFmtId="0" fontId="4" fillId="0" borderId="26" xfId="0" applyFont="1" applyFill="1" applyBorder="1" applyAlignment="1">
      <alignment horizontal="left" vertical="top"/>
    </xf>
    <xf numFmtId="0" fontId="4" fillId="0" borderId="34" xfId="0" applyFont="1" applyFill="1" applyBorder="1" applyAlignment="1">
      <alignment horizontal="left" vertical="top"/>
    </xf>
    <xf numFmtId="0" fontId="0" fillId="0" borderId="64" xfId="0" applyFont="1" applyFill="1" applyBorder="1" applyAlignment="1">
      <alignment vertical="top"/>
    </xf>
    <xf numFmtId="0" fontId="0" fillId="0" borderId="68" xfId="0" applyFont="1" applyFill="1" applyBorder="1" applyAlignment="1">
      <alignment vertical="top"/>
    </xf>
    <xf numFmtId="0" fontId="0" fillId="0" borderId="75" xfId="0" applyFont="1" applyFill="1" applyBorder="1" applyAlignment="1">
      <alignment vertical="top"/>
    </xf>
    <xf numFmtId="0" fontId="0" fillId="0" borderId="16" xfId="0" applyFont="1" applyFill="1" applyBorder="1" applyAlignment="1">
      <alignment horizontal="left" vertical="top"/>
    </xf>
    <xf numFmtId="0" fontId="75" fillId="42" borderId="90" xfId="0" applyFont="1" applyFill="1" applyBorder="1" applyAlignment="1">
      <alignment horizontal="left" vertical="top"/>
    </xf>
    <xf numFmtId="0" fontId="75" fillId="47" borderId="91" xfId="0" applyFont="1" applyFill="1" applyBorder="1" applyAlignment="1">
      <alignment horizontal="left" vertical="top"/>
    </xf>
    <xf numFmtId="0" fontId="75" fillId="47" borderId="88" xfId="0" applyFont="1" applyFill="1" applyBorder="1" applyAlignment="1">
      <alignment horizontal="left" vertical="top"/>
    </xf>
    <xf numFmtId="0" fontId="0" fillId="0" borderId="16" xfId="0" applyFont="1" applyBorder="1" applyAlignment="1">
      <alignment horizontal="left"/>
    </xf>
    <xf numFmtId="0" fontId="0" fillId="48" borderId="28" xfId="0" applyFont="1" applyFill="1" applyBorder="1" applyAlignment="1">
      <alignment horizontal="left" vertical="top"/>
    </xf>
    <xf numFmtId="0" fontId="0" fillId="48" borderId="32" xfId="0" applyFont="1" applyFill="1" applyBorder="1" applyAlignment="1">
      <alignment horizontal="left" vertical="top"/>
    </xf>
    <xf numFmtId="0" fontId="0" fillId="48" borderId="27" xfId="0" applyFont="1" applyFill="1" applyBorder="1" applyAlignment="1">
      <alignment horizontal="left" vertical="top"/>
    </xf>
    <xf numFmtId="0" fontId="4" fillId="0" borderId="28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0" fillId="39" borderId="124" xfId="42" applyFont="1" applyFill="1" applyBorder="1" applyAlignment="1">
      <alignment horizontal="left"/>
      <protection/>
    </xf>
    <xf numFmtId="0" fontId="4" fillId="42" borderId="28" xfId="0" applyFont="1" applyFill="1" applyBorder="1" applyAlignment="1">
      <alignment vertical="center" wrapText="1"/>
    </xf>
    <xf numFmtId="0" fontId="4" fillId="42" borderId="32" xfId="0" applyFont="1" applyFill="1" applyBorder="1" applyAlignment="1">
      <alignment vertical="center"/>
    </xf>
    <xf numFmtId="0" fontId="4" fillId="42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4" fillId="42" borderId="114" xfId="0" applyFont="1" applyFill="1" applyBorder="1" applyAlignment="1">
      <alignment horizontal="left" vertical="top"/>
    </xf>
    <xf numFmtId="0" fontId="4" fillId="42" borderId="115" xfId="0" applyFont="1" applyFill="1" applyBorder="1" applyAlignment="1">
      <alignment horizontal="left" vertical="top"/>
    </xf>
    <xf numFmtId="0" fontId="72" fillId="35" borderId="60" xfId="0" applyFont="1" applyFill="1" applyBorder="1" applyAlignment="1">
      <alignment vertical="top"/>
    </xf>
    <xf numFmtId="0" fontId="72" fillId="35" borderId="57" xfId="0" applyFont="1" applyFill="1" applyBorder="1" applyAlignment="1">
      <alignment vertical="top"/>
    </xf>
    <xf numFmtId="0" fontId="72" fillId="35" borderId="51" xfId="0" applyFont="1" applyFill="1" applyBorder="1" applyAlignment="1">
      <alignment vertical="top"/>
    </xf>
    <xf numFmtId="0" fontId="75" fillId="42" borderId="82" xfId="0" applyFont="1" applyFill="1" applyBorder="1" applyAlignment="1">
      <alignment horizontal="left" vertical="top"/>
    </xf>
    <xf numFmtId="0" fontId="75" fillId="42" borderId="102" xfId="0" applyFont="1" applyFill="1" applyBorder="1" applyAlignment="1">
      <alignment horizontal="left" vertical="top"/>
    </xf>
    <xf numFmtId="0" fontId="75" fillId="42" borderId="122" xfId="0" applyFont="1" applyFill="1" applyBorder="1" applyAlignment="1">
      <alignment horizontal="left" vertical="top"/>
    </xf>
    <xf numFmtId="0" fontId="4" fillId="0" borderId="28" xfId="0" applyFont="1" applyFill="1" applyBorder="1" applyAlignment="1">
      <alignment horizontal="left" vertical="top"/>
    </xf>
    <xf numFmtId="0" fontId="4" fillId="0" borderId="32" xfId="0" applyFont="1" applyFill="1" applyBorder="1" applyAlignment="1">
      <alignment horizontal="left" vertical="top"/>
    </xf>
    <xf numFmtId="0" fontId="4" fillId="0" borderId="124" xfId="0" applyFont="1" applyFill="1" applyBorder="1" applyAlignment="1">
      <alignment horizontal="left" vertical="top"/>
    </xf>
    <xf numFmtId="0" fontId="0" fillId="0" borderId="65" xfId="0" applyFont="1" applyBorder="1" applyAlignment="1">
      <alignment horizontal="left" vertical="top"/>
    </xf>
    <xf numFmtId="0" fontId="0" fillId="0" borderId="60" xfId="0" applyFont="1" applyBorder="1" applyAlignment="1">
      <alignment vertical="top"/>
    </xf>
    <xf numFmtId="0" fontId="0" fillId="0" borderId="57" xfId="0" applyFont="1" applyBorder="1" applyAlignment="1">
      <alignment vertical="top"/>
    </xf>
    <xf numFmtId="0" fontId="4" fillId="0" borderId="64" xfId="0" applyFont="1" applyFill="1" applyBorder="1" applyAlignment="1">
      <alignment vertical="top"/>
    </xf>
    <xf numFmtId="0" fontId="4" fillId="0" borderId="68" xfId="0" applyFont="1" applyFill="1" applyBorder="1" applyAlignment="1">
      <alignment vertical="top"/>
    </xf>
    <xf numFmtId="0" fontId="0" fillId="39" borderId="86" xfId="42" applyFont="1" applyFill="1" applyBorder="1" applyAlignment="1">
      <alignment horizontal="left"/>
      <protection/>
    </xf>
    <xf numFmtId="0" fontId="0" fillId="39" borderId="91" xfId="42" applyFont="1" applyFill="1" applyBorder="1" applyAlignment="1">
      <alignment horizontal="left"/>
      <protection/>
    </xf>
    <xf numFmtId="0" fontId="0" fillId="39" borderId="103" xfId="42" applyFont="1" applyFill="1" applyBorder="1" applyAlignment="1">
      <alignment horizontal="left"/>
      <protection/>
    </xf>
    <xf numFmtId="0" fontId="0" fillId="0" borderId="58" xfId="0" applyFont="1" applyBorder="1" applyAlignment="1">
      <alignment horizontal="left" vertical="top"/>
    </xf>
    <xf numFmtId="0" fontId="0" fillId="0" borderId="123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0" fillId="0" borderId="41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75" fillId="42" borderId="16" xfId="0" applyFont="1" applyFill="1" applyBorder="1" applyAlignment="1">
      <alignment horizontal="left" vertical="top"/>
    </xf>
    <xf numFmtId="0" fontId="75" fillId="47" borderId="16" xfId="0" applyFont="1" applyFill="1" applyBorder="1" applyAlignment="1">
      <alignment horizontal="left" vertical="top"/>
    </xf>
    <xf numFmtId="0" fontId="0" fillId="48" borderId="82" xfId="0" applyFont="1" applyFill="1" applyBorder="1" applyAlignment="1">
      <alignment horizontal="left" vertical="top"/>
    </xf>
    <xf numFmtId="0" fontId="0" fillId="48" borderId="102" xfId="0" applyFont="1" applyFill="1" applyBorder="1" applyAlignment="1">
      <alignment horizontal="left" vertical="top"/>
    </xf>
    <xf numFmtId="0" fontId="0" fillId="48" borderId="122" xfId="0" applyFont="1" applyFill="1" applyBorder="1" applyAlignment="1">
      <alignment horizontal="left" vertical="top"/>
    </xf>
    <xf numFmtId="0" fontId="4" fillId="33" borderId="60" xfId="0" applyFont="1" applyFill="1" applyBorder="1" applyAlignment="1">
      <alignment horizontal="left" vertical="top"/>
    </xf>
    <xf numFmtId="0" fontId="4" fillId="33" borderId="57" xfId="0" applyFont="1" applyFill="1" applyBorder="1" applyAlignment="1">
      <alignment horizontal="left" vertical="top"/>
    </xf>
    <xf numFmtId="0" fontId="4" fillId="33" borderId="51" xfId="0" applyFont="1" applyFill="1" applyBorder="1" applyAlignment="1">
      <alignment horizontal="left" vertical="top"/>
    </xf>
    <xf numFmtId="0" fontId="4" fillId="47" borderId="28" xfId="0" applyFont="1" applyFill="1" applyBorder="1" applyAlignment="1">
      <alignment horizontal="left" vertical="center" wrapText="1"/>
    </xf>
    <xf numFmtId="0" fontId="4" fillId="47" borderId="32" xfId="0" applyFont="1" applyFill="1" applyBorder="1" applyAlignment="1">
      <alignment horizontal="left" vertical="center"/>
    </xf>
    <xf numFmtId="0" fontId="4" fillId="47" borderId="27" xfId="0" applyFont="1" applyFill="1" applyBorder="1" applyAlignment="1">
      <alignment horizontal="left" vertical="center"/>
    </xf>
    <xf numFmtId="0" fontId="0" fillId="0" borderId="64" xfId="0" applyFont="1" applyBorder="1" applyAlignment="1">
      <alignment horizontal="left" vertical="top"/>
    </xf>
    <xf numFmtId="0" fontId="0" fillId="0" borderId="68" xfId="0" applyFont="1" applyBorder="1" applyAlignment="1">
      <alignment horizontal="left" vertical="top"/>
    </xf>
    <xf numFmtId="0" fontId="0" fillId="0" borderId="75" xfId="0" applyFont="1" applyBorder="1" applyAlignment="1">
      <alignment horizontal="left" vertical="top"/>
    </xf>
    <xf numFmtId="0" fontId="72" fillId="35" borderId="60" xfId="0" applyFont="1" applyFill="1" applyBorder="1" applyAlignment="1">
      <alignment vertical="center" wrapText="1"/>
    </xf>
    <xf numFmtId="0" fontId="72" fillId="35" borderId="57" xfId="0" applyFont="1" applyFill="1" applyBorder="1" applyAlignment="1">
      <alignment vertical="center"/>
    </xf>
    <xf numFmtId="0" fontId="72" fillId="35" borderId="51" xfId="0" applyFont="1" applyFill="1" applyBorder="1" applyAlignment="1">
      <alignment vertical="center"/>
    </xf>
    <xf numFmtId="0" fontId="0" fillId="0" borderId="68" xfId="0" applyFont="1" applyBorder="1" applyAlignment="1">
      <alignment vertical="top"/>
    </xf>
    <xf numFmtId="0" fontId="0" fillId="0" borderId="75" xfId="0" applyFont="1" applyBorder="1" applyAlignment="1">
      <alignment vertical="top"/>
    </xf>
    <xf numFmtId="0" fontId="0" fillId="0" borderId="84" xfId="0" applyFont="1" applyBorder="1" applyAlignment="1">
      <alignment horizontal="left" vertical="top"/>
    </xf>
    <xf numFmtId="0" fontId="72" fillId="35" borderId="125" xfId="0" applyFont="1" applyFill="1" applyBorder="1" applyAlignment="1">
      <alignment vertical="top"/>
    </xf>
    <xf numFmtId="0" fontId="72" fillId="35" borderId="126" xfId="0" applyFont="1" applyFill="1" applyBorder="1" applyAlignment="1">
      <alignment vertical="top"/>
    </xf>
    <xf numFmtId="0" fontId="72" fillId="35" borderId="127" xfId="0" applyFont="1" applyFill="1" applyBorder="1" applyAlignment="1">
      <alignment vertical="top"/>
    </xf>
    <xf numFmtId="0" fontId="4" fillId="47" borderId="90" xfId="0" applyFont="1" applyFill="1" applyBorder="1" applyAlignment="1">
      <alignment horizontal="left" vertical="top" wrapText="1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128" xfId="0" applyFont="1" applyBorder="1" applyAlignment="1">
      <alignment horizontal="center"/>
    </xf>
    <xf numFmtId="0" fontId="4" fillId="0" borderId="28" xfId="0" applyFont="1" applyFill="1" applyBorder="1" applyAlignment="1">
      <alignment vertical="top" wrapText="1"/>
    </xf>
    <xf numFmtId="0" fontId="0" fillId="0" borderId="0" xfId="0" applyFont="1" applyAlignment="1">
      <alignment horizontal="center" wrapText="1"/>
    </xf>
    <xf numFmtId="0" fontId="0" fillId="0" borderId="64" xfId="0" applyFont="1" applyFill="1" applyBorder="1" applyAlignment="1">
      <alignment horizontal="left"/>
    </xf>
    <xf numFmtId="0" fontId="0" fillId="0" borderId="68" xfId="0" applyFont="1" applyFill="1" applyBorder="1" applyAlignment="1">
      <alignment horizontal="left"/>
    </xf>
    <xf numFmtId="0" fontId="0" fillId="0" borderId="75" xfId="0" applyFont="1" applyFill="1" applyBorder="1" applyAlignment="1">
      <alignment horizontal="left"/>
    </xf>
    <xf numFmtId="0" fontId="0" fillId="0" borderId="64" xfId="0" applyFont="1" applyFill="1" applyBorder="1" applyAlignment="1">
      <alignment horizontal="left" vertical="top" wrapText="1"/>
    </xf>
    <xf numFmtId="0" fontId="0" fillId="0" borderId="68" xfId="0" applyFont="1" applyFill="1" applyBorder="1" applyAlignment="1">
      <alignment horizontal="left" vertical="top" wrapText="1"/>
    </xf>
    <xf numFmtId="0" fontId="0" fillId="0" borderId="75" xfId="0" applyFont="1" applyFill="1" applyBorder="1" applyAlignment="1">
      <alignment horizontal="left" vertical="top" wrapText="1"/>
    </xf>
    <xf numFmtId="0" fontId="4" fillId="47" borderId="28" xfId="0" applyFont="1" applyFill="1" applyBorder="1" applyAlignment="1">
      <alignment horizontal="left" vertical="top" wrapText="1"/>
    </xf>
    <xf numFmtId="0" fontId="0" fillId="0" borderId="32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2" xfId="0" applyFont="1" applyFill="1" applyBorder="1" applyAlignment="1">
      <alignment horizontal="left" vertical="top" wrapText="1"/>
    </xf>
    <xf numFmtId="0" fontId="0" fillId="0" borderId="82" xfId="0" applyFont="1" applyFill="1" applyBorder="1" applyAlignment="1">
      <alignment horizontal="left" vertical="top" wrapText="1"/>
    </xf>
    <xf numFmtId="0" fontId="0" fillId="0" borderId="102" xfId="0" applyFont="1" applyFill="1" applyBorder="1" applyAlignment="1">
      <alignment horizontal="left" vertical="top" wrapText="1"/>
    </xf>
    <xf numFmtId="0" fontId="0" fillId="0" borderId="122" xfId="0" applyFont="1" applyFill="1" applyBorder="1" applyAlignment="1">
      <alignment horizontal="left" vertical="top" wrapText="1"/>
    </xf>
    <xf numFmtId="0" fontId="0" fillId="0" borderId="32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47" borderId="32" xfId="0" applyFont="1" applyFill="1" applyBorder="1" applyAlignment="1">
      <alignment horizontal="left"/>
    </xf>
    <xf numFmtId="0" fontId="0" fillId="47" borderId="27" xfId="0" applyFont="1" applyFill="1" applyBorder="1" applyAlignment="1">
      <alignment horizontal="left"/>
    </xf>
    <xf numFmtId="0" fontId="0" fillId="0" borderId="82" xfId="0" applyFont="1" applyBorder="1" applyAlignment="1">
      <alignment vertical="top"/>
    </xf>
    <xf numFmtId="0" fontId="0" fillId="0" borderId="102" xfId="0" applyFont="1" applyBorder="1" applyAlignment="1">
      <alignment vertical="top"/>
    </xf>
    <xf numFmtId="0" fontId="0" fillId="0" borderId="122" xfId="0" applyFont="1" applyBorder="1" applyAlignment="1">
      <alignment vertical="top"/>
    </xf>
    <xf numFmtId="0" fontId="0" fillId="0" borderId="34" xfId="0" applyFont="1" applyBorder="1" applyAlignment="1">
      <alignment horizontal="left" vertical="top"/>
    </xf>
    <xf numFmtId="0" fontId="0" fillId="0" borderId="64" xfId="0" applyFont="1" applyBorder="1" applyAlignment="1">
      <alignment vertical="top"/>
    </xf>
    <xf numFmtId="0" fontId="4" fillId="0" borderId="0" xfId="0" applyFont="1" applyAlignment="1">
      <alignment horizontal="center"/>
    </xf>
    <xf numFmtId="0" fontId="12" fillId="0" borderId="35" xfId="0" applyFont="1" applyFill="1" applyBorder="1" applyAlignment="1">
      <alignment horizontal="left" vertical="top"/>
    </xf>
    <xf numFmtId="0" fontId="12" fillId="0" borderId="26" xfId="0" applyFont="1" applyFill="1" applyBorder="1" applyAlignment="1">
      <alignment horizontal="left" vertical="top"/>
    </xf>
    <xf numFmtId="0" fontId="12" fillId="0" borderId="34" xfId="0" applyFont="1" applyFill="1" applyBorder="1" applyAlignment="1">
      <alignment horizontal="left" vertical="top"/>
    </xf>
    <xf numFmtId="0" fontId="9" fillId="35" borderId="35" xfId="0" applyFont="1" applyFill="1" applyBorder="1" applyAlignment="1">
      <alignment vertical="top"/>
    </xf>
    <xf numFmtId="0" fontId="9" fillId="35" borderId="26" xfId="0" applyFont="1" applyFill="1" applyBorder="1" applyAlignment="1">
      <alignment vertical="top"/>
    </xf>
    <xf numFmtId="0" fontId="0" fillId="0" borderId="0" xfId="0" applyFont="1" applyAlignment="1">
      <alignment horizontal="left"/>
    </xf>
    <xf numFmtId="0" fontId="4" fillId="0" borderId="37" xfId="0" applyFont="1" applyBorder="1" applyAlignment="1">
      <alignment horizontal="center"/>
    </xf>
    <xf numFmtId="0" fontId="4" fillId="0" borderId="129" xfId="0" applyFont="1" applyBorder="1" applyAlignment="1">
      <alignment horizontal="center"/>
    </xf>
    <xf numFmtId="0" fontId="4" fillId="0" borderId="130" xfId="0" applyFont="1" applyBorder="1" applyAlignment="1">
      <alignment horizontal="center"/>
    </xf>
    <xf numFmtId="0" fontId="5" fillId="0" borderId="3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34" xfId="0" applyFont="1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12" fillId="0" borderId="35" xfId="0" applyFont="1" applyBorder="1" applyAlignment="1">
      <alignment vertical="top"/>
    </xf>
    <xf numFmtId="0" fontId="12" fillId="0" borderId="26" xfId="0" applyFont="1" applyBorder="1" applyAlignment="1">
      <alignment vertical="top"/>
    </xf>
    <xf numFmtId="0" fontId="12" fillId="0" borderId="34" xfId="0" applyFont="1" applyBorder="1" applyAlignment="1">
      <alignment vertical="top"/>
    </xf>
    <xf numFmtId="0" fontId="12" fillId="0" borderId="35" xfId="0" applyFont="1" applyBorder="1" applyAlignment="1">
      <alignment horizontal="left" vertical="top"/>
    </xf>
    <xf numFmtId="0" fontId="12" fillId="0" borderId="26" xfId="0" applyFont="1" applyBorder="1" applyAlignment="1">
      <alignment horizontal="left" vertical="top"/>
    </xf>
    <xf numFmtId="0" fontId="12" fillId="0" borderId="34" xfId="0" applyFont="1" applyBorder="1" applyAlignment="1">
      <alignment horizontal="left" vertical="top"/>
    </xf>
    <xf numFmtId="0" fontId="10" fillId="0" borderId="35" xfId="0" applyFont="1" applyBorder="1" applyAlignment="1">
      <alignment horizontal="left" vertical="top"/>
    </xf>
    <xf numFmtId="0" fontId="10" fillId="0" borderId="26" xfId="0" applyFont="1" applyBorder="1" applyAlignment="1">
      <alignment horizontal="left" vertical="top"/>
    </xf>
    <xf numFmtId="0" fontId="10" fillId="0" borderId="34" xfId="0" applyFont="1" applyBorder="1" applyAlignment="1">
      <alignment horizontal="left" vertical="top"/>
    </xf>
    <xf numFmtId="0" fontId="8" fillId="0" borderId="35" xfId="0" applyFont="1" applyFill="1" applyBorder="1" applyAlignment="1">
      <alignment horizontal="left" vertical="top"/>
    </xf>
    <xf numFmtId="0" fontId="14" fillId="0" borderId="26" xfId="0" applyFont="1" applyFill="1" applyBorder="1" applyAlignment="1">
      <alignment horizontal="left" vertical="top"/>
    </xf>
    <xf numFmtId="0" fontId="14" fillId="0" borderId="34" xfId="0" applyFont="1" applyFill="1" applyBorder="1" applyAlignment="1">
      <alignment horizontal="left" vertical="top"/>
    </xf>
    <xf numFmtId="0" fontId="11" fillId="0" borderId="35" xfId="0" applyFont="1" applyFill="1" applyBorder="1" applyAlignment="1">
      <alignment vertical="top"/>
    </xf>
    <xf numFmtId="0" fontId="11" fillId="0" borderId="26" xfId="0" applyFont="1" applyFill="1" applyBorder="1" applyAlignment="1">
      <alignment vertical="top"/>
    </xf>
    <xf numFmtId="0" fontId="11" fillId="0" borderId="34" xfId="0" applyFont="1" applyFill="1" applyBorder="1" applyAlignment="1">
      <alignment vertical="top"/>
    </xf>
    <xf numFmtId="0" fontId="4" fillId="0" borderId="3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11" fillId="0" borderId="35" xfId="0" applyFont="1" applyBorder="1" applyAlignment="1">
      <alignment vertical="top"/>
    </xf>
    <xf numFmtId="0" fontId="11" fillId="0" borderId="26" xfId="0" applyFont="1" applyBorder="1" applyAlignment="1">
      <alignment vertical="top"/>
    </xf>
    <xf numFmtId="0" fontId="11" fillId="0" borderId="34" xfId="0" applyFont="1" applyBorder="1" applyAlignment="1">
      <alignment vertical="top"/>
    </xf>
    <xf numFmtId="0" fontId="11" fillId="0" borderId="35" xfId="0" applyFont="1" applyBorder="1" applyAlignment="1">
      <alignment horizontal="left" vertical="top"/>
    </xf>
    <xf numFmtId="0" fontId="11" fillId="0" borderId="26" xfId="0" applyFont="1" applyBorder="1" applyAlignment="1">
      <alignment horizontal="left" vertical="top"/>
    </xf>
    <xf numFmtId="0" fontId="11" fillId="0" borderId="34" xfId="0" applyFont="1" applyBorder="1" applyAlignment="1">
      <alignment horizontal="left" vertical="top"/>
    </xf>
    <xf numFmtId="0" fontId="11" fillId="33" borderId="35" xfId="0" applyFont="1" applyFill="1" applyBorder="1" applyAlignment="1">
      <alignment vertical="top"/>
    </xf>
    <xf numFmtId="0" fontId="11" fillId="33" borderId="26" xfId="0" applyFont="1" applyFill="1" applyBorder="1" applyAlignment="1">
      <alignment vertical="top"/>
    </xf>
    <xf numFmtId="0" fontId="11" fillId="33" borderId="34" xfId="0" applyFont="1" applyFill="1" applyBorder="1" applyAlignment="1">
      <alignment vertical="top"/>
    </xf>
    <xf numFmtId="0" fontId="10" fillId="0" borderId="35" xfId="0" applyFont="1" applyBorder="1" applyAlignment="1">
      <alignment vertical="top"/>
    </xf>
    <xf numFmtId="0" fontId="10" fillId="0" borderId="26" xfId="0" applyFont="1" applyBorder="1" applyAlignment="1">
      <alignment vertical="top"/>
    </xf>
    <xf numFmtId="0" fontId="10" fillId="0" borderId="34" xfId="0" applyFont="1" applyBorder="1" applyAlignment="1">
      <alignment vertical="top"/>
    </xf>
    <xf numFmtId="0" fontId="0" fillId="0" borderId="26" xfId="0" applyFont="1" applyBorder="1" applyAlignment="1">
      <alignment/>
    </xf>
    <xf numFmtId="0" fontId="0" fillId="0" borderId="34" xfId="0" applyFont="1" applyBorder="1" applyAlignment="1">
      <alignment/>
    </xf>
    <xf numFmtId="0" fontId="12" fillId="0" borderId="35" xfId="0" applyFont="1" applyBorder="1" applyAlignment="1">
      <alignment horizontal="left" vertical="top" wrapText="1"/>
    </xf>
    <xf numFmtId="0" fontId="9" fillId="35" borderId="34" xfId="0" applyFont="1" applyFill="1" applyBorder="1" applyAlignment="1">
      <alignment vertical="top"/>
    </xf>
    <xf numFmtId="0" fontId="5" fillId="0" borderId="0" xfId="45" applyFont="1" applyBorder="1" applyAlignment="1">
      <alignment horizontal="center" vertical="top"/>
      <protection/>
    </xf>
    <xf numFmtId="0" fontId="5" fillId="0" borderId="116" xfId="0" applyFont="1" applyBorder="1" applyAlignment="1">
      <alignment horizontal="center"/>
    </xf>
    <xf numFmtId="0" fontId="5" fillId="0" borderId="11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31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4" fontId="0" fillId="47" borderId="0" xfId="0" applyNumberFormat="1" applyFont="1" applyFill="1" applyAlignment="1">
      <alignment horizontal="center"/>
    </xf>
    <xf numFmtId="0" fontId="0" fillId="47" borderId="0" xfId="0" applyFont="1" applyFill="1" applyAlignment="1">
      <alignment horizontal="center"/>
    </xf>
    <xf numFmtId="0" fontId="10" fillId="0" borderId="35" xfId="0" applyFont="1" applyFill="1" applyBorder="1" applyAlignment="1">
      <alignment horizontal="left" vertical="top"/>
    </xf>
    <xf numFmtId="0" fontId="10" fillId="0" borderId="26" xfId="0" applyFont="1" applyFill="1" applyBorder="1" applyAlignment="1">
      <alignment horizontal="left" vertical="top"/>
    </xf>
    <xf numFmtId="0" fontId="10" fillId="0" borderId="34" xfId="0" applyFont="1" applyFill="1" applyBorder="1" applyAlignment="1">
      <alignment horizontal="left" vertical="top"/>
    </xf>
    <xf numFmtId="0" fontId="0" fillId="0" borderId="43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71" fontId="0" fillId="15" borderId="0" xfId="0" applyNumberFormat="1" applyFont="1" applyFill="1" applyAlignment="1">
      <alignment horizontal="center"/>
    </xf>
    <xf numFmtId="0" fontId="0" fillId="15" borderId="0" xfId="0" applyFont="1" applyFill="1" applyAlignment="1">
      <alignment horizontal="center"/>
    </xf>
    <xf numFmtId="0" fontId="4" fillId="0" borderId="0" xfId="0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center"/>
    </xf>
    <xf numFmtId="0" fontId="27" fillId="0" borderId="116" xfId="0" applyFont="1" applyFill="1" applyBorder="1" applyAlignment="1">
      <alignment horizontal="center" vertical="center" wrapText="1"/>
    </xf>
    <xf numFmtId="0" fontId="27" fillId="0" borderId="132" xfId="0" applyFont="1" applyFill="1" applyBorder="1" applyAlignment="1">
      <alignment horizontal="center" vertical="center" wrapText="1"/>
    </xf>
    <xf numFmtId="0" fontId="27" fillId="0" borderId="116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43" borderId="16" xfId="60" applyFont="1" applyFill="1" applyBorder="1" applyAlignment="1">
      <alignment horizontal="center" vertical="center" wrapText="1"/>
      <protection/>
    </xf>
    <xf numFmtId="49" fontId="4" fillId="0" borderId="91" xfId="60" applyNumberFormat="1" applyFont="1" applyBorder="1" applyAlignment="1">
      <alignment horizontal="center" vertical="center" wrapText="1"/>
      <protection/>
    </xf>
    <xf numFmtId="0" fontId="27" fillId="43" borderId="35" xfId="60" applyFont="1" applyFill="1" applyBorder="1" applyAlignment="1">
      <alignment horizontal="center" vertical="center" wrapText="1"/>
      <protection/>
    </xf>
    <xf numFmtId="0" fontId="27" fillId="43" borderId="34" xfId="60" applyFont="1" applyFill="1" applyBorder="1" applyAlignment="1">
      <alignment horizontal="center" vertical="center" wrapText="1"/>
      <protection/>
    </xf>
    <xf numFmtId="4" fontId="27" fillId="43" borderId="16" xfId="42" applyNumberFormat="1" applyFont="1" applyFill="1" applyBorder="1" applyAlignment="1">
      <alignment horizontal="center" vertical="center" wrapText="1"/>
      <protection/>
    </xf>
    <xf numFmtId="10" fontId="27" fillId="43" borderId="16" xfId="60" applyNumberFormat="1" applyFont="1" applyFill="1" applyBorder="1" applyAlignment="1">
      <alignment horizontal="center" vertical="center" wrapText="1"/>
      <protection/>
    </xf>
    <xf numFmtId="49" fontId="4" fillId="0" borderId="0" xfId="0" applyNumberFormat="1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prihodi -stara tab." xfId="45"/>
    <cellStyle name="Comma_rashodi-2010.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_Sheet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3">
    <dxf/>
    <dxf>
      <fill>
        <patternFill patternType="solid">
          <fgColor indexed="60"/>
          <bgColor indexed="10"/>
        </patternFill>
      </fill>
    </dxf>
    <dxf>
      <fill>
        <patternFill>
          <bgColor indexed="2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C6C6C"/>
      <rgbColor rgb="00C8C8C8"/>
      <rgbColor rgb="00FCFCF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Структура буџета по програмској класификацији</a:t>
            </a:r>
          </a:p>
        </c:rich>
      </c:tx>
      <c:layout>
        <c:manualLayout>
          <c:xMode val="factor"/>
          <c:yMode val="factor"/>
          <c:x val="0.01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325"/>
          <c:y val="0.0455"/>
          <c:w val="0.15025"/>
          <c:h val="0.226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'[1]Програмска'!$A$604:$A$618</c:f>
              <c:strCache>
                <c:ptCount val="15"/>
                <c:pt idx="0">
                  <c:v>Програм 1.  Локални развој и просторно планирање</c:v>
                </c:pt>
                <c:pt idx="1">
                  <c:v>Програм 2.  Комунална делатност</c:v>
                </c:pt>
                <c:pt idx="2">
                  <c:v>Програм 3.  Локални економски развој</c:v>
                </c:pt>
                <c:pt idx="3">
                  <c:v>Програм 4.  Развој туризма</c:v>
                </c:pt>
                <c:pt idx="4">
                  <c:v>Програм 5.  Развој пољопривреде</c:v>
                </c:pt>
                <c:pt idx="5">
                  <c:v>Програм 6.  Заштита животне средине</c:v>
                </c:pt>
                <c:pt idx="6">
                  <c:v>Програм 7.  Путна инфраструктура</c:v>
                </c:pt>
                <c:pt idx="7">
                  <c:v>Програм 8.  Предшколско васпитање</c:v>
                </c:pt>
                <c:pt idx="8">
                  <c:v>Програм 9.  Основно образовање</c:v>
                </c:pt>
                <c:pt idx="9">
                  <c:v>Програм 10. Средње образовање</c:v>
                </c:pt>
                <c:pt idx="10">
                  <c:v>Програм 11.  Социјална  и дечја заштита</c:v>
                </c:pt>
                <c:pt idx="11">
                  <c:v>Програм 12.  Примарна здравствена заштита</c:v>
                </c:pt>
                <c:pt idx="12">
                  <c:v>Програм 13.  Развој културе</c:v>
                </c:pt>
                <c:pt idx="13">
                  <c:v>Програм 14.  Развој спорта и омладине</c:v>
                </c:pt>
                <c:pt idx="14">
                  <c:v>Програм 15.  Локална самоуправа</c:v>
                </c:pt>
              </c:strCache>
            </c:strRef>
          </c:cat>
          <c:val>
            <c:numRef>
              <c:f>'[1]Програмска'!$B$604:$B$618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975"/>
          <c:y val="0"/>
          <c:w val="0.32125"/>
          <c:h val="0.91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6C6C6C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Структура буџета по функционалној класификацији</a:t>
            </a:r>
          </a:p>
        </c:rich>
      </c:tx>
      <c:layout>
        <c:manualLayout>
          <c:xMode val="factor"/>
          <c:yMode val="factor"/>
          <c:x val="0.006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0165"/>
          <c:w val="0.01675"/>
          <c:h val="0.041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('[1]Расх по функц. '!$A$4:$B$4,'[1]Расх по функц. '!$A$14:$B$14,'[1]Расх по функц. '!$A$31:$B$31,'[1]Расх по функц. '!$A$38:$B$38,'[1]Расх по функц. '!$A$78:$B$78,'[1]Расх по функц. '!$A$85:$B$85,'[1]Расх по функц. '!$A$92:$B$92,'[1]Расх по функц. '!$A$110:$B$110,'[1]Расх по функц. '!$A$117:$B$117)</c:f>
              <c:strCache>
                <c:ptCount val="9"/>
                <c:pt idx="0">
                  <c:v>0</c:v>
                </c:pt>
                <c:pt idx="1">
                  <c:v>СОЦИЈАЛНА ЗАШТИТА</c:v>
                </c:pt>
                <c:pt idx="2">
                  <c:v>100</c:v>
                </c:pt>
                <c:pt idx="3">
                  <c:v>ОПШТЕ ЈАВНЕ УСЛУГЕ</c:v>
                </c:pt>
                <c:pt idx="4">
                  <c:v>300</c:v>
                </c:pt>
                <c:pt idx="5">
                  <c:v>ЈАВНИ РЕД И БЕЗБЕДНОСТ</c:v>
                </c:pt>
                <c:pt idx="6">
                  <c:v>400</c:v>
                </c:pt>
                <c:pt idx="7">
                  <c:v>ЕКОНОМСКИ ПОСЛОВИ</c:v>
                </c:pt>
                <c:pt idx="8">
                  <c:v>500</c:v>
                </c:pt>
              </c:strCache>
            </c:strRef>
          </c:cat>
          <c:val>
            <c:numRef>
              <c:f>('[1]Расх по функц. '!$C$4,'[1]Расх по функц. '!$C$14,'[1]Расх по функц. '!$C$31,'[1]Расх по функц. '!$C$38,'[1]Расх по функц. '!$C$78,'[1]Расх по функц. '!$C$85,'[1]Расх по функц. '!$C$92,'[1]Расх по функц. '!$C$110,'[1]Расх по функц. '!$C$117)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525"/>
          <c:y val="0.02925"/>
          <c:w val="0.3265"/>
          <c:h val="0.5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CFCFC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421</xdr:row>
      <xdr:rowOff>0</xdr:rowOff>
    </xdr:from>
    <xdr:to>
      <xdr:col>10</xdr:col>
      <xdr:colOff>0</xdr:colOff>
      <xdr:row>421</xdr:row>
      <xdr:rowOff>0</xdr:rowOff>
    </xdr:to>
    <xdr:sp>
      <xdr:nvSpPr>
        <xdr:cNvPr id="1" name="Line 6"/>
        <xdr:cNvSpPr>
          <a:spLocks/>
        </xdr:cNvSpPr>
      </xdr:nvSpPr>
      <xdr:spPr>
        <a:xfrm flipH="1" flipV="1">
          <a:off x="0" y="72885300"/>
          <a:ext cx="62293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421</xdr:row>
      <xdr:rowOff>0</xdr:rowOff>
    </xdr:from>
    <xdr:to>
      <xdr:col>10</xdr:col>
      <xdr:colOff>0</xdr:colOff>
      <xdr:row>421</xdr:row>
      <xdr:rowOff>0</xdr:rowOff>
    </xdr:to>
    <xdr:sp>
      <xdr:nvSpPr>
        <xdr:cNvPr id="2" name="Line 6"/>
        <xdr:cNvSpPr>
          <a:spLocks/>
        </xdr:cNvSpPr>
      </xdr:nvSpPr>
      <xdr:spPr>
        <a:xfrm flipH="1" flipV="1">
          <a:off x="0" y="72885300"/>
          <a:ext cx="62293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421</xdr:row>
      <xdr:rowOff>0</xdr:rowOff>
    </xdr:from>
    <xdr:to>
      <xdr:col>10</xdr:col>
      <xdr:colOff>0</xdr:colOff>
      <xdr:row>421</xdr:row>
      <xdr:rowOff>0</xdr:rowOff>
    </xdr:to>
    <xdr:sp>
      <xdr:nvSpPr>
        <xdr:cNvPr id="3" name="Line 6"/>
        <xdr:cNvSpPr>
          <a:spLocks/>
        </xdr:cNvSpPr>
      </xdr:nvSpPr>
      <xdr:spPr>
        <a:xfrm flipH="1" flipV="1">
          <a:off x="0" y="72885300"/>
          <a:ext cx="62293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421</xdr:row>
      <xdr:rowOff>0</xdr:rowOff>
    </xdr:from>
    <xdr:to>
      <xdr:col>10</xdr:col>
      <xdr:colOff>0</xdr:colOff>
      <xdr:row>421</xdr:row>
      <xdr:rowOff>0</xdr:rowOff>
    </xdr:to>
    <xdr:sp>
      <xdr:nvSpPr>
        <xdr:cNvPr id="4" name="Line 6"/>
        <xdr:cNvSpPr>
          <a:spLocks/>
        </xdr:cNvSpPr>
      </xdr:nvSpPr>
      <xdr:spPr>
        <a:xfrm flipH="1" flipV="1">
          <a:off x="0" y="72885300"/>
          <a:ext cx="62293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0"/>
          <a:ext cx="6419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0"/>
          <a:ext cx="6419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0"/>
          <a:ext cx="6419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0" y="0"/>
          <a:ext cx="6419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0" y="0"/>
          <a:ext cx="6419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0" y="0"/>
          <a:ext cx="6419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0" y="0"/>
          <a:ext cx="6419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0" y="0"/>
          <a:ext cx="6419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 flipH="1" flipV="1">
          <a:off x="0" y="0"/>
          <a:ext cx="6419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0" y="0"/>
          <a:ext cx="6419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 flipH="1" flipV="1">
          <a:off x="0" y="0"/>
          <a:ext cx="6419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466725</xdr:colOff>
      <xdr:row>151</xdr:row>
      <xdr:rowOff>57150</xdr:rowOff>
    </xdr:from>
    <xdr:ext cx="190500" cy="257175"/>
    <xdr:sp>
      <xdr:nvSpPr>
        <xdr:cNvPr id="12" name="TextBox 12"/>
        <xdr:cNvSpPr txBox="1">
          <a:spLocks noChangeArrowheads="1"/>
        </xdr:cNvSpPr>
      </xdr:nvSpPr>
      <xdr:spPr>
        <a:xfrm>
          <a:off x="6886575" y="208407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0"/>
          <a:ext cx="107537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0"/>
          <a:ext cx="107537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0"/>
          <a:ext cx="107537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0" y="0"/>
          <a:ext cx="107537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0" y="0"/>
          <a:ext cx="107537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0" y="0"/>
          <a:ext cx="107537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0" y="0"/>
          <a:ext cx="107537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0" y="0"/>
          <a:ext cx="107537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 flipH="1" flipV="1">
          <a:off x="0" y="0"/>
          <a:ext cx="107537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0" y="0"/>
          <a:ext cx="107537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 flipH="1" flipV="1">
          <a:off x="0" y="0"/>
          <a:ext cx="107537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614</xdr:row>
      <xdr:rowOff>19050</xdr:rowOff>
    </xdr:from>
    <xdr:to>
      <xdr:col>7</xdr:col>
      <xdr:colOff>66675</xdr:colOff>
      <xdr:row>646</xdr:row>
      <xdr:rowOff>152400</xdr:rowOff>
    </xdr:to>
    <xdr:graphicFrame>
      <xdr:nvGraphicFramePr>
        <xdr:cNvPr id="1" name="Chart 2"/>
        <xdr:cNvGraphicFramePr/>
      </xdr:nvGraphicFramePr>
      <xdr:xfrm>
        <a:off x="57150" y="13011150"/>
        <a:ext cx="794385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1</xdr:row>
      <xdr:rowOff>266700</xdr:rowOff>
    </xdr:from>
    <xdr:to>
      <xdr:col>16</xdr:col>
      <xdr:colOff>114300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8515350" y="457200"/>
        <a:ext cx="57150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5.2.2.47\finansija\Users\Finansija1\AppData\Local\Microsoft\Windows\Temporary%20Internet%20Files\Content.Outlook\B3NK28NV\SKGO-PROG.BUD&#381;ET\Model%20odluk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lter4\finansija\finansija_group\Predmeti%202013\1,2,3,4,5\odluka%20budzet2013\LP_Tabel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КОРИСНИЦИМА"/>
      <sheetName val="По основ. нам."/>
      <sheetName val="Рачун финансирања"/>
      <sheetName val="Приџ,прим vs Расх,изд"/>
      <sheetName val="Оптшти део - (6)"/>
      <sheetName val="Капитални расходи"/>
      <sheetName val="Програмска"/>
      <sheetName val="Расх по функц. "/>
      <sheetName val="Класификације"/>
    </sheetNames>
    <sheetDataSet>
      <sheetData sheetId="1">
        <row r="86">
          <cell r="F86">
            <v>0</v>
          </cell>
        </row>
      </sheetData>
      <sheetData sheetId="6">
        <row r="598">
          <cell r="G598">
            <v>0</v>
          </cell>
        </row>
        <row r="604">
          <cell r="A604" t="str">
            <v>Програм 1.  Локални развој и просторно планирање</v>
          </cell>
          <cell r="B604">
            <v>0</v>
          </cell>
        </row>
        <row r="605">
          <cell r="A605" t="str">
            <v>Програм 2.  Комунална делатност</v>
          </cell>
          <cell r="B605">
            <v>0</v>
          </cell>
        </row>
        <row r="606">
          <cell r="A606" t="str">
            <v>Програм 3.  Локални економски развој</v>
          </cell>
          <cell r="B606">
            <v>0</v>
          </cell>
        </row>
        <row r="607">
          <cell r="A607" t="str">
            <v>Програм 4.  Развој туризма</v>
          </cell>
          <cell r="B607">
            <v>0</v>
          </cell>
        </row>
        <row r="608">
          <cell r="A608" t="str">
            <v>Програм 5.  Развој пољопривреде</v>
          </cell>
          <cell r="B608">
            <v>0</v>
          </cell>
        </row>
        <row r="609">
          <cell r="A609" t="str">
            <v>Програм 6.  Заштита животне средине</v>
          </cell>
          <cell r="B609">
            <v>0</v>
          </cell>
        </row>
        <row r="610">
          <cell r="A610" t="str">
            <v>Програм 7.  Путна инфраструктура</v>
          </cell>
          <cell r="B610">
            <v>0</v>
          </cell>
        </row>
        <row r="611">
          <cell r="A611" t="str">
            <v>Програм 8.  Предшколско васпитање</v>
          </cell>
          <cell r="B611">
            <v>0</v>
          </cell>
        </row>
        <row r="612">
          <cell r="A612" t="str">
            <v>Програм 9.  Основно образовање</v>
          </cell>
          <cell r="B612">
            <v>0</v>
          </cell>
        </row>
        <row r="613">
          <cell r="A613" t="str">
            <v>Програм 10. Средње образовање</v>
          </cell>
          <cell r="B613">
            <v>0</v>
          </cell>
        </row>
        <row r="614">
          <cell r="A614" t="str">
            <v>Програм 11.  Социјална  и дечја заштита</v>
          </cell>
          <cell r="B614">
            <v>0</v>
          </cell>
        </row>
        <row r="615">
          <cell r="A615" t="str">
            <v>Програм 12.  Примарна здравствена заштита</v>
          </cell>
          <cell r="B615">
            <v>0</v>
          </cell>
        </row>
        <row r="616">
          <cell r="A616" t="str">
            <v>Програм 13.  Развој културе</v>
          </cell>
          <cell r="B616">
            <v>0</v>
          </cell>
        </row>
        <row r="617">
          <cell r="A617" t="str">
            <v>Програм 14.  Развој спорта и омладине</v>
          </cell>
          <cell r="B617">
            <v>0</v>
          </cell>
        </row>
        <row r="618">
          <cell r="A618" t="str">
            <v>Програм 15.  Локална самоуправа</v>
          </cell>
          <cell r="B618">
            <v>0</v>
          </cell>
        </row>
      </sheetData>
      <sheetData sheetId="7">
        <row r="4">
          <cell r="A4" t="str">
            <v>000</v>
          </cell>
          <cell r="B4" t="str">
            <v>СОЦИЈАЛНА ЗАШТИТА</v>
          </cell>
          <cell r="C4">
            <v>0</v>
          </cell>
        </row>
        <row r="14">
          <cell r="A14" t="str">
            <v>100</v>
          </cell>
          <cell r="B14" t="str">
            <v>ОПШТЕ ЈАВНЕ УСЛУГЕ</v>
          </cell>
          <cell r="C14">
            <v>0</v>
          </cell>
        </row>
        <row r="31">
          <cell r="A31" t="str">
            <v>300</v>
          </cell>
          <cell r="B31" t="str">
            <v>ЈАВНИ РЕД И БЕЗБЕДНОСТ</v>
          </cell>
          <cell r="C31">
            <v>0</v>
          </cell>
        </row>
        <row r="38">
          <cell r="A38" t="str">
            <v>400</v>
          </cell>
          <cell r="B38" t="str">
            <v>ЕКОНОМСКИ ПОСЛОВИ</v>
          </cell>
          <cell r="C38">
            <v>0</v>
          </cell>
        </row>
        <row r="78">
          <cell r="A78" t="str">
            <v>500</v>
          </cell>
          <cell r="B78" t="str">
            <v>ЗАШТИТА ЖИВОТНЕ СРЕДИНЕ</v>
          </cell>
          <cell r="C78">
            <v>0</v>
          </cell>
        </row>
        <row r="85">
          <cell r="A85" t="str">
            <v>600</v>
          </cell>
          <cell r="B85" t="str">
            <v>ПОСЛОВИ СТАНОВАЊА И ЗАЈЕДНИЦЕ</v>
          </cell>
          <cell r="C85">
            <v>0</v>
          </cell>
        </row>
        <row r="92">
          <cell r="A92">
            <v>700</v>
          </cell>
          <cell r="B92" t="str">
            <v>ЗДРАВСТВО</v>
          </cell>
          <cell r="C92">
            <v>0</v>
          </cell>
        </row>
        <row r="110">
          <cell r="A110" t="str">
            <v>800</v>
          </cell>
          <cell r="B110" t="str">
            <v>РЕКРЕАЦИЈА, СПОРТ, КУЛТУРА И ВЕРЕ</v>
          </cell>
          <cell r="C110">
            <v>0</v>
          </cell>
        </row>
        <row r="117">
          <cell r="A117" t="str">
            <v>900</v>
          </cell>
          <cell r="B117" t="str">
            <v>ОБРАЗОВАЊЕ</v>
          </cell>
          <cell r="C117">
            <v>0</v>
          </cell>
        </row>
        <row r="139">
          <cell r="F13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a_3-Obracun"/>
    </sheetNames>
    <definedNames>
      <definedName name="Sheet1.Izvoz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62"/>
  <sheetViews>
    <sheetView zoomScalePageLayoutView="0" workbookViewId="0" topLeftCell="A1">
      <pane xSplit="10" ySplit="6" topLeftCell="V262" activePane="bottomRight" state="frozen"/>
      <selection pane="topLeft" activeCell="B1" sqref="B1"/>
      <selection pane="topRight" activeCell="J1" sqref="J1"/>
      <selection pane="bottomLeft" activeCell="B7" sqref="B7"/>
      <selection pane="bottomRight" activeCell="V5" sqref="V5"/>
    </sheetView>
  </sheetViews>
  <sheetFormatPr defaultColWidth="8.8515625" defaultRowHeight="12.75"/>
  <cols>
    <col min="1" max="1" width="2.8515625" style="356" hidden="1" customWidth="1"/>
    <col min="2" max="2" width="3.57421875" style="432" customWidth="1"/>
    <col min="3" max="3" width="6.57421875" style="432" customWidth="1"/>
    <col min="4" max="4" width="5.421875" style="354" customWidth="1"/>
    <col min="5" max="5" width="10.7109375" style="432" customWidth="1"/>
    <col min="6" max="6" width="6.57421875" style="354" customWidth="1"/>
    <col min="7" max="7" width="6.00390625" style="354" customWidth="1"/>
    <col min="8" max="8" width="7.00390625" style="356" customWidth="1"/>
    <col min="9" max="9" width="20.28125" style="356" customWidth="1"/>
    <col min="10" max="10" width="27.28125" style="356" customWidth="1"/>
    <col min="11" max="11" width="15.28125" style="407" hidden="1" customWidth="1"/>
    <col min="12" max="13" width="14.57421875" style="407" hidden="1" customWidth="1"/>
    <col min="14" max="14" width="15.421875" style="363" customWidth="1"/>
    <col min="15" max="15" width="10.140625" style="356" customWidth="1"/>
    <col min="16" max="16" width="11.57421875" style="356" customWidth="1"/>
    <col min="17" max="17" width="13.00390625" style="356" customWidth="1"/>
    <col min="18" max="18" width="14.8515625" style="356" customWidth="1"/>
    <col min="19" max="19" width="11.57421875" style="356" customWidth="1"/>
    <col min="20" max="20" width="11.140625" style="356" customWidth="1"/>
    <col min="21" max="21" width="15.57421875" style="356" hidden="1" customWidth="1"/>
    <col min="22" max="24" width="16.00390625" style="367" customWidth="1"/>
    <col min="25" max="27" width="16.00390625" style="356" customWidth="1"/>
    <col min="28" max="28" width="14.8515625" style="356" customWidth="1"/>
    <col min="29" max="33" width="8.8515625" style="356" customWidth="1"/>
    <col min="34" max="16384" width="8.8515625" style="356" customWidth="1"/>
  </cols>
  <sheetData>
    <row r="1" spans="2:3" ht="12.75">
      <c r="B1" s="44" t="s">
        <v>135</v>
      </c>
      <c r="C1" s="45"/>
    </row>
    <row r="2" spans="2:17" ht="12.75">
      <c r="B2" s="46" t="s">
        <v>136</v>
      </c>
      <c r="I2" s="1350" t="s">
        <v>1555</v>
      </c>
      <c r="J2" s="1350"/>
      <c r="K2" s="1350"/>
      <c r="L2" s="1350"/>
      <c r="M2" s="1350"/>
      <c r="N2" s="1350"/>
      <c r="O2" s="1350"/>
      <c r="P2" s="1350"/>
      <c r="Q2" s="1350"/>
    </row>
    <row r="3" spans="6:17" ht="12.75">
      <c r="F3" s="47"/>
      <c r="G3" s="47"/>
      <c r="H3" s="47"/>
      <c r="I3" s="48"/>
      <c r="J3" s="619"/>
      <c r="K3" s="973"/>
      <c r="L3" s="973"/>
      <c r="M3" s="973"/>
      <c r="N3" s="619"/>
      <c r="O3" s="619"/>
      <c r="P3" s="619"/>
      <c r="Q3" s="619"/>
    </row>
    <row r="4" spans="6:24" ht="27.75" customHeight="1" hidden="1">
      <c r="F4" s="47"/>
      <c r="G4" s="47"/>
      <c r="H4" s="47"/>
      <c r="I4" s="337"/>
      <c r="J4" s="184"/>
      <c r="K4" s="973"/>
      <c r="L4" s="973"/>
      <c r="M4" s="973"/>
      <c r="N4" s="1323"/>
      <c r="O4" s="1324"/>
      <c r="P4" s="1324"/>
      <c r="Q4" s="1324"/>
      <c r="R4" s="1324"/>
      <c r="S4" s="1324"/>
      <c r="T4" s="1324"/>
      <c r="U4" s="1324"/>
      <c r="V4" s="1324"/>
      <c r="W4" s="356"/>
      <c r="X4" s="356"/>
    </row>
    <row r="5" spans="2:23" ht="21.75" customHeight="1" thickBot="1">
      <c r="B5" s="49"/>
      <c r="C5" s="433"/>
      <c r="D5" s="50"/>
      <c r="E5" s="49"/>
      <c r="F5" s="434"/>
      <c r="G5" s="434"/>
      <c r="H5" s="435"/>
      <c r="I5" s="435"/>
      <c r="J5" s="435"/>
      <c r="K5" s="974"/>
      <c r="L5" s="974"/>
      <c r="M5" s="974"/>
      <c r="N5" s="410"/>
      <c r="O5" s="384"/>
      <c r="P5" s="384"/>
      <c r="Q5" s="384"/>
      <c r="T5" s="384"/>
      <c r="U5" s="384"/>
      <c r="V5" s="838"/>
      <c r="W5" s="750"/>
    </row>
    <row r="6" spans="2:24" ht="81" customHeight="1" thickBot="1" thickTop="1">
      <c r="B6" s="70" t="s">
        <v>131</v>
      </c>
      <c r="C6" s="71" t="s">
        <v>132</v>
      </c>
      <c r="D6" s="71" t="s">
        <v>133</v>
      </c>
      <c r="E6" s="284" t="s">
        <v>289</v>
      </c>
      <c r="F6" s="71" t="s">
        <v>288</v>
      </c>
      <c r="G6" s="72" t="s">
        <v>134</v>
      </c>
      <c r="H6" s="1325" t="s">
        <v>77</v>
      </c>
      <c r="I6" s="1325"/>
      <c r="J6" s="1325"/>
      <c r="K6" s="975" t="s">
        <v>1543</v>
      </c>
      <c r="L6" s="1034" t="s">
        <v>1556</v>
      </c>
      <c r="M6" s="1157">
        <v>2019</v>
      </c>
      <c r="N6" s="1038" t="s">
        <v>1564</v>
      </c>
      <c r="O6" s="174" t="s">
        <v>1340</v>
      </c>
      <c r="P6" s="174" t="s">
        <v>1229</v>
      </c>
      <c r="Q6" s="174" t="s">
        <v>1230</v>
      </c>
      <c r="R6" s="174" t="s">
        <v>1231</v>
      </c>
      <c r="S6" s="174" t="s">
        <v>1232</v>
      </c>
      <c r="T6" s="174" t="s">
        <v>1233</v>
      </c>
      <c r="U6" s="385" t="s">
        <v>1195</v>
      </c>
      <c r="V6" s="893" t="s">
        <v>1343</v>
      </c>
      <c r="W6" s="893" t="s">
        <v>1396</v>
      </c>
      <c r="X6" s="893" t="s">
        <v>1554</v>
      </c>
    </row>
    <row r="7" spans="2:24" s="510" customFormat="1" ht="12.75">
      <c r="B7" s="504">
        <v>1</v>
      </c>
      <c r="C7" s="505"/>
      <c r="D7" s="506"/>
      <c r="E7" s="507"/>
      <c r="F7" s="506"/>
      <c r="G7" s="506"/>
      <c r="H7" s="1319" t="s">
        <v>78</v>
      </c>
      <c r="I7" s="1320"/>
      <c r="J7" s="1321"/>
      <c r="K7" s="976">
        <f>K8+K25</f>
        <v>8238000</v>
      </c>
      <c r="L7" s="976">
        <f>L8+L25</f>
        <v>6132177.78</v>
      </c>
      <c r="M7" s="976">
        <f>M8+M25</f>
        <v>8285000</v>
      </c>
      <c r="N7" s="976">
        <f>N8+N25</f>
        <v>10285000</v>
      </c>
      <c r="O7" s="519">
        <f aca="true" t="shared" si="0" ref="O7:T7">O8+O25</f>
        <v>0</v>
      </c>
      <c r="P7" s="519">
        <f t="shared" si="0"/>
        <v>0</v>
      </c>
      <c r="Q7" s="519">
        <f t="shared" si="0"/>
        <v>0</v>
      </c>
      <c r="R7" s="519">
        <f t="shared" si="0"/>
        <v>0</v>
      </c>
      <c r="S7" s="519">
        <f t="shared" si="0"/>
        <v>0</v>
      </c>
      <c r="T7" s="519">
        <f t="shared" si="0"/>
        <v>0</v>
      </c>
      <c r="U7" s="520">
        <f>SUM(O7:T7)</f>
        <v>0</v>
      </c>
      <c r="V7" s="894">
        <f>SUM($N7:$T7)</f>
        <v>10285000</v>
      </c>
      <c r="W7" s="894">
        <f>V7</f>
        <v>10285000</v>
      </c>
      <c r="X7" s="895">
        <f>V7</f>
        <v>10285000</v>
      </c>
    </row>
    <row r="8" spans="2:24" ht="12.75">
      <c r="B8" s="287"/>
      <c r="C8" s="288"/>
      <c r="D8" s="436"/>
      <c r="E8" s="636" t="s">
        <v>1212</v>
      </c>
      <c r="F8" s="436"/>
      <c r="G8" s="437"/>
      <c r="H8" s="1258" t="s">
        <v>1211</v>
      </c>
      <c r="I8" s="1259"/>
      <c r="J8" s="1260"/>
      <c r="K8" s="977">
        <f>K9</f>
        <v>8138000</v>
      </c>
      <c r="L8" s="977">
        <f>L9</f>
        <v>6032177.78</v>
      </c>
      <c r="M8" s="977">
        <f>M9</f>
        <v>8185000</v>
      </c>
      <c r="N8" s="977">
        <f>N9</f>
        <v>10185000</v>
      </c>
      <c r="O8" s="289">
        <f aca="true" t="shared" si="1" ref="O8:T8">O9</f>
        <v>0</v>
      </c>
      <c r="P8" s="289">
        <f t="shared" si="1"/>
        <v>0</v>
      </c>
      <c r="Q8" s="289">
        <f t="shared" si="1"/>
        <v>0</v>
      </c>
      <c r="R8" s="289">
        <f t="shared" si="1"/>
        <v>0</v>
      </c>
      <c r="S8" s="289">
        <f t="shared" si="1"/>
        <v>0</v>
      </c>
      <c r="T8" s="289">
        <f t="shared" si="1"/>
        <v>0</v>
      </c>
      <c r="U8" s="340">
        <f aca="true" t="shared" si="2" ref="U8:U72">SUM(O8:T8)</f>
        <v>0</v>
      </c>
      <c r="V8" s="682">
        <f aca="true" t="shared" si="3" ref="V8:V39">SUM(N8:T8)</f>
        <v>10185000</v>
      </c>
      <c r="W8" s="682">
        <f aca="true" t="shared" si="4" ref="W8:W72">V8</f>
        <v>10185000</v>
      </c>
      <c r="X8" s="644">
        <f aca="true" t="shared" si="5" ref="X8:X72">V8</f>
        <v>10185000</v>
      </c>
    </row>
    <row r="9" spans="2:24" ht="14.25" customHeight="1">
      <c r="B9" s="287"/>
      <c r="C9" s="288"/>
      <c r="D9" s="436"/>
      <c r="E9" s="353" t="s">
        <v>1213</v>
      </c>
      <c r="F9" s="436"/>
      <c r="G9" s="437"/>
      <c r="H9" s="1171" t="s">
        <v>1214</v>
      </c>
      <c r="I9" s="1275"/>
      <c r="J9" s="1276"/>
      <c r="K9" s="978">
        <f aca="true" t="shared" si="6" ref="K9:T9">K10</f>
        <v>8138000</v>
      </c>
      <c r="L9" s="978">
        <f t="shared" si="6"/>
        <v>6032177.78</v>
      </c>
      <c r="M9" s="978">
        <f t="shared" si="6"/>
        <v>8185000</v>
      </c>
      <c r="N9" s="978">
        <f t="shared" si="6"/>
        <v>10185000</v>
      </c>
      <c r="O9" s="293">
        <f t="shared" si="6"/>
        <v>0</v>
      </c>
      <c r="P9" s="293">
        <f t="shared" si="6"/>
        <v>0</v>
      </c>
      <c r="Q9" s="293">
        <f t="shared" si="6"/>
        <v>0</v>
      </c>
      <c r="R9" s="293">
        <f t="shared" si="6"/>
        <v>0</v>
      </c>
      <c r="S9" s="293">
        <f t="shared" si="6"/>
        <v>0</v>
      </c>
      <c r="T9" s="293">
        <f t="shared" si="6"/>
        <v>0</v>
      </c>
      <c r="U9" s="341">
        <f t="shared" si="2"/>
        <v>0</v>
      </c>
      <c r="V9" s="682">
        <f t="shared" si="3"/>
        <v>10185000</v>
      </c>
      <c r="W9" s="682">
        <f t="shared" si="4"/>
        <v>10185000</v>
      </c>
      <c r="X9" s="682">
        <f t="shared" si="5"/>
        <v>10185000</v>
      </c>
    </row>
    <row r="10" spans="2:24" ht="24.75" customHeight="1">
      <c r="B10" s="438"/>
      <c r="C10" s="439"/>
      <c r="D10" s="56">
        <v>110</v>
      </c>
      <c r="E10" s="58"/>
      <c r="F10" s="440"/>
      <c r="G10" s="441"/>
      <c r="H10" s="1326" t="s">
        <v>1234</v>
      </c>
      <c r="I10" s="1163"/>
      <c r="J10" s="1164"/>
      <c r="K10" s="183">
        <f>SUM(K11:K24)</f>
        <v>8138000</v>
      </c>
      <c r="L10" s="183">
        <f>SUM(L11:L24)</f>
        <v>6032177.78</v>
      </c>
      <c r="M10" s="183">
        <f>SUM(M11:M24)</f>
        <v>8185000</v>
      </c>
      <c r="N10" s="183">
        <f>SUM(N11:N24)</f>
        <v>10185000</v>
      </c>
      <c r="O10" s="642">
        <f aca="true" t="shared" si="7" ref="O10:T10">SUM(O11:O24)</f>
        <v>0</v>
      </c>
      <c r="P10" s="642">
        <f t="shared" si="7"/>
        <v>0</v>
      </c>
      <c r="Q10" s="642">
        <f t="shared" si="7"/>
        <v>0</v>
      </c>
      <c r="R10" s="642">
        <f t="shared" si="7"/>
        <v>0</v>
      </c>
      <c r="S10" s="642">
        <f t="shared" si="7"/>
        <v>0</v>
      </c>
      <c r="T10" s="642">
        <f t="shared" si="7"/>
        <v>0</v>
      </c>
      <c r="U10" s="643">
        <f t="shared" si="2"/>
        <v>0</v>
      </c>
      <c r="V10" s="896">
        <f t="shared" si="3"/>
        <v>10185000</v>
      </c>
      <c r="W10" s="896">
        <f t="shared" si="4"/>
        <v>10185000</v>
      </c>
      <c r="X10" s="896">
        <f t="shared" si="5"/>
        <v>10185000</v>
      </c>
    </row>
    <row r="11" spans="2:24" s="363" customFormat="1" ht="12.75">
      <c r="B11" s="357"/>
      <c r="C11" s="364"/>
      <c r="D11" s="359"/>
      <c r="E11" s="364"/>
      <c r="F11" s="375">
        <v>1</v>
      </c>
      <c r="G11" s="442">
        <v>411</v>
      </c>
      <c r="H11" s="1227" t="s">
        <v>27</v>
      </c>
      <c r="I11" s="1228"/>
      <c r="J11" s="1229"/>
      <c r="K11" s="979">
        <v>2100000</v>
      </c>
      <c r="L11" s="979">
        <v>1722744.5900000003</v>
      </c>
      <c r="M11" s="979">
        <v>2114000</v>
      </c>
      <c r="N11" s="979">
        <v>2114000</v>
      </c>
      <c r="O11" s="418">
        <v>0</v>
      </c>
      <c r="P11" s="418">
        <v>0</v>
      </c>
      <c r="Q11" s="418">
        <v>0</v>
      </c>
      <c r="R11" s="421">
        <v>0</v>
      </c>
      <c r="S11" s="421">
        <v>0</v>
      </c>
      <c r="T11" s="421">
        <v>0</v>
      </c>
      <c r="U11" s="421">
        <f t="shared" si="2"/>
        <v>0</v>
      </c>
      <c r="V11" s="634">
        <f t="shared" si="3"/>
        <v>2114000</v>
      </c>
      <c r="W11" s="634">
        <f t="shared" si="4"/>
        <v>2114000</v>
      </c>
      <c r="X11" s="634">
        <f t="shared" si="5"/>
        <v>2114000</v>
      </c>
    </row>
    <row r="12" spans="2:24" s="363" customFormat="1" ht="12.75">
      <c r="B12" s="357"/>
      <c r="C12" s="364"/>
      <c r="D12" s="359"/>
      <c r="E12" s="364"/>
      <c r="F12" s="375">
        <v>2</v>
      </c>
      <c r="G12" s="442">
        <v>412</v>
      </c>
      <c r="H12" s="1227" t="s">
        <v>79</v>
      </c>
      <c r="I12" s="1228"/>
      <c r="J12" s="1229"/>
      <c r="K12" s="979">
        <v>373000</v>
      </c>
      <c r="L12" s="979">
        <v>295450.61000000004</v>
      </c>
      <c r="M12" s="979">
        <v>376000</v>
      </c>
      <c r="N12" s="979">
        <v>376000</v>
      </c>
      <c r="O12" s="418">
        <v>0</v>
      </c>
      <c r="P12" s="418">
        <v>0</v>
      </c>
      <c r="Q12" s="418">
        <v>0</v>
      </c>
      <c r="R12" s="421">
        <v>0</v>
      </c>
      <c r="S12" s="421">
        <v>0</v>
      </c>
      <c r="T12" s="421">
        <v>0</v>
      </c>
      <c r="U12" s="421">
        <f t="shared" si="2"/>
        <v>0</v>
      </c>
      <c r="V12" s="634">
        <v>373000</v>
      </c>
      <c r="W12" s="634">
        <f t="shared" si="4"/>
        <v>373000</v>
      </c>
      <c r="X12" s="634">
        <f t="shared" si="5"/>
        <v>373000</v>
      </c>
    </row>
    <row r="13" spans="2:24" s="363" customFormat="1" ht="12.75">
      <c r="B13" s="357"/>
      <c r="C13" s="364"/>
      <c r="D13" s="359"/>
      <c r="E13" s="364"/>
      <c r="F13" s="375">
        <v>3</v>
      </c>
      <c r="G13" s="442">
        <v>414</v>
      </c>
      <c r="H13" s="1179" t="s">
        <v>206</v>
      </c>
      <c r="I13" s="1180"/>
      <c r="J13" s="1181"/>
      <c r="K13" s="979">
        <v>110000</v>
      </c>
      <c r="L13" s="979">
        <v>0</v>
      </c>
      <c r="M13" s="979">
        <v>110000</v>
      </c>
      <c r="N13" s="979">
        <v>110000</v>
      </c>
      <c r="O13" s="418">
        <v>0</v>
      </c>
      <c r="P13" s="418">
        <v>0</v>
      </c>
      <c r="Q13" s="418">
        <v>0</v>
      </c>
      <c r="R13" s="421">
        <v>0</v>
      </c>
      <c r="S13" s="421">
        <v>0</v>
      </c>
      <c r="T13" s="421">
        <v>0</v>
      </c>
      <c r="U13" s="421">
        <f t="shared" si="2"/>
        <v>0</v>
      </c>
      <c r="V13" s="634">
        <f t="shared" si="3"/>
        <v>110000</v>
      </c>
      <c r="W13" s="634">
        <f t="shared" si="4"/>
        <v>110000</v>
      </c>
      <c r="X13" s="634">
        <f t="shared" si="5"/>
        <v>110000</v>
      </c>
    </row>
    <row r="14" spans="2:24" s="363" customFormat="1" ht="12.75">
      <c r="B14" s="357"/>
      <c r="C14" s="364"/>
      <c r="D14" s="359"/>
      <c r="E14" s="364"/>
      <c r="F14" s="375">
        <v>4</v>
      </c>
      <c r="G14" s="442">
        <v>415</v>
      </c>
      <c r="H14" s="1227" t="s">
        <v>31</v>
      </c>
      <c r="I14" s="1228"/>
      <c r="J14" s="1229"/>
      <c r="K14" s="979">
        <v>130000</v>
      </c>
      <c r="L14" s="979">
        <v>89584.05</v>
      </c>
      <c r="M14" s="979">
        <v>130000</v>
      </c>
      <c r="N14" s="979">
        <v>130000</v>
      </c>
      <c r="O14" s="418">
        <v>0</v>
      </c>
      <c r="P14" s="418">
        <v>0</v>
      </c>
      <c r="Q14" s="418">
        <v>0</v>
      </c>
      <c r="R14" s="421">
        <v>0</v>
      </c>
      <c r="S14" s="421">
        <v>0</v>
      </c>
      <c r="T14" s="421">
        <v>0</v>
      </c>
      <c r="U14" s="421">
        <f t="shared" si="2"/>
        <v>0</v>
      </c>
      <c r="V14" s="634">
        <f t="shared" si="3"/>
        <v>130000</v>
      </c>
      <c r="W14" s="634">
        <f t="shared" si="4"/>
        <v>130000</v>
      </c>
      <c r="X14" s="634">
        <f t="shared" si="5"/>
        <v>130000</v>
      </c>
    </row>
    <row r="15" spans="2:24" s="363" customFormat="1" ht="12.75">
      <c r="B15" s="357"/>
      <c r="C15" s="364"/>
      <c r="D15" s="359"/>
      <c r="E15" s="364"/>
      <c r="F15" s="375">
        <v>5</v>
      </c>
      <c r="G15" s="442">
        <v>421</v>
      </c>
      <c r="H15" s="1179" t="s">
        <v>33</v>
      </c>
      <c r="I15" s="1180"/>
      <c r="J15" s="1181"/>
      <c r="K15" s="979">
        <v>45000</v>
      </c>
      <c r="L15" s="979">
        <v>19497.51</v>
      </c>
      <c r="M15" s="979">
        <v>45000</v>
      </c>
      <c r="N15" s="979">
        <v>45000</v>
      </c>
      <c r="O15" s="418">
        <v>0</v>
      </c>
      <c r="P15" s="418">
        <v>0</v>
      </c>
      <c r="Q15" s="418">
        <v>0</v>
      </c>
      <c r="R15" s="421">
        <v>0</v>
      </c>
      <c r="S15" s="421">
        <v>0</v>
      </c>
      <c r="T15" s="421">
        <v>0</v>
      </c>
      <c r="U15" s="421">
        <f t="shared" si="2"/>
        <v>0</v>
      </c>
      <c r="V15" s="634">
        <f t="shared" si="3"/>
        <v>45000</v>
      </c>
      <c r="W15" s="634">
        <f t="shared" si="4"/>
        <v>45000</v>
      </c>
      <c r="X15" s="634">
        <f t="shared" si="5"/>
        <v>45000</v>
      </c>
    </row>
    <row r="16" spans="2:24" s="363" customFormat="1" ht="12.75">
      <c r="B16" s="357"/>
      <c r="C16" s="364"/>
      <c r="D16" s="359"/>
      <c r="E16" s="364"/>
      <c r="F16" s="375">
        <v>6</v>
      </c>
      <c r="G16" s="442">
        <v>422</v>
      </c>
      <c r="H16" s="1179" t="s">
        <v>34</v>
      </c>
      <c r="I16" s="1180"/>
      <c r="J16" s="1181"/>
      <c r="K16" s="979">
        <v>20000</v>
      </c>
      <c r="L16" s="979">
        <v>0</v>
      </c>
      <c r="M16" s="979">
        <v>20000</v>
      </c>
      <c r="N16" s="979">
        <v>20000</v>
      </c>
      <c r="O16" s="418">
        <v>0</v>
      </c>
      <c r="P16" s="418">
        <v>0</v>
      </c>
      <c r="Q16" s="418">
        <v>0</v>
      </c>
      <c r="R16" s="421">
        <v>0</v>
      </c>
      <c r="S16" s="421">
        <v>0</v>
      </c>
      <c r="T16" s="421">
        <v>0</v>
      </c>
      <c r="U16" s="421">
        <f t="shared" si="2"/>
        <v>0</v>
      </c>
      <c r="V16" s="634">
        <f t="shared" si="3"/>
        <v>20000</v>
      </c>
      <c r="W16" s="634">
        <f t="shared" si="4"/>
        <v>20000</v>
      </c>
      <c r="X16" s="634">
        <f t="shared" si="5"/>
        <v>20000</v>
      </c>
    </row>
    <row r="17" spans="2:24" s="363" customFormat="1" ht="12.75">
      <c r="B17" s="357"/>
      <c r="C17" s="364"/>
      <c r="D17" s="359"/>
      <c r="E17" s="364"/>
      <c r="F17" s="375">
        <v>7</v>
      </c>
      <c r="G17" s="452">
        <v>423</v>
      </c>
      <c r="H17" s="1165" t="s">
        <v>1397</v>
      </c>
      <c r="I17" s="1166"/>
      <c r="J17" s="1167"/>
      <c r="K17" s="788">
        <v>3500000</v>
      </c>
      <c r="L17" s="788">
        <v>2574647.9899999998</v>
      </c>
      <c r="M17" s="788">
        <v>3500000</v>
      </c>
      <c r="N17" s="788">
        <v>3500000</v>
      </c>
      <c r="O17" s="418">
        <v>0</v>
      </c>
      <c r="P17" s="418">
        <v>0</v>
      </c>
      <c r="Q17" s="418">
        <v>0</v>
      </c>
      <c r="R17" s="421">
        <v>0</v>
      </c>
      <c r="S17" s="421">
        <v>0</v>
      </c>
      <c r="T17" s="421">
        <v>0</v>
      </c>
      <c r="U17" s="421">
        <f t="shared" si="2"/>
        <v>0</v>
      </c>
      <c r="V17" s="634">
        <f t="shared" si="3"/>
        <v>3500000</v>
      </c>
      <c r="W17" s="634">
        <f t="shared" si="4"/>
        <v>3500000</v>
      </c>
      <c r="X17" s="634">
        <f t="shared" si="5"/>
        <v>3500000</v>
      </c>
    </row>
    <row r="18" spans="2:24" s="363" customFormat="1" ht="12.75">
      <c r="B18" s="357"/>
      <c r="C18" s="364"/>
      <c r="D18" s="359"/>
      <c r="E18" s="364"/>
      <c r="F18" s="375">
        <v>8</v>
      </c>
      <c r="G18" s="452">
        <v>423</v>
      </c>
      <c r="H18" s="1182" t="s">
        <v>1463</v>
      </c>
      <c r="I18" s="1183"/>
      <c r="J18" s="1184"/>
      <c r="K18" s="788">
        <v>350000</v>
      </c>
      <c r="L18" s="788">
        <v>256329.29999999996</v>
      </c>
      <c r="M18" s="788">
        <v>350000</v>
      </c>
      <c r="N18" s="788">
        <v>350000</v>
      </c>
      <c r="O18" s="418">
        <v>0</v>
      </c>
      <c r="P18" s="418">
        <v>0</v>
      </c>
      <c r="Q18" s="418">
        <v>0</v>
      </c>
      <c r="R18" s="421">
        <v>0</v>
      </c>
      <c r="S18" s="421">
        <v>0</v>
      </c>
      <c r="T18" s="421">
        <v>0</v>
      </c>
      <c r="U18" s="421">
        <f t="shared" si="2"/>
        <v>0</v>
      </c>
      <c r="V18" s="634">
        <f t="shared" si="3"/>
        <v>350000</v>
      </c>
      <c r="W18" s="634">
        <f t="shared" si="4"/>
        <v>350000</v>
      </c>
      <c r="X18" s="634">
        <f t="shared" si="5"/>
        <v>350000</v>
      </c>
    </row>
    <row r="19" spans="2:24" s="363" customFormat="1" ht="12.75">
      <c r="B19" s="357"/>
      <c r="C19" s="364"/>
      <c r="D19" s="359"/>
      <c r="E19" s="364"/>
      <c r="F19" s="375">
        <v>9</v>
      </c>
      <c r="G19" s="442">
        <v>423</v>
      </c>
      <c r="H19" s="1179" t="s">
        <v>1398</v>
      </c>
      <c r="I19" s="1180"/>
      <c r="J19" s="1181"/>
      <c r="K19" s="979">
        <v>400000</v>
      </c>
      <c r="L19" s="979">
        <v>280544.69999999995</v>
      </c>
      <c r="M19" s="979">
        <v>400000</v>
      </c>
      <c r="N19" s="979">
        <v>400000</v>
      </c>
      <c r="O19" s="418">
        <v>0</v>
      </c>
      <c r="P19" s="418">
        <v>0</v>
      </c>
      <c r="Q19" s="418">
        <v>0</v>
      </c>
      <c r="R19" s="421">
        <v>0</v>
      </c>
      <c r="S19" s="421">
        <v>0</v>
      </c>
      <c r="T19" s="421">
        <v>0</v>
      </c>
      <c r="U19" s="421">
        <f t="shared" si="2"/>
        <v>0</v>
      </c>
      <c r="V19" s="634">
        <f t="shared" si="3"/>
        <v>400000</v>
      </c>
      <c r="W19" s="634">
        <f t="shared" si="4"/>
        <v>400000</v>
      </c>
      <c r="X19" s="634">
        <f t="shared" si="5"/>
        <v>400000</v>
      </c>
    </row>
    <row r="20" spans="2:24" s="363" customFormat="1" ht="12.75">
      <c r="B20" s="357"/>
      <c r="C20" s="364"/>
      <c r="D20" s="359"/>
      <c r="E20" s="364"/>
      <c r="F20" s="375">
        <v>10</v>
      </c>
      <c r="G20" s="442">
        <v>423</v>
      </c>
      <c r="H20" s="1179" t="s">
        <v>35</v>
      </c>
      <c r="I20" s="1180"/>
      <c r="J20" s="1181"/>
      <c r="K20" s="979">
        <v>500000</v>
      </c>
      <c r="L20" s="979">
        <v>351802.73</v>
      </c>
      <c r="M20" s="979">
        <v>500000</v>
      </c>
      <c r="N20" s="979">
        <v>500000</v>
      </c>
      <c r="O20" s="418">
        <v>0</v>
      </c>
      <c r="P20" s="418">
        <v>0</v>
      </c>
      <c r="Q20" s="418">
        <v>0</v>
      </c>
      <c r="R20" s="421">
        <v>0</v>
      </c>
      <c r="S20" s="421">
        <v>0</v>
      </c>
      <c r="T20" s="421">
        <v>0</v>
      </c>
      <c r="U20" s="421">
        <f t="shared" si="2"/>
        <v>0</v>
      </c>
      <c r="V20" s="634">
        <f t="shared" si="3"/>
        <v>500000</v>
      </c>
      <c r="W20" s="634">
        <f t="shared" si="4"/>
        <v>500000</v>
      </c>
      <c r="X20" s="634">
        <f t="shared" si="5"/>
        <v>500000</v>
      </c>
    </row>
    <row r="21" spans="2:24" s="363" customFormat="1" ht="12.75">
      <c r="B21" s="357"/>
      <c r="C21" s="364"/>
      <c r="D21" s="359"/>
      <c r="E21" s="364"/>
      <c r="F21" s="375">
        <v>11</v>
      </c>
      <c r="G21" s="442">
        <v>423</v>
      </c>
      <c r="H21" s="387" t="s">
        <v>1565</v>
      </c>
      <c r="I21" s="443"/>
      <c r="J21" s="446"/>
      <c r="K21" s="979"/>
      <c r="L21" s="979"/>
      <c r="M21" s="979">
        <v>0</v>
      </c>
      <c r="N21" s="788">
        <v>2000000</v>
      </c>
      <c r="O21" s="418">
        <v>0</v>
      </c>
      <c r="P21" s="418">
        <v>0</v>
      </c>
      <c r="Q21" s="418">
        <v>0</v>
      </c>
      <c r="R21" s="421">
        <v>0</v>
      </c>
      <c r="S21" s="421">
        <v>0</v>
      </c>
      <c r="T21" s="421">
        <v>0</v>
      </c>
      <c r="U21" s="421">
        <f t="shared" si="2"/>
        <v>0</v>
      </c>
      <c r="V21" s="634">
        <f t="shared" si="3"/>
        <v>2000000</v>
      </c>
      <c r="W21" s="634">
        <f t="shared" si="4"/>
        <v>2000000</v>
      </c>
      <c r="X21" s="634">
        <f t="shared" si="5"/>
        <v>2000000</v>
      </c>
    </row>
    <row r="22" spans="2:24" s="363" customFormat="1" ht="12.75">
      <c r="B22" s="357"/>
      <c r="C22" s="364"/>
      <c r="D22" s="359"/>
      <c r="E22" s="364"/>
      <c r="F22" s="375">
        <v>12</v>
      </c>
      <c r="G22" s="442">
        <v>426</v>
      </c>
      <c r="H22" s="1179" t="s">
        <v>38</v>
      </c>
      <c r="I22" s="1180"/>
      <c r="J22" s="1181"/>
      <c r="K22" s="979">
        <v>120000</v>
      </c>
      <c r="L22" s="979">
        <v>53653.6</v>
      </c>
      <c r="M22" s="979">
        <v>150000</v>
      </c>
      <c r="N22" s="979">
        <v>150000</v>
      </c>
      <c r="O22" s="418">
        <v>0</v>
      </c>
      <c r="P22" s="418">
        <v>0</v>
      </c>
      <c r="Q22" s="418">
        <v>0</v>
      </c>
      <c r="R22" s="421">
        <v>0</v>
      </c>
      <c r="S22" s="421">
        <v>0</v>
      </c>
      <c r="T22" s="421">
        <v>0</v>
      </c>
      <c r="U22" s="421">
        <f t="shared" si="2"/>
        <v>0</v>
      </c>
      <c r="V22" s="634">
        <f t="shared" si="3"/>
        <v>150000</v>
      </c>
      <c r="W22" s="634">
        <f t="shared" si="4"/>
        <v>150000</v>
      </c>
      <c r="X22" s="634">
        <f t="shared" si="5"/>
        <v>150000</v>
      </c>
    </row>
    <row r="23" spans="2:24" s="363" customFormat="1" ht="12.75">
      <c r="B23" s="357"/>
      <c r="C23" s="364"/>
      <c r="D23" s="359"/>
      <c r="E23" s="364"/>
      <c r="F23" s="375">
        <v>13</v>
      </c>
      <c r="G23" s="442">
        <v>465</v>
      </c>
      <c r="H23" s="1179" t="s">
        <v>216</v>
      </c>
      <c r="I23" s="1180"/>
      <c r="J23" s="1181"/>
      <c r="K23" s="979">
        <v>280000</v>
      </c>
      <c r="L23" s="979">
        <v>212922.8</v>
      </c>
      <c r="M23" s="979">
        <v>280000</v>
      </c>
      <c r="N23" s="980">
        <v>130000</v>
      </c>
      <c r="O23" s="418">
        <v>0</v>
      </c>
      <c r="P23" s="418">
        <v>0</v>
      </c>
      <c r="Q23" s="418">
        <v>0</v>
      </c>
      <c r="R23" s="421">
        <v>0</v>
      </c>
      <c r="S23" s="421">
        <v>0</v>
      </c>
      <c r="T23" s="421">
        <v>0</v>
      </c>
      <c r="U23" s="421">
        <f t="shared" si="2"/>
        <v>0</v>
      </c>
      <c r="V23" s="634">
        <f t="shared" si="3"/>
        <v>130000</v>
      </c>
      <c r="W23" s="634">
        <f t="shared" si="4"/>
        <v>130000</v>
      </c>
      <c r="X23" s="634">
        <f t="shared" si="5"/>
        <v>130000</v>
      </c>
    </row>
    <row r="24" spans="2:24" s="363" customFormat="1" ht="12.75">
      <c r="B24" s="357"/>
      <c r="C24" s="364"/>
      <c r="D24" s="359"/>
      <c r="E24" s="364"/>
      <c r="F24" s="375">
        <v>14</v>
      </c>
      <c r="G24" s="442">
        <v>481</v>
      </c>
      <c r="H24" s="1221" t="s">
        <v>80</v>
      </c>
      <c r="I24" s="1222"/>
      <c r="J24" s="1223"/>
      <c r="K24" s="980">
        <v>210000</v>
      </c>
      <c r="L24" s="980">
        <v>174999.90000000002</v>
      </c>
      <c r="M24" s="983">
        <v>210000</v>
      </c>
      <c r="N24" s="559">
        <v>360000</v>
      </c>
      <c r="O24" s="411">
        <v>0</v>
      </c>
      <c r="P24" s="418">
        <v>0</v>
      </c>
      <c r="Q24" s="418">
        <v>0</v>
      </c>
      <c r="R24" s="421">
        <v>0</v>
      </c>
      <c r="S24" s="421">
        <v>0</v>
      </c>
      <c r="T24" s="421">
        <v>0</v>
      </c>
      <c r="U24" s="421">
        <f t="shared" si="2"/>
        <v>0</v>
      </c>
      <c r="V24" s="634">
        <f t="shared" si="3"/>
        <v>360000</v>
      </c>
      <c r="W24" s="634">
        <f t="shared" si="4"/>
        <v>360000</v>
      </c>
      <c r="X24" s="634">
        <f t="shared" si="5"/>
        <v>360000</v>
      </c>
    </row>
    <row r="25" spans="2:24" ht="12.75">
      <c r="B25" s="287"/>
      <c r="C25" s="288"/>
      <c r="D25" s="436"/>
      <c r="E25" s="636" t="s">
        <v>290</v>
      </c>
      <c r="F25" s="637"/>
      <c r="G25" s="638"/>
      <c r="H25" s="1258" t="s">
        <v>1274</v>
      </c>
      <c r="I25" s="1259"/>
      <c r="J25" s="1260"/>
      <c r="K25" s="977">
        <f aca="true" t="shared" si="8" ref="K25:T26">K26</f>
        <v>100000</v>
      </c>
      <c r="L25" s="977">
        <f t="shared" si="8"/>
        <v>100000</v>
      </c>
      <c r="M25" s="977">
        <f t="shared" si="8"/>
        <v>100000</v>
      </c>
      <c r="N25" s="977">
        <f t="shared" si="8"/>
        <v>100000</v>
      </c>
      <c r="O25" s="289">
        <f t="shared" si="8"/>
        <v>0</v>
      </c>
      <c r="P25" s="289">
        <f t="shared" si="8"/>
        <v>0</v>
      </c>
      <c r="Q25" s="289">
        <f t="shared" si="8"/>
        <v>0</v>
      </c>
      <c r="R25" s="289">
        <f t="shared" si="8"/>
        <v>0</v>
      </c>
      <c r="S25" s="289">
        <f t="shared" si="8"/>
        <v>0</v>
      </c>
      <c r="T25" s="289">
        <f t="shared" si="8"/>
        <v>0</v>
      </c>
      <c r="U25" s="340">
        <f t="shared" si="2"/>
        <v>0</v>
      </c>
      <c r="V25" s="682">
        <f t="shared" si="3"/>
        <v>100000</v>
      </c>
      <c r="W25" s="682">
        <f t="shared" si="4"/>
        <v>100000</v>
      </c>
      <c r="X25" s="644">
        <f t="shared" si="5"/>
        <v>100000</v>
      </c>
    </row>
    <row r="26" spans="2:24" s="363" customFormat="1" ht="12.75">
      <c r="B26" s="287"/>
      <c r="C26" s="288"/>
      <c r="D26" s="436"/>
      <c r="E26" s="636" t="s">
        <v>869</v>
      </c>
      <c r="F26" s="353"/>
      <c r="G26" s="625"/>
      <c r="H26" s="1168" t="s">
        <v>1276</v>
      </c>
      <c r="I26" s="1169"/>
      <c r="J26" s="1170"/>
      <c r="K26" s="981">
        <f t="shared" si="8"/>
        <v>100000</v>
      </c>
      <c r="L26" s="981">
        <f t="shared" si="8"/>
        <v>100000</v>
      </c>
      <c r="M26" s="981">
        <f t="shared" si="8"/>
        <v>100000</v>
      </c>
      <c r="N26" s="981">
        <f t="shared" si="8"/>
        <v>100000</v>
      </c>
      <c r="O26" s="293">
        <f aca="true" t="shared" si="9" ref="O26:T26">O27</f>
        <v>0</v>
      </c>
      <c r="P26" s="293">
        <f t="shared" si="9"/>
        <v>0</v>
      </c>
      <c r="Q26" s="293">
        <f t="shared" si="9"/>
        <v>0</v>
      </c>
      <c r="R26" s="293">
        <f t="shared" si="9"/>
        <v>0</v>
      </c>
      <c r="S26" s="293">
        <f t="shared" si="9"/>
        <v>0</v>
      </c>
      <c r="T26" s="293">
        <f t="shared" si="9"/>
        <v>0</v>
      </c>
      <c r="U26" s="877">
        <f t="shared" si="2"/>
        <v>0</v>
      </c>
      <c r="V26" s="682">
        <f t="shared" si="3"/>
        <v>100000</v>
      </c>
      <c r="W26" s="682">
        <f t="shared" si="4"/>
        <v>100000</v>
      </c>
      <c r="X26" s="682">
        <f t="shared" si="5"/>
        <v>100000</v>
      </c>
    </row>
    <row r="27" spans="2:24" s="363" customFormat="1" ht="12.75">
      <c r="B27" s="357"/>
      <c r="C27" s="364"/>
      <c r="D27" s="56">
        <v>130</v>
      </c>
      <c r="E27" s="182"/>
      <c r="F27" s="364"/>
      <c r="G27" s="360"/>
      <c r="H27" s="1162" t="s">
        <v>90</v>
      </c>
      <c r="I27" s="1163"/>
      <c r="J27" s="1164"/>
      <c r="K27" s="183">
        <f aca="true" t="shared" si="10" ref="K27:T27">K28</f>
        <v>100000</v>
      </c>
      <c r="L27" s="183">
        <f t="shared" si="10"/>
        <v>100000</v>
      </c>
      <c r="M27" s="183">
        <f t="shared" si="10"/>
        <v>100000</v>
      </c>
      <c r="N27" s="183">
        <f t="shared" si="10"/>
        <v>100000</v>
      </c>
      <c r="O27" s="183">
        <f t="shared" si="10"/>
        <v>0</v>
      </c>
      <c r="P27" s="183">
        <f t="shared" si="10"/>
        <v>0</v>
      </c>
      <c r="Q27" s="183">
        <f t="shared" si="10"/>
        <v>0</v>
      </c>
      <c r="R27" s="183">
        <f t="shared" si="10"/>
        <v>0</v>
      </c>
      <c r="S27" s="183">
        <f t="shared" si="10"/>
        <v>0</v>
      </c>
      <c r="T27" s="183">
        <f t="shared" si="10"/>
        <v>0</v>
      </c>
      <c r="U27" s="342">
        <f t="shared" si="2"/>
        <v>0</v>
      </c>
      <c r="V27" s="382">
        <f t="shared" si="3"/>
        <v>100000</v>
      </c>
      <c r="W27" s="382">
        <f t="shared" si="4"/>
        <v>100000</v>
      </c>
      <c r="X27" s="897">
        <f t="shared" si="5"/>
        <v>100000</v>
      </c>
    </row>
    <row r="28" spans="2:24" s="363" customFormat="1" ht="13.5" thickBot="1">
      <c r="B28" s="376"/>
      <c r="C28" s="369"/>
      <c r="D28" s="370"/>
      <c r="E28" s="369"/>
      <c r="F28" s="358" t="s">
        <v>1566</v>
      </c>
      <c r="G28" s="631">
        <v>481</v>
      </c>
      <c r="H28" s="1182" t="s">
        <v>1462</v>
      </c>
      <c r="I28" s="1183"/>
      <c r="J28" s="1184"/>
      <c r="K28" s="379">
        <v>100000</v>
      </c>
      <c r="L28" s="379">
        <v>100000</v>
      </c>
      <c r="M28" s="379">
        <v>100000</v>
      </c>
      <c r="N28" s="379">
        <v>100000</v>
      </c>
      <c r="O28" s="449">
        <v>0</v>
      </c>
      <c r="P28" s="449">
        <v>0</v>
      </c>
      <c r="Q28" s="449">
        <v>0</v>
      </c>
      <c r="R28" s="422">
        <v>0</v>
      </c>
      <c r="S28" s="421">
        <v>0</v>
      </c>
      <c r="T28" s="422">
        <v>0</v>
      </c>
      <c r="U28" s="422">
        <f t="shared" si="2"/>
        <v>0</v>
      </c>
      <c r="V28" s="634">
        <f t="shared" si="3"/>
        <v>100000</v>
      </c>
      <c r="W28" s="634">
        <f t="shared" si="4"/>
        <v>100000</v>
      </c>
      <c r="X28" s="634">
        <f t="shared" si="5"/>
        <v>100000</v>
      </c>
    </row>
    <row r="29" spans="2:24" s="510" customFormat="1" ht="12.75" customHeight="1">
      <c r="B29" s="504" t="s">
        <v>831</v>
      </c>
      <c r="C29" s="505"/>
      <c r="D29" s="506"/>
      <c r="E29" s="507"/>
      <c r="F29" s="506"/>
      <c r="G29" s="540"/>
      <c r="H29" s="1319" t="s">
        <v>1209</v>
      </c>
      <c r="I29" s="1320"/>
      <c r="J29" s="1321"/>
      <c r="K29" s="976">
        <f>K30</f>
        <v>1601000</v>
      </c>
      <c r="L29" s="976">
        <f>L30</f>
        <v>1235528.83</v>
      </c>
      <c r="M29" s="976">
        <f>M30</f>
        <v>1611000</v>
      </c>
      <c r="N29" s="976">
        <f>N30</f>
        <v>1611000</v>
      </c>
      <c r="O29" s="519">
        <f aca="true" t="shared" si="11" ref="O29:T29">O30</f>
        <v>0</v>
      </c>
      <c r="P29" s="519">
        <f t="shared" si="11"/>
        <v>0</v>
      </c>
      <c r="Q29" s="519">
        <f t="shared" si="11"/>
        <v>0</v>
      </c>
      <c r="R29" s="519">
        <f t="shared" si="11"/>
        <v>0</v>
      </c>
      <c r="S29" s="519">
        <f t="shared" si="11"/>
        <v>0</v>
      </c>
      <c r="T29" s="519">
        <f t="shared" si="11"/>
        <v>0</v>
      </c>
      <c r="U29" s="520">
        <f t="shared" si="2"/>
        <v>0</v>
      </c>
      <c r="V29" s="894">
        <f t="shared" si="3"/>
        <v>1611000</v>
      </c>
      <c r="W29" s="894">
        <f t="shared" si="4"/>
        <v>1611000</v>
      </c>
      <c r="X29" s="895">
        <f t="shared" si="5"/>
        <v>1611000</v>
      </c>
    </row>
    <row r="30" spans="2:24" ht="12.75">
      <c r="B30" s="287"/>
      <c r="C30" s="288"/>
      <c r="D30" s="436"/>
      <c r="E30" s="636" t="s">
        <v>290</v>
      </c>
      <c r="F30" s="637"/>
      <c r="G30" s="638"/>
      <c r="H30" s="1258" t="s">
        <v>1274</v>
      </c>
      <c r="I30" s="1259"/>
      <c r="J30" s="1260"/>
      <c r="K30" s="977">
        <f aca="true" t="shared" si="12" ref="K30:T30">K31</f>
        <v>1601000</v>
      </c>
      <c r="L30" s="977">
        <f t="shared" si="12"/>
        <v>1235528.83</v>
      </c>
      <c r="M30" s="977">
        <f t="shared" si="12"/>
        <v>1611000</v>
      </c>
      <c r="N30" s="977">
        <f t="shared" si="12"/>
        <v>1611000</v>
      </c>
      <c r="O30" s="289">
        <f t="shared" si="12"/>
        <v>0</v>
      </c>
      <c r="P30" s="289">
        <f t="shared" si="12"/>
        <v>0</v>
      </c>
      <c r="Q30" s="289">
        <f t="shared" si="12"/>
        <v>0</v>
      </c>
      <c r="R30" s="289">
        <f t="shared" si="12"/>
        <v>0</v>
      </c>
      <c r="S30" s="289">
        <f t="shared" si="12"/>
        <v>0</v>
      </c>
      <c r="T30" s="289">
        <f t="shared" si="12"/>
        <v>0</v>
      </c>
      <c r="U30" s="340">
        <f t="shared" si="2"/>
        <v>0</v>
      </c>
      <c r="V30" s="682">
        <f t="shared" si="3"/>
        <v>1611000</v>
      </c>
      <c r="W30" s="682">
        <f t="shared" si="4"/>
        <v>1611000</v>
      </c>
      <c r="X30" s="644">
        <f t="shared" si="5"/>
        <v>1611000</v>
      </c>
    </row>
    <row r="31" spans="2:24" ht="14.25" customHeight="1">
      <c r="B31" s="287"/>
      <c r="C31" s="288"/>
      <c r="D31" s="436"/>
      <c r="E31" s="353" t="s">
        <v>867</v>
      </c>
      <c r="F31" s="436"/>
      <c r="G31" s="437"/>
      <c r="H31" s="1171" t="s">
        <v>1275</v>
      </c>
      <c r="I31" s="1275"/>
      <c r="J31" s="1276"/>
      <c r="K31" s="978">
        <f aca="true" t="shared" si="13" ref="K31:T31">K32</f>
        <v>1601000</v>
      </c>
      <c r="L31" s="978">
        <f t="shared" si="13"/>
        <v>1235528.83</v>
      </c>
      <c r="M31" s="978">
        <f t="shared" si="13"/>
        <v>1611000</v>
      </c>
      <c r="N31" s="978">
        <f t="shared" si="13"/>
        <v>1611000</v>
      </c>
      <c r="O31" s="293">
        <f t="shared" si="13"/>
        <v>0</v>
      </c>
      <c r="P31" s="293">
        <f t="shared" si="13"/>
        <v>0</v>
      </c>
      <c r="Q31" s="293">
        <f t="shared" si="13"/>
        <v>0</v>
      </c>
      <c r="R31" s="293">
        <f t="shared" si="13"/>
        <v>0</v>
      </c>
      <c r="S31" s="293">
        <f t="shared" si="13"/>
        <v>0</v>
      </c>
      <c r="T31" s="293">
        <f t="shared" si="13"/>
        <v>0</v>
      </c>
      <c r="U31" s="341">
        <f t="shared" si="2"/>
        <v>0</v>
      </c>
      <c r="V31" s="682">
        <f t="shared" si="3"/>
        <v>1611000</v>
      </c>
      <c r="W31" s="682">
        <f t="shared" si="4"/>
        <v>1611000</v>
      </c>
      <c r="X31" s="682">
        <f t="shared" si="5"/>
        <v>1611000</v>
      </c>
    </row>
    <row r="32" spans="2:24" s="23" customFormat="1" ht="12.75">
      <c r="B32" s="565"/>
      <c r="C32" s="566"/>
      <c r="D32" s="56">
        <v>330</v>
      </c>
      <c r="E32" s="58"/>
      <c r="F32" s="567"/>
      <c r="G32" s="568"/>
      <c r="H32" s="1162" t="s">
        <v>1187</v>
      </c>
      <c r="I32" s="1163"/>
      <c r="J32" s="1164"/>
      <c r="K32" s="812">
        <f>SUM(K33:K38)</f>
        <v>1601000</v>
      </c>
      <c r="L32" s="812">
        <f>SUM(L33:L38)</f>
        <v>1235528.83</v>
      </c>
      <c r="M32" s="812">
        <f>SUM(M33:M38)</f>
        <v>1611000</v>
      </c>
      <c r="N32" s="812">
        <f>SUM(N33:N38)</f>
        <v>1611000</v>
      </c>
      <c r="O32" s="569">
        <f aca="true" t="shared" si="14" ref="O32:T32">SUM(O33:O38)</f>
        <v>0</v>
      </c>
      <c r="P32" s="569">
        <f t="shared" si="14"/>
        <v>0</v>
      </c>
      <c r="Q32" s="569">
        <f t="shared" si="14"/>
        <v>0</v>
      </c>
      <c r="R32" s="569">
        <f t="shared" si="14"/>
        <v>0</v>
      </c>
      <c r="S32" s="569">
        <f t="shared" si="14"/>
        <v>0</v>
      </c>
      <c r="T32" s="569">
        <f t="shared" si="14"/>
        <v>0</v>
      </c>
      <c r="U32" s="180">
        <f t="shared" si="2"/>
        <v>0</v>
      </c>
      <c r="V32" s="896">
        <f t="shared" si="3"/>
        <v>1611000</v>
      </c>
      <c r="W32" s="896">
        <f t="shared" si="4"/>
        <v>1611000</v>
      </c>
      <c r="X32" s="898">
        <f t="shared" si="5"/>
        <v>1611000</v>
      </c>
    </row>
    <row r="33" spans="2:24" s="363" customFormat="1" ht="12.75">
      <c r="B33" s="357"/>
      <c r="C33" s="364"/>
      <c r="D33" s="359"/>
      <c r="E33" s="364"/>
      <c r="F33" s="545">
        <v>16</v>
      </c>
      <c r="G33" s="546">
        <v>411</v>
      </c>
      <c r="H33" s="1227" t="s">
        <v>27</v>
      </c>
      <c r="I33" s="1228"/>
      <c r="J33" s="1229"/>
      <c r="K33" s="982">
        <v>1120000</v>
      </c>
      <c r="L33" s="982">
        <v>921994.3400000001</v>
      </c>
      <c r="M33" s="982">
        <v>1128000</v>
      </c>
      <c r="N33" s="982">
        <v>1128000</v>
      </c>
      <c r="O33" s="412">
        <v>0</v>
      </c>
      <c r="P33" s="418">
        <v>0</v>
      </c>
      <c r="Q33" s="418">
        <v>0</v>
      </c>
      <c r="R33" s="421">
        <v>0</v>
      </c>
      <c r="S33" s="421">
        <v>0</v>
      </c>
      <c r="T33" s="421">
        <v>0</v>
      </c>
      <c r="U33" s="421">
        <f t="shared" si="2"/>
        <v>0</v>
      </c>
      <c r="V33" s="634">
        <f t="shared" si="3"/>
        <v>1128000</v>
      </c>
      <c r="W33" s="634">
        <f t="shared" si="4"/>
        <v>1128000</v>
      </c>
      <c r="X33" s="634">
        <f t="shared" si="5"/>
        <v>1128000</v>
      </c>
    </row>
    <row r="34" spans="2:24" s="363" customFormat="1" ht="12.75">
      <c r="B34" s="357"/>
      <c r="C34" s="493"/>
      <c r="D34" s="584"/>
      <c r="E34" s="675"/>
      <c r="F34" s="545">
        <v>17</v>
      </c>
      <c r="G34" s="666">
        <v>412</v>
      </c>
      <c r="H34" s="1316" t="s">
        <v>79</v>
      </c>
      <c r="I34" s="1316"/>
      <c r="J34" s="1317"/>
      <c r="K34" s="983">
        <v>200000</v>
      </c>
      <c r="L34" s="983">
        <v>158122.05999999997</v>
      </c>
      <c r="M34" s="983">
        <v>202000</v>
      </c>
      <c r="N34" s="983">
        <v>202000</v>
      </c>
      <c r="O34" s="412">
        <v>0</v>
      </c>
      <c r="P34" s="547">
        <v>0</v>
      </c>
      <c r="Q34" s="547">
        <v>0</v>
      </c>
      <c r="R34" s="459">
        <v>0</v>
      </c>
      <c r="S34" s="459">
        <v>0</v>
      </c>
      <c r="T34" s="421">
        <v>0</v>
      </c>
      <c r="U34" s="421">
        <f t="shared" si="2"/>
        <v>0</v>
      </c>
      <c r="V34" s="634">
        <f t="shared" si="3"/>
        <v>202000</v>
      </c>
      <c r="W34" s="634">
        <f t="shared" si="4"/>
        <v>202000</v>
      </c>
      <c r="X34" s="634">
        <f t="shared" si="5"/>
        <v>202000</v>
      </c>
    </row>
    <row r="35" spans="2:24" s="363" customFormat="1" ht="12.75">
      <c r="B35" s="674"/>
      <c r="C35" s="495"/>
      <c r="D35" s="548"/>
      <c r="E35" s="495"/>
      <c r="F35" s="545">
        <v>18</v>
      </c>
      <c r="G35" s="541">
        <v>415</v>
      </c>
      <c r="H35" s="1296" t="s">
        <v>31</v>
      </c>
      <c r="I35" s="1296"/>
      <c r="J35" s="1296"/>
      <c r="K35" s="984">
        <v>72000</v>
      </c>
      <c r="L35" s="984">
        <v>41504.23</v>
      </c>
      <c r="M35" s="984">
        <v>72000</v>
      </c>
      <c r="N35" s="984">
        <v>72000</v>
      </c>
      <c r="O35" s="412">
        <v>0</v>
      </c>
      <c r="P35" s="465">
        <v>0</v>
      </c>
      <c r="Q35" s="465">
        <v>0</v>
      </c>
      <c r="R35" s="672">
        <v>0</v>
      </c>
      <c r="S35" s="672">
        <v>0</v>
      </c>
      <c r="T35" s="671">
        <v>0</v>
      </c>
      <c r="U35" s="422">
        <f t="shared" si="2"/>
        <v>0</v>
      </c>
      <c r="V35" s="634">
        <f t="shared" si="3"/>
        <v>72000</v>
      </c>
      <c r="W35" s="634">
        <f t="shared" si="4"/>
        <v>72000</v>
      </c>
      <c r="X35" s="634">
        <f t="shared" si="5"/>
        <v>72000</v>
      </c>
    </row>
    <row r="36" spans="2:24" s="363" customFormat="1" ht="12.75">
      <c r="B36" s="674"/>
      <c r="C36" s="495"/>
      <c r="D36" s="548"/>
      <c r="E36" s="495"/>
      <c r="F36" s="545">
        <v>19</v>
      </c>
      <c r="G36" s="541">
        <v>421</v>
      </c>
      <c r="H36" s="1296" t="s">
        <v>33</v>
      </c>
      <c r="I36" s="1296"/>
      <c r="J36" s="1296"/>
      <c r="K36" s="984">
        <v>1000</v>
      </c>
      <c r="L36" s="984">
        <v>554.65</v>
      </c>
      <c r="M36" s="984">
        <v>1000</v>
      </c>
      <c r="N36" s="984">
        <v>1000</v>
      </c>
      <c r="O36" s="412">
        <v>0</v>
      </c>
      <c r="P36" s="465">
        <v>0</v>
      </c>
      <c r="Q36" s="465">
        <v>0</v>
      </c>
      <c r="R36" s="465">
        <v>0</v>
      </c>
      <c r="S36" s="465">
        <v>0</v>
      </c>
      <c r="T36" s="465">
        <v>0</v>
      </c>
      <c r="U36" s="430">
        <f t="shared" si="2"/>
        <v>0</v>
      </c>
      <c r="V36" s="634">
        <f t="shared" si="3"/>
        <v>1000</v>
      </c>
      <c r="W36" s="634">
        <f t="shared" si="4"/>
        <v>1000</v>
      </c>
      <c r="X36" s="634">
        <f t="shared" si="5"/>
        <v>1000</v>
      </c>
    </row>
    <row r="37" spans="2:24" s="363" customFormat="1" ht="12.75">
      <c r="B37" s="674"/>
      <c r="C37" s="495"/>
      <c r="D37" s="548"/>
      <c r="E37" s="495"/>
      <c r="F37" s="545">
        <v>20</v>
      </c>
      <c r="G37" s="541">
        <v>426</v>
      </c>
      <c r="H37" s="1296" t="s">
        <v>38</v>
      </c>
      <c r="I37" s="1296"/>
      <c r="J37" s="1296"/>
      <c r="K37" s="985">
        <v>68000</v>
      </c>
      <c r="L37" s="985">
        <v>0</v>
      </c>
      <c r="M37" s="985">
        <v>68000</v>
      </c>
      <c r="N37" s="985">
        <v>68000</v>
      </c>
      <c r="O37" s="412">
        <v>0</v>
      </c>
      <c r="P37" s="465">
        <v>0</v>
      </c>
      <c r="Q37" s="465">
        <v>0</v>
      </c>
      <c r="R37" s="465">
        <v>0</v>
      </c>
      <c r="S37" s="465">
        <v>0</v>
      </c>
      <c r="T37" s="465">
        <v>0</v>
      </c>
      <c r="U37" s="430">
        <f t="shared" si="2"/>
        <v>0</v>
      </c>
      <c r="V37" s="634">
        <f t="shared" si="3"/>
        <v>68000</v>
      </c>
      <c r="W37" s="634">
        <f t="shared" si="4"/>
        <v>68000</v>
      </c>
      <c r="X37" s="634">
        <f t="shared" si="5"/>
        <v>68000</v>
      </c>
    </row>
    <row r="38" spans="2:24" s="363" customFormat="1" ht="13.5" thickBot="1">
      <c r="B38" s="376"/>
      <c r="C38" s="542"/>
      <c r="D38" s="632"/>
      <c r="E38" s="676"/>
      <c r="F38" s="545">
        <v>21</v>
      </c>
      <c r="G38" s="677">
        <v>465</v>
      </c>
      <c r="H38" s="1318" t="s">
        <v>216</v>
      </c>
      <c r="I38" s="1318"/>
      <c r="J38" s="1318"/>
      <c r="K38" s="985">
        <v>140000</v>
      </c>
      <c r="L38" s="985">
        <v>113353.54999999999</v>
      </c>
      <c r="M38" s="985">
        <v>140000</v>
      </c>
      <c r="N38" s="985">
        <v>140000</v>
      </c>
      <c r="O38" s="412">
        <v>0</v>
      </c>
      <c r="P38" s="412">
        <v>0</v>
      </c>
      <c r="Q38" s="430">
        <v>0</v>
      </c>
      <c r="R38" s="465">
        <v>0</v>
      </c>
      <c r="S38" s="465">
        <v>0</v>
      </c>
      <c r="T38" s="465">
        <v>0</v>
      </c>
      <c r="U38" s="430">
        <f t="shared" si="2"/>
        <v>0</v>
      </c>
      <c r="V38" s="634">
        <f t="shared" si="3"/>
        <v>140000</v>
      </c>
      <c r="W38" s="634">
        <f t="shared" si="4"/>
        <v>140000</v>
      </c>
      <c r="X38" s="634">
        <f t="shared" si="5"/>
        <v>140000</v>
      </c>
    </row>
    <row r="39" spans="2:24" s="510" customFormat="1" ht="12.75" customHeight="1">
      <c r="B39" s="504" t="s">
        <v>336</v>
      </c>
      <c r="C39" s="505"/>
      <c r="D39" s="540"/>
      <c r="E39" s="551"/>
      <c r="F39" s="540"/>
      <c r="G39" s="667"/>
      <c r="H39" s="1313" t="s">
        <v>81</v>
      </c>
      <c r="I39" s="1314"/>
      <c r="J39" s="1315"/>
      <c r="K39" s="986">
        <f>K40</f>
        <v>15500000</v>
      </c>
      <c r="L39" s="986">
        <f>L40</f>
        <v>12063877.700000001</v>
      </c>
      <c r="M39" s="986">
        <f>M40</f>
        <v>15740000</v>
      </c>
      <c r="N39" s="986">
        <f>N40</f>
        <v>15740000</v>
      </c>
      <c r="O39" s="517">
        <f aca="true" t="shared" si="15" ref="O39:T39">O40</f>
        <v>0</v>
      </c>
      <c r="P39" s="517">
        <f t="shared" si="15"/>
        <v>0</v>
      </c>
      <c r="Q39" s="517">
        <f t="shared" si="15"/>
        <v>0</v>
      </c>
      <c r="R39" s="517">
        <f t="shared" si="15"/>
        <v>0</v>
      </c>
      <c r="S39" s="517">
        <f t="shared" si="15"/>
        <v>0</v>
      </c>
      <c r="T39" s="517">
        <f t="shared" si="15"/>
        <v>0</v>
      </c>
      <c r="U39" s="518">
        <f t="shared" si="2"/>
        <v>0</v>
      </c>
      <c r="V39" s="899">
        <f t="shared" si="3"/>
        <v>15740000</v>
      </c>
      <c r="W39" s="899">
        <f t="shared" si="4"/>
        <v>15740000</v>
      </c>
      <c r="X39" s="900">
        <f t="shared" si="5"/>
        <v>15740000</v>
      </c>
    </row>
    <row r="40" spans="2:24" ht="12.75">
      <c r="B40" s="287"/>
      <c r="C40" s="288"/>
      <c r="D40" s="436"/>
      <c r="E40" s="636" t="s">
        <v>1212</v>
      </c>
      <c r="F40" s="637"/>
      <c r="G40" s="638"/>
      <c r="H40" s="1258" t="s">
        <v>1211</v>
      </c>
      <c r="I40" s="1259"/>
      <c r="J40" s="1260"/>
      <c r="K40" s="977">
        <f aca="true" t="shared" si="16" ref="K40:T40">K41</f>
        <v>15500000</v>
      </c>
      <c r="L40" s="977">
        <f t="shared" si="16"/>
        <v>12063877.700000001</v>
      </c>
      <c r="M40" s="977">
        <f t="shared" si="16"/>
        <v>15740000</v>
      </c>
      <c r="N40" s="977">
        <f t="shared" si="16"/>
        <v>15740000</v>
      </c>
      <c r="O40" s="289">
        <f t="shared" si="16"/>
        <v>0</v>
      </c>
      <c r="P40" s="289">
        <f t="shared" si="16"/>
        <v>0</v>
      </c>
      <c r="Q40" s="289">
        <f t="shared" si="16"/>
        <v>0</v>
      </c>
      <c r="R40" s="289">
        <f t="shared" si="16"/>
        <v>0</v>
      </c>
      <c r="S40" s="289">
        <f t="shared" si="16"/>
        <v>0</v>
      </c>
      <c r="T40" s="289">
        <f t="shared" si="16"/>
        <v>0</v>
      </c>
      <c r="U40" s="340">
        <f t="shared" si="2"/>
        <v>0</v>
      </c>
      <c r="V40" s="682">
        <f aca="true" t="shared" si="17" ref="V40:V57">SUM(N40:T40)</f>
        <v>15740000</v>
      </c>
      <c r="W40" s="682">
        <f t="shared" si="4"/>
        <v>15740000</v>
      </c>
      <c r="X40" s="644">
        <f t="shared" si="5"/>
        <v>15740000</v>
      </c>
    </row>
    <row r="41" spans="2:24" ht="13.5" customHeight="1">
      <c r="B41" s="287"/>
      <c r="C41" s="288"/>
      <c r="D41" s="436"/>
      <c r="E41" s="353" t="s">
        <v>1218</v>
      </c>
      <c r="F41" s="436"/>
      <c r="G41" s="437"/>
      <c r="H41" s="1171" t="s">
        <v>1217</v>
      </c>
      <c r="I41" s="1275"/>
      <c r="J41" s="1276"/>
      <c r="K41" s="978">
        <f aca="true" t="shared" si="18" ref="K41:T41">K42</f>
        <v>15500000</v>
      </c>
      <c r="L41" s="978">
        <f t="shared" si="18"/>
        <v>12063877.700000001</v>
      </c>
      <c r="M41" s="978">
        <f t="shared" si="18"/>
        <v>15740000</v>
      </c>
      <c r="N41" s="978">
        <f t="shared" si="18"/>
        <v>15740000</v>
      </c>
      <c r="O41" s="293">
        <f t="shared" si="18"/>
        <v>0</v>
      </c>
      <c r="P41" s="293">
        <f t="shared" si="18"/>
        <v>0</v>
      </c>
      <c r="Q41" s="293">
        <f t="shared" si="18"/>
        <v>0</v>
      </c>
      <c r="R41" s="293">
        <f t="shared" si="18"/>
        <v>0</v>
      </c>
      <c r="S41" s="293">
        <f t="shared" si="18"/>
        <v>0</v>
      </c>
      <c r="T41" s="293">
        <f t="shared" si="18"/>
        <v>0</v>
      </c>
      <c r="U41" s="341">
        <f t="shared" si="2"/>
        <v>0</v>
      </c>
      <c r="V41" s="682">
        <f t="shared" si="17"/>
        <v>15740000</v>
      </c>
      <c r="W41" s="682">
        <f t="shared" si="4"/>
        <v>15740000</v>
      </c>
      <c r="X41" s="682">
        <f t="shared" si="5"/>
        <v>15740000</v>
      </c>
    </row>
    <row r="42" spans="2:24" s="615" customFormat="1" ht="26.25" customHeight="1">
      <c r="B42" s="610"/>
      <c r="C42" s="611"/>
      <c r="D42" s="673">
        <v>110</v>
      </c>
      <c r="E42" s="612"/>
      <c r="F42" s="613"/>
      <c r="G42" s="614"/>
      <c r="H42" s="1265" t="s">
        <v>1210</v>
      </c>
      <c r="I42" s="1266"/>
      <c r="J42" s="1267"/>
      <c r="K42" s="616">
        <f>SUM(K43:K56)</f>
        <v>15500000</v>
      </c>
      <c r="L42" s="616">
        <f>SUM(L43:L56)</f>
        <v>12063877.700000001</v>
      </c>
      <c r="M42" s="616">
        <f>SUM(M43:M56)</f>
        <v>15740000</v>
      </c>
      <c r="N42" s="616">
        <f>SUM(N43:N56)</f>
        <v>15740000</v>
      </c>
      <c r="O42" s="616">
        <f aca="true" t="shared" si="19" ref="O42:T42">SUM(O43:O56)</f>
        <v>0</v>
      </c>
      <c r="P42" s="616">
        <f t="shared" si="19"/>
        <v>0</v>
      </c>
      <c r="Q42" s="616">
        <f t="shared" si="19"/>
        <v>0</v>
      </c>
      <c r="R42" s="616">
        <f t="shared" si="19"/>
        <v>0</v>
      </c>
      <c r="S42" s="616">
        <f t="shared" si="19"/>
        <v>0</v>
      </c>
      <c r="T42" s="616">
        <f t="shared" si="19"/>
        <v>0</v>
      </c>
      <c r="U42" s="878">
        <f t="shared" si="2"/>
        <v>0</v>
      </c>
      <c r="V42" s="896">
        <f t="shared" si="17"/>
        <v>15740000</v>
      </c>
      <c r="W42" s="896">
        <f t="shared" si="4"/>
        <v>15740000</v>
      </c>
      <c r="X42" s="901">
        <f t="shared" si="5"/>
        <v>15740000</v>
      </c>
    </row>
    <row r="43" spans="2:24" s="363" customFormat="1" ht="12.75">
      <c r="B43" s="357"/>
      <c r="C43" s="364"/>
      <c r="D43" s="359"/>
      <c r="E43" s="364"/>
      <c r="F43" s="375">
        <v>22</v>
      </c>
      <c r="G43" s="442">
        <v>411</v>
      </c>
      <c r="H43" s="1227" t="s">
        <v>27</v>
      </c>
      <c r="I43" s="1228"/>
      <c r="J43" s="1229"/>
      <c r="K43" s="987">
        <v>3000000</v>
      </c>
      <c r="L43" s="987">
        <v>2415570.7700000005</v>
      </c>
      <c r="M43" s="987">
        <v>3020000</v>
      </c>
      <c r="N43" s="987">
        <v>3020000</v>
      </c>
      <c r="O43" s="449">
        <v>0</v>
      </c>
      <c r="P43" s="418">
        <v>0</v>
      </c>
      <c r="Q43" s="418">
        <v>0</v>
      </c>
      <c r="R43" s="421">
        <v>0</v>
      </c>
      <c r="S43" s="421">
        <v>0</v>
      </c>
      <c r="T43" s="421">
        <v>0</v>
      </c>
      <c r="U43" s="421">
        <f t="shared" si="2"/>
        <v>0</v>
      </c>
      <c r="V43" s="634">
        <f t="shared" si="17"/>
        <v>3020000</v>
      </c>
      <c r="W43" s="634">
        <f t="shared" si="4"/>
        <v>3020000</v>
      </c>
      <c r="X43" s="634">
        <f t="shared" si="5"/>
        <v>3020000</v>
      </c>
    </row>
    <row r="44" spans="2:24" s="363" customFormat="1" ht="12.75">
      <c r="B44" s="357"/>
      <c r="C44" s="364"/>
      <c r="D44" s="359"/>
      <c r="E44" s="364"/>
      <c r="F44" s="375">
        <v>23</v>
      </c>
      <c r="G44" s="442">
        <v>412</v>
      </c>
      <c r="H44" s="1227" t="s">
        <v>79</v>
      </c>
      <c r="I44" s="1228"/>
      <c r="J44" s="1229"/>
      <c r="K44" s="987">
        <v>530000</v>
      </c>
      <c r="L44" s="987">
        <v>414270.43000000005</v>
      </c>
      <c r="M44" s="987">
        <v>534000</v>
      </c>
      <c r="N44" s="987">
        <v>534000</v>
      </c>
      <c r="O44" s="449">
        <v>0</v>
      </c>
      <c r="P44" s="418">
        <v>0</v>
      </c>
      <c r="Q44" s="418">
        <v>0</v>
      </c>
      <c r="R44" s="421">
        <v>0</v>
      </c>
      <c r="S44" s="421">
        <v>0</v>
      </c>
      <c r="T44" s="421">
        <v>0</v>
      </c>
      <c r="U44" s="421">
        <f t="shared" si="2"/>
        <v>0</v>
      </c>
      <c r="V44" s="634">
        <f t="shared" si="17"/>
        <v>534000</v>
      </c>
      <c r="W44" s="634">
        <f t="shared" si="4"/>
        <v>534000</v>
      </c>
      <c r="X44" s="634">
        <f t="shared" si="5"/>
        <v>534000</v>
      </c>
    </row>
    <row r="45" spans="2:24" s="363" customFormat="1" ht="12.75">
      <c r="B45" s="357"/>
      <c r="C45" s="364"/>
      <c r="D45" s="359"/>
      <c r="E45" s="364"/>
      <c r="F45" s="375">
        <v>24</v>
      </c>
      <c r="G45" s="442">
        <v>414</v>
      </c>
      <c r="H45" s="1179" t="s">
        <v>206</v>
      </c>
      <c r="I45" s="1180"/>
      <c r="J45" s="1181"/>
      <c r="K45" s="987">
        <v>50000</v>
      </c>
      <c r="L45" s="987">
        <v>0</v>
      </c>
      <c r="M45" s="987">
        <v>50000</v>
      </c>
      <c r="N45" s="987">
        <v>50000</v>
      </c>
      <c r="O45" s="449">
        <v>0</v>
      </c>
      <c r="P45" s="418">
        <v>0</v>
      </c>
      <c r="Q45" s="418">
        <v>0</v>
      </c>
      <c r="R45" s="421">
        <v>0</v>
      </c>
      <c r="S45" s="421">
        <v>0</v>
      </c>
      <c r="T45" s="421">
        <v>0</v>
      </c>
      <c r="U45" s="421">
        <f t="shared" si="2"/>
        <v>0</v>
      </c>
      <c r="V45" s="634">
        <f t="shared" si="17"/>
        <v>50000</v>
      </c>
      <c r="W45" s="634">
        <f t="shared" si="4"/>
        <v>50000</v>
      </c>
      <c r="X45" s="634">
        <f t="shared" si="5"/>
        <v>50000</v>
      </c>
    </row>
    <row r="46" spans="2:24" s="363" customFormat="1" ht="12.75">
      <c r="B46" s="357"/>
      <c r="C46" s="364"/>
      <c r="D46" s="359"/>
      <c r="E46" s="364"/>
      <c r="F46" s="375">
        <v>25</v>
      </c>
      <c r="G46" s="442">
        <v>415</v>
      </c>
      <c r="H46" s="1179" t="s">
        <v>31</v>
      </c>
      <c r="I46" s="1180"/>
      <c r="J46" s="1181"/>
      <c r="K46" s="987">
        <v>120000</v>
      </c>
      <c r="L46" s="987">
        <v>67305.52</v>
      </c>
      <c r="M46" s="987">
        <v>120000</v>
      </c>
      <c r="N46" s="987">
        <v>120000</v>
      </c>
      <c r="O46" s="449">
        <v>0</v>
      </c>
      <c r="P46" s="418">
        <v>0</v>
      </c>
      <c r="Q46" s="418">
        <v>0</v>
      </c>
      <c r="R46" s="421">
        <v>0</v>
      </c>
      <c r="S46" s="421">
        <v>0</v>
      </c>
      <c r="T46" s="421">
        <v>0</v>
      </c>
      <c r="U46" s="421">
        <f t="shared" si="2"/>
        <v>0</v>
      </c>
      <c r="V46" s="634">
        <f t="shared" si="17"/>
        <v>120000</v>
      </c>
      <c r="W46" s="634">
        <f t="shared" si="4"/>
        <v>120000</v>
      </c>
      <c r="X46" s="634">
        <f t="shared" si="5"/>
        <v>120000</v>
      </c>
    </row>
    <row r="47" spans="2:24" s="363" customFormat="1" ht="12.75">
      <c r="B47" s="357"/>
      <c r="C47" s="364"/>
      <c r="D47" s="359"/>
      <c r="E47" s="364"/>
      <c r="F47" s="375">
        <v>26</v>
      </c>
      <c r="G47" s="442">
        <v>421</v>
      </c>
      <c r="H47" s="1179" t="s">
        <v>33</v>
      </c>
      <c r="I47" s="1180"/>
      <c r="J47" s="1181"/>
      <c r="K47" s="987">
        <v>200000</v>
      </c>
      <c r="L47" s="987">
        <v>105762.77000000002</v>
      </c>
      <c r="M47" s="987">
        <v>200000</v>
      </c>
      <c r="N47" s="987">
        <v>200000</v>
      </c>
      <c r="O47" s="449">
        <v>0</v>
      </c>
      <c r="P47" s="418">
        <v>0</v>
      </c>
      <c r="Q47" s="418">
        <v>0</v>
      </c>
      <c r="R47" s="421">
        <v>0</v>
      </c>
      <c r="S47" s="421">
        <v>0</v>
      </c>
      <c r="T47" s="421">
        <v>0</v>
      </c>
      <c r="U47" s="421">
        <f t="shared" si="2"/>
        <v>0</v>
      </c>
      <c r="V47" s="634">
        <f t="shared" si="17"/>
        <v>200000</v>
      </c>
      <c r="W47" s="634">
        <f t="shared" si="4"/>
        <v>200000</v>
      </c>
      <c r="X47" s="634">
        <f t="shared" si="5"/>
        <v>200000</v>
      </c>
    </row>
    <row r="48" spans="2:24" s="363" customFormat="1" ht="12.75">
      <c r="B48" s="357"/>
      <c r="C48" s="364"/>
      <c r="D48" s="359"/>
      <c r="E48" s="364"/>
      <c r="F48" s="375">
        <v>27</v>
      </c>
      <c r="G48" s="442">
        <v>422</v>
      </c>
      <c r="H48" s="1179" t="s">
        <v>34</v>
      </c>
      <c r="I48" s="1180"/>
      <c r="J48" s="1181"/>
      <c r="K48" s="987">
        <v>60000</v>
      </c>
      <c r="L48" s="987">
        <v>0</v>
      </c>
      <c r="M48" s="987">
        <v>60000</v>
      </c>
      <c r="N48" s="987">
        <v>60000</v>
      </c>
      <c r="O48" s="449">
        <v>0</v>
      </c>
      <c r="P48" s="418">
        <v>0</v>
      </c>
      <c r="Q48" s="418">
        <v>0</v>
      </c>
      <c r="R48" s="421">
        <v>0</v>
      </c>
      <c r="S48" s="421">
        <v>0</v>
      </c>
      <c r="T48" s="421">
        <v>0</v>
      </c>
      <c r="U48" s="421">
        <f t="shared" si="2"/>
        <v>0</v>
      </c>
      <c r="V48" s="634">
        <f t="shared" si="17"/>
        <v>60000</v>
      </c>
      <c r="W48" s="634">
        <f t="shared" si="4"/>
        <v>60000</v>
      </c>
      <c r="X48" s="634">
        <f t="shared" si="5"/>
        <v>60000</v>
      </c>
    </row>
    <row r="49" spans="2:24" s="363" customFormat="1" ht="12.75">
      <c r="B49" s="357"/>
      <c r="C49" s="364"/>
      <c r="D49" s="359"/>
      <c r="E49" s="364"/>
      <c r="F49" s="375">
        <v>28</v>
      </c>
      <c r="G49" s="442">
        <v>423</v>
      </c>
      <c r="H49" s="1179" t="s">
        <v>1399</v>
      </c>
      <c r="I49" s="1180"/>
      <c r="J49" s="1181"/>
      <c r="K49" s="987">
        <v>6000000</v>
      </c>
      <c r="L49" s="987">
        <v>3975662.35</v>
      </c>
      <c r="M49" s="987">
        <v>6000000</v>
      </c>
      <c r="N49" s="987">
        <v>6000000</v>
      </c>
      <c r="O49" s="449">
        <v>0</v>
      </c>
      <c r="P49" s="418">
        <v>0</v>
      </c>
      <c r="Q49" s="418">
        <v>0</v>
      </c>
      <c r="R49" s="421">
        <v>0</v>
      </c>
      <c r="S49" s="421">
        <v>0</v>
      </c>
      <c r="T49" s="421">
        <v>0</v>
      </c>
      <c r="U49" s="421">
        <f t="shared" si="2"/>
        <v>0</v>
      </c>
      <c r="V49" s="634">
        <f t="shared" si="17"/>
        <v>6000000</v>
      </c>
      <c r="W49" s="634">
        <f t="shared" si="4"/>
        <v>6000000</v>
      </c>
      <c r="X49" s="634">
        <f t="shared" si="5"/>
        <v>6000000</v>
      </c>
    </row>
    <row r="50" spans="2:24" s="363" customFormat="1" ht="12.75">
      <c r="B50" s="357"/>
      <c r="C50" s="364"/>
      <c r="D50" s="359"/>
      <c r="E50" s="364"/>
      <c r="F50" s="375">
        <v>29</v>
      </c>
      <c r="G50" s="442">
        <v>423</v>
      </c>
      <c r="H50" s="1179" t="s">
        <v>35</v>
      </c>
      <c r="I50" s="1180"/>
      <c r="J50" s="1181"/>
      <c r="K50" s="987">
        <v>2950000</v>
      </c>
      <c r="L50" s="987">
        <v>2801754.8299999996</v>
      </c>
      <c r="M50" s="987">
        <v>3000000</v>
      </c>
      <c r="N50" s="987">
        <v>3000000</v>
      </c>
      <c r="O50" s="449">
        <v>0</v>
      </c>
      <c r="P50" s="418">
        <v>0</v>
      </c>
      <c r="Q50" s="418">
        <v>0</v>
      </c>
      <c r="R50" s="421">
        <v>0</v>
      </c>
      <c r="S50" s="421">
        <v>0</v>
      </c>
      <c r="T50" s="421">
        <v>0</v>
      </c>
      <c r="U50" s="421">
        <f t="shared" si="2"/>
        <v>0</v>
      </c>
      <c r="V50" s="634">
        <f t="shared" si="17"/>
        <v>3000000</v>
      </c>
      <c r="W50" s="634">
        <f t="shared" si="4"/>
        <v>3000000</v>
      </c>
      <c r="X50" s="634">
        <f t="shared" si="5"/>
        <v>3000000</v>
      </c>
    </row>
    <row r="51" spans="2:24" s="363" customFormat="1" ht="12.75">
      <c r="B51" s="357"/>
      <c r="C51" s="364"/>
      <c r="D51" s="359"/>
      <c r="E51" s="364"/>
      <c r="F51" s="375">
        <v>30</v>
      </c>
      <c r="G51" s="442">
        <v>423</v>
      </c>
      <c r="H51" s="1227" t="s">
        <v>1400</v>
      </c>
      <c r="I51" s="1228"/>
      <c r="J51" s="1229"/>
      <c r="K51" s="987">
        <v>400000</v>
      </c>
      <c r="L51" s="987">
        <v>406500</v>
      </c>
      <c r="M51" s="987">
        <v>485000</v>
      </c>
      <c r="N51" s="987">
        <v>485000</v>
      </c>
      <c r="O51" s="449">
        <v>0</v>
      </c>
      <c r="P51" s="418">
        <v>0</v>
      </c>
      <c r="Q51" s="418">
        <v>0</v>
      </c>
      <c r="R51" s="421">
        <v>0</v>
      </c>
      <c r="S51" s="421">
        <v>0</v>
      </c>
      <c r="T51" s="421">
        <v>0</v>
      </c>
      <c r="U51" s="421">
        <f t="shared" si="2"/>
        <v>0</v>
      </c>
      <c r="V51" s="634">
        <f t="shared" si="17"/>
        <v>485000</v>
      </c>
      <c r="W51" s="634">
        <f t="shared" si="4"/>
        <v>485000</v>
      </c>
      <c r="X51" s="634">
        <f t="shared" si="5"/>
        <v>485000</v>
      </c>
    </row>
    <row r="52" spans="2:24" s="363" customFormat="1" ht="12.75">
      <c r="B52" s="357"/>
      <c r="C52" s="364"/>
      <c r="D52" s="359"/>
      <c r="E52" s="364"/>
      <c r="F52" s="375">
        <v>31</v>
      </c>
      <c r="G52" s="442">
        <v>423</v>
      </c>
      <c r="H52" s="1182" t="s">
        <v>1401</v>
      </c>
      <c r="I52" s="1183"/>
      <c r="J52" s="1184"/>
      <c r="K52" s="788">
        <v>120000</v>
      </c>
      <c r="L52" s="788">
        <v>0</v>
      </c>
      <c r="M52" s="788">
        <v>1000</v>
      </c>
      <c r="N52" s="788">
        <v>1000</v>
      </c>
      <c r="O52" s="449">
        <v>0</v>
      </c>
      <c r="P52" s="418">
        <v>0</v>
      </c>
      <c r="Q52" s="418">
        <v>0</v>
      </c>
      <c r="R52" s="421">
        <v>0</v>
      </c>
      <c r="S52" s="421">
        <v>0</v>
      </c>
      <c r="T52" s="421">
        <v>0</v>
      </c>
      <c r="U52" s="421">
        <f t="shared" si="2"/>
        <v>0</v>
      </c>
      <c r="V52" s="634">
        <f t="shared" si="17"/>
        <v>1000</v>
      </c>
      <c r="W52" s="634">
        <f t="shared" si="4"/>
        <v>1000</v>
      </c>
      <c r="X52" s="634">
        <f t="shared" si="5"/>
        <v>1000</v>
      </c>
    </row>
    <row r="53" spans="2:24" s="363" customFormat="1" ht="12.75">
      <c r="B53" s="357"/>
      <c r="C53" s="364"/>
      <c r="D53" s="359"/>
      <c r="E53" s="364"/>
      <c r="F53" s="375">
        <v>32</v>
      </c>
      <c r="G53" s="452">
        <v>424</v>
      </c>
      <c r="H53" s="1182" t="s">
        <v>36</v>
      </c>
      <c r="I53" s="1183"/>
      <c r="J53" s="1184"/>
      <c r="K53" s="788">
        <v>50000</v>
      </c>
      <c r="L53" s="788">
        <v>0</v>
      </c>
      <c r="M53" s="788">
        <v>50000</v>
      </c>
      <c r="N53" s="788">
        <v>50000</v>
      </c>
      <c r="O53" s="449">
        <v>0</v>
      </c>
      <c r="P53" s="418">
        <v>0</v>
      </c>
      <c r="Q53" s="418">
        <v>0</v>
      </c>
      <c r="R53" s="421">
        <v>0</v>
      </c>
      <c r="S53" s="421">
        <v>0</v>
      </c>
      <c r="T53" s="421">
        <v>0</v>
      </c>
      <c r="U53" s="421">
        <f t="shared" si="2"/>
        <v>0</v>
      </c>
      <c r="V53" s="634">
        <f t="shared" si="17"/>
        <v>50000</v>
      </c>
      <c r="W53" s="634">
        <f t="shared" si="4"/>
        <v>50000</v>
      </c>
      <c r="X53" s="634">
        <f t="shared" si="5"/>
        <v>50000</v>
      </c>
    </row>
    <row r="54" spans="2:24" s="363" customFormat="1" ht="12.75">
      <c r="B54" s="583"/>
      <c r="C54" s="493"/>
      <c r="D54" s="584"/>
      <c r="E54" s="493"/>
      <c r="F54" s="375">
        <v>33</v>
      </c>
      <c r="G54" s="546">
        <v>426</v>
      </c>
      <c r="H54" s="1310" t="s">
        <v>38</v>
      </c>
      <c r="I54" s="1311"/>
      <c r="J54" s="1312"/>
      <c r="K54" s="980">
        <v>1600000</v>
      </c>
      <c r="L54" s="980">
        <v>1571843.4600000002</v>
      </c>
      <c r="M54" s="980">
        <v>1800000</v>
      </c>
      <c r="N54" s="980">
        <v>1800000</v>
      </c>
      <c r="O54" s="449">
        <v>0</v>
      </c>
      <c r="P54" s="418">
        <v>0</v>
      </c>
      <c r="Q54" s="418">
        <v>0</v>
      </c>
      <c r="R54" s="421">
        <v>0</v>
      </c>
      <c r="S54" s="421">
        <v>0</v>
      </c>
      <c r="T54" s="421">
        <v>0</v>
      </c>
      <c r="U54" s="421">
        <f t="shared" si="2"/>
        <v>0</v>
      </c>
      <c r="V54" s="634">
        <f t="shared" si="17"/>
        <v>1800000</v>
      </c>
      <c r="W54" s="634">
        <f t="shared" si="4"/>
        <v>1800000</v>
      </c>
      <c r="X54" s="634">
        <f t="shared" si="5"/>
        <v>1800000</v>
      </c>
    </row>
    <row r="55" spans="2:24" s="363" customFormat="1" ht="12.75">
      <c r="B55" s="495"/>
      <c r="C55" s="495"/>
      <c r="D55" s="548"/>
      <c r="E55" s="495"/>
      <c r="F55" s="375">
        <v>34</v>
      </c>
      <c r="G55" s="541">
        <v>465</v>
      </c>
      <c r="H55" s="1261" t="s">
        <v>216</v>
      </c>
      <c r="I55" s="1261"/>
      <c r="J55" s="1261"/>
      <c r="K55" s="988">
        <v>400000</v>
      </c>
      <c r="L55" s="988">
        <v>297710.57</v>
      </c>
      <c r="M55" s="988">
        <v>400000</v>
      </c>
      <c r="N55" s="988">
        <v>400000</v>
      </c>
      <c r="O55" s="449">
        <v>0</v>
      </c>
      <c r="P55" s="418">
        <v>0</v>
      </c>
      <c r="Q55" s="418">
        <v>0</v>
      </c>
      <c r="R55" s="421">
        <v>0</v>
      </c>
      <c r="S55" s="421">
        <v>0</v>
      </c>
      <c r="T55" s="421">
        <v>0</v>
      </c>
      <c r="U55" s="421">
        <f t="shared" si="2"/>
        <v>0</v>
      </c>
      <c r="V55" s="634">
        <f t="shared" si="17"/>
        <v>400000</v>
      </c>
      <c r="W55" s="634">
        <f t="shared" si="4"/>
        <v>400000</v>
      </c>
      <c r="X55" s="634">
        <f t="shared" si="5"/>
        <v>400000</v>
      </c>
    </row>
    <row r="56" spans="2:24" s="363" customFormat="1" ht="13.5" thickBot="1">
      <c r="B56" s="495"/>
      <c r="C56" s="495"/>
      <c r="D56" s="548"/>
      <c r="E56" s="495"/>
      <c r="F56" s="375">
        <v>35</v>
      </c>
      <c r="G56" s="492">
        <v>482</v>
      </c>
      <c r="H56" s="1199" t="s">
        <v>82</v>
      </c>
      <c r="I56" s="1199"/>
      <c r="J56" s="1199"/>
      <c r="K56" s="989">
        <v>20000</v>
      </c>
      <c r="L56" s="989">
        <v>7497</v>
      </c>
      <c r="M56" s="989">
        <v>20000</v>
      </c>
      <c r="N56" s="989">
        <v>20000</v>
      </c>
      <c r="O56" s="449">
        <v>0</v>
      </c>
      <c r="P56" s="418">
        <v>0</v>
      </c>
      <c r="Q56" s="418">
        <v>0</v>
      </c>
      <c r="R56" s="421">
        <v>0</v>
      </c>
      <c r="S56" s="421">
        <v>0</v>
      </c>
      <c r="T56" s="421">
        <v>0</v>
      </c>
      <c r="U56" s="421">
        <f t="shared" si="2"/>
        <v>0</v>
      </c>
      <c r="V56" s="634">
        <f t="shared" si="17"/>
        <v>20000</v>
      </c>
      <c r="W56" s="634">
        <f t="shared" si="4"/>
        <v>20000</v>
      </c>
      <c r="X56" s="634">
        <f t="shared" si="5"/>
        <v>20000</v>
      </c>
    </row>
    <row r="57" spans="2:24" s="510" customFormat="1" ht="12.75">
      <c r="B57" s="726" t="s">
        <v>337</v>
      </c>
      <c r="C57" s="727"/>
      <c r="D57" s="540"/>
      <c r="E57" s="551"/>
      <c r="F57" s="540"/>
      <c r="G57" s="540"/>
      <c r="H57" s="723" t="s">
        <v>86</v>
      </c>
      <c r="I57" s="724"/>
      <c r="J57" s="725"/>
      <c r="K57" s="976">
        <f aca="true" t="shared" si="20" ref="K57:N59">K58</f>
        <v>6946000</v>
      </c>
      <c r="L57" s="976">
        <f t="shared" si="20"/>
        <v>5073394.75</v>
      </c>
      <c r="M57" s="976">
        <f t="shared" si="20"/>
        <v>7034000</v>
      </c>
      <c r="N57" s="976">
        <f t="shared" si="20"/>
        <v>7034000</v>
      </c>
      <c r="O57" s="508">
        <f aca="true" t="shared" si="21" ref="O57:T57">O58</f>
        <v>0</v>
      </c>
      <c r="P57" s="508">
        <f t="shared" si="21"/>
        <v>0</v>
      </c>
      <c r="Q57" s="508">
        <f t="shared" si="21"/>
        <v>0</v>
      </c>
      <c r="R57" s="508">
        <f t="shared" si="21"/>
        <v>0</v>
      </c>
      <c r="S57" s="508">
        <f t="shared" si="21"/>
        <v>0</v>
      </c>
      <c r="T57" s="508">
        <f t="shared" si="21"/>
        <v>0</v>
      </c>
      <c r="U57" s="509">
        <f t="shared" si="2"/>
        <v>0</v>
      </c>
      <c r="V57" s="894">
        <f t="shared" si="17"/>
        <v>7034000</v>
      </c>
      <c r="W57" s="894">
        <f t="shared" si="4"/>
        <v>7034000</v>
      </c>
      <c r="X57" s="895">
        <f t="shared" si="5"/>
        <v>7034000</v>
      </c>
    </row>
    <row r="58" spans="2:24" ht="12.75">
      <c r="B58" s="287"/>
      <c r="C58" s="288"/>
      <c r="D58" s="436"/>
      <c r="E58" s="636" t="s">
        <v>1212</v>
      </c>
      <c r="F58" s="637"/>
      <c r="G58" s="638"/>
      <c r="H58" s="1258" t="s">
        <v>1211</v>
      </c>
      <c r="I58" s="1259"/>
      <c r="J58" s="1260"/>
      <c r="K58" s="977">
        <f t="shared" si="20"/>
        <v>6946000</v>
      </c>
      <c r="L58" s="977">
        <f t="shared" si="20"/>
        <v>5073394.75</v>
      </c>
      <c r="M58" s="977">
        <f t="shared" si="20"/>
        <v>7034000</v>
      </c>
      <c r="N58" s="977">
        <f t="shared" si="20"/>
        <v>7034000</v>
      </c>
      <c r="O58" s="289">
        <f aca="true" t="shared" si="22" ref="O58:T59">O59</f>
        <v>0</v>
      </c>
      <c r="P58" s="289">
        <f t="shared" si="22"/>
        <v>0</v>
      </c>
      <c r="Q58" s="289">
        <f t="shared" si="22"/>
        <v>0</v>
      </c>
      <c r="R58" s="289">
        <f t="shared" si="22"/>
        <v>0</v>
      </c>
      <c r="S58" s="289">
        <f t="shared" si="22"/>
        <v>0</v>
      </c>
      <c r="T58" s="340">
        <f t="shared" si="22"/>
        <v>0</v>
      </c>
      <c r="U58" s="340">
        <f t="shared" si="2"/>
        <v>0</v>
      </c>
      <c r="V58" s="682">
        <f>SUM(N58:T58)</f>
        <v>7034000</v>
      </c>
      <c r="W58" s="682">
        <f t="shared" si="4"/>
        <v>7034000</v>
      </c>
      <c r="X58" s="644">
        <f t="shared" si="5"/>
        <v>7034000</v>
      </c>
    </row>
    <row r="59" spans="2:24" ht="12.75" customHeight="1">
      <c r="B59" s="287"/>
      <c r="C59" s="288"/>
      <c r="D59" s="436"/>
      <c r="E59" s="353" t="s">
        <v>1218</v>
      </c>
      <c r="F59" s="436"/>
      <c r="G59" s="437"/>
      <c r="H59" s="1171" t="s">
        <v>1217</v>
      </c>
      <c r="I59" s="1275"/>
      <c r="J59" s="1276"/>
      <c r="K59" s="978">
        <f t="shared" si="20"/>
        <v>6946000</v>
      </c>
      <c r="L59" s="978">
        <f t="shared" si="20"/>
        <v>5073394.75</v>
      </c>
      <c r="M59" s="978">
        <f t="shared" si="20"/>
        <v>7034000</v>
      </c>
      <c r="N59" s="978">
        <f t="shared" si="20"/>
        <v>7034000</v>
      </c>
      <c r="O59" s="293">
        <f t="shared" si="22"/>
        <v>0</v>
      </c>
      <c r="P59" s="293">
        <f t="shared" si="22"/>
        <v>0</v>
      </c>
      <c r="Q59" s="293">
        <f t="shared" si="22"/>
        <v>0</v>
      </c>
      <c r="R59" s="293">
        <f t="shared" si="22"/>
        <v>0</v>
      </c>
      <c r="S59" s="293">
        <f t="shared" si="22"/>
        <v>0</v>
      </c>
      <c r="T59" s="341">
        <f t="shared" si="22"/>
        <v>0</v>
      </c>
      <c r="U59" s="341">
        <f t="shared" si="2"/>
        <v>0</v>
      </c>
      <c r="V59" s="682">
        <f>SUM(N59:T59)</f>
        <v>7034000</v>
      </c>
      <c r="W59" s="682">
        <f t="shared" si="4"/>
        <v>7034000</v>
      </c>
      <c r="X59" s="682">
        <f t="shared" si="5"/>
        <v>7034000</v>
      </c>
    </row>
    <row r="60" spans="2:24" s="615" customFormat="1" ht="27" customHeight="1">
      <c r="B60" s="610"/>
      <c r="C60" s="611"/>
      <c r="D60" s="673">
        <v>110</v>
      </c>
      <c r="E60" s="612"/>
      <c r="F60" s="613"/>
      <c r="G60" s="614"/>
      <c r="H60" s="1265" t="s">
        <v>1234</v>
      </c>
      <c r="I60" s="1266"/>
      <c r="J60" s="1267"/>
      <c r="K60" s="616">
        <f aca="true" t="shared" si="23" ref="K60:V60">SUM(K61:K72)</f>
        <v>6946000</v>
      </c>
      <c r="L60" s="616">
        <f t="shared" si="23"/>
        <v>5073394.75</v>
      </c>
      <c r="M60" s="616">
        <f t="shared" si="23"/>
        <v>7034000</v>
      </c>
      <c r="N60" s="616">
        <f t="shared" si="23"/>
        <v>7034000</v>
      </c>
      <c r="O60" s="616">
        <f t="shared" si="23"/>
        <v>0</v>
      </c>
      <c r="P60" s="616">
        <f t="shared" si="23"/>
        <v>0</v>
      </c>
      <c r="Q60" s="616">
        <f t="shared" si="23"/>
        <v>0</v>
      </c>
      <c r="R60" s="616">
        <f t="shared" si="23"/>
        <v>0</v>
      </c>
      <c r="S60" s="616">
        <f t="shared" si="23"/>
        <v>0</v>
      </c>
      <c r="T60" s="616">
        <f t="shared" si="23"/>
        <v>0</v>
      </c>
      <c r="U60" s="878">
        <f t="shared" si="23"/>
        <v>0</v>
      </c>
      <c r="V60" s="901">
        <f t="shared" si="23"/>
        <v>7034000</v>
      </c>
      <c r="W60" s="901">
        <f t="shared" si="4"/>
        <v>7034000</v>
      </c>
      <c r="X60" s="901">
        <f t="shared" si="5"/>
        <v>7034000</v>
      </c>
    </row>
    <row r="61" spans="2:24" s="363" customFormat="1" ht="12.75">
      <c r="B61" s="357"/>
      <c r="C61" s="364"/>
      <c r="D61" s="359"/>
      <c r="E61" s="364"/>
      <c r="F61" s="375">
        <v>36</v>
      </c>
      <c r="G61" s="442">
        <v>411</v>
      </c>
      <c r="H61" s="1216" t="s">
        <v>27</v>
      </c>
      <c r="I61" s="1217"/>
      <c r="J61" s="1218"/>
      <c r="K61" s="990">
        <v>3000000</v>
      </c>
      <c r="L61" s="990">
        <v>2421809.14</v>
      </c>
      <c r="M61" s="990">
        <v>3020000</v>
      </c>
      <c r="N61" s="990">
        <v>3020000</v>
      </c>
      <c r="O61" s="449">
        <v>0</v>
      </c>
      <c r="P61" s="418">
        <v>0</v>
      </c>
      <c r="Q61" s="418">
        <v>0</v>
      </c>
      <c r="R61" s="421">
        <v>0</v>
      </c>
      <c r="S61" s="421">
        <v>0</v>
      </c>
      <c r="T61" s="421">
        <v>0</v>
      </c>
      <c r="U61" s="421">
        <f t="shared" si="2"/>
        <v>0</v>
      </c>
      <c r="V61" s="634">
        <f aca="true" t="shared" si="24" ref="V61:V73">SUM(N61:T61)</f>
        <v>3020000</v>
      </c>
      <c r="W61" s="634">
        <f t="shared" si="4"/>
        <v>3020000</v>
      </c>
      <c r="X61" s="634">
        <f t="shared" si="5"/>
        <v>3020000</v>
      </c>
    </row>
    <row r="62" spans="2:24" s="363" customFormat="1" ht="12.75">
      <c r="B62" s="357"/>
      <c r="C62" s="364"/>
      <c r="D62" s="359"/>
      <c r="E62" s="364"/>
      <c r="F62" s="375">
        <v>37</v>
      </c>
      <c r="G62" s="442">
        <v>412</v>
      </c>
      <c r="H62" s="1216" t="s">
        <v>79</v>
      </c>
      <c r="I62" s="1217"/>
      <c r="J62" s="1218"/>
      <c r="K62" s="990">
        <v>530000</v>
      </c>
      <c r="L62" s="990">
        <v>419047.9400000001</v>
      </c>
      <c r="M62" s="990">
        <v>534000</v>
      </c>
      <c r="N62" s="990">
        <v>534000</v>
      </c>
      <c r="O62" s="449">
        <v>0</v>
      </c>
      <c r="P62" s="418">
        <v>0</v>
      </c>
      <c r="Q62" s="418">
        <v>0</v>
      </c>
      <c r="R62" s="421">
        <v>0</v>
      </c>
      <c r="S62" s="421">
        <v>0</v>
      </c>
      <c r="T62" s="421">
        <v>0</v>
      </c>
      <c r="U62" s="421">
        <f t="shared" si="2"/>
        <v>0</v>
      </c>
      <c r="V62" s="634">
        <f t="shared" si="24"/>
        <v>534000</v>
      </c>
      <c r="W62" s="634">
        <f t="shared" si="4"/>
        <v>534000</v>
      </c>
      <c r="X62" s="634">
        <f t="shared" si="5"/>
        <v>534000</v>
      </c>
    </row>
    <row r="63" spans="2:24" s="363" customFormat="1" ht="12.75">
      <c r="B63" s="357"/>
      <c r="C63" s="364"/>
      <c r="D63" s="359"/>
      <c r="E63" s="364"/>
      <c r="F63" s="375">
        <v>38</v>
      </c>
      <c r="G63" s="442">
        <v>414</v>
      </c>
      <c r="H63" s="1262" t="s">
        <v>206</v>
      </c>
      <c r="I63" s="1263"/>
      <c r="J63" s="1264"/>
      <c r="K63" s="990">
        <v>50000</v>
      </c>
      <c r="L63" s="990">
        <v>18000</v>
      </c>
      <c r="M63" s="990">
        <v>50000</v>
      </c>
      <c r="N63" s="990">
        <v>50000</v>
      </c>
      <c r="O63" s="449">
        <v>0</v>
      </c>
      <c r="P63" s="418">
        <v>0</v>
      </c>
      <c r="Q63" s="418">
        <v>0</v>
      </c>
      <c r="R63" s="421">
        <v>0</v>
      </c>
      <c r="S63" s="421">
        <v>0</v>
      </c>
      <c r="T63" s="421">
        <v>0</v>
      </c>
      <c r="U63" s="421">
        <f t="shared" si="2"/>
        <v>0</v>
      </c>
      <c r="V63" s="634">
        <f t="shared" si="24"/>
        <v>50000</v>
      </c>
      <c r="W63" s="634">
        <f t="shared" si="4"/>
        <v>50000</v>
      </c>
      <c r="X63" s="634">
        <f t="shared" si="5"/>
        <v>50000</v>
      </c>
    </row>
    <row r="64" spans="2:24" s="363" customFormat="1" ht="12.75">
      <c r="B64" s="357"/>
      <c r="C64" s="364"/>
      <c r="D64" s="359"/>
      <c r="E64" s="364"/>
      <c r="F64" s="375">
        <v>39</v>
      </c>
      <c r="G64" s="442">
        <v>415</v>
      </c>
      <c r="H64" s="1216" t="s">
        <v>31</v>
      </c>
      <c r="I64" s="1217"/>
      <c r="J64" s="1218"/>
      <c r="K64" s="990">
        <v>270000</v>
      </c>
      <c r="L64" s="990">
        <v>192958.84999999998</v>
      </c>
      <c r="M64" s="990">
        <v>270000</v>
      </c>
      <c r="N64" s="990">
        <v>270000</v>
      </c>
      <c r="O64" s="449">
        <v>0</v>
      </c>
      <c r="P64" s="418">
        <v>0</v>
      </c>
      <c r="Q64" s="418">
        <v>0</v>
      </c>
      <c r="R64" s="421">
        <v>0</v>
      </c>
      <c r="S64" s="421">
        <v>0</v>
      </c>
      <c r="T64" s="421">
        <v>0</v>
      </c>
      <c r="U64" s="421">
        <f t="shared" si="2"/>
        <v>0</v>
      </c>
      <c r="V64" s="634">
        <f t="shared" si="24"/>
        <v>270000</v>
      </c>
      <c r="W64" s="634">
        <f t="shared" si="4"/>
        <v>270000</v>
      </c>
      <c r="X64" s="634">
        <f t="shared" si="5"/>
        <v>270000</v>
      </c>
    </row>
    <row r="65" spans="2:24" s="363" customFormat="1" ht="12.75">
      <c r="B65" s="357"/>
      <c r="C65" s="364"/>
      <c r="D65" s="359"/>
      <c r="E65" s="364"/>
      <c r="F65" s="375">
        <v>40</v>
      </c>
      <c r="G65" s="442">
        <v>421</v>
      </c>
      <c r="H65" s="1262" t="s">
        <v>33</v>
      </c>
      <c r="I65" s="1263"/>
      <c r="J65" s="1264"/>
      <c r="K65" s="990">
        <v>150000</v>
      </c>
      <c r="L65" s="990">
        <v>83747.01999999999</v>
      </c>
      <c r="M65" s="990">
        <v>150000</v>
      </c>
      <c r="N65" s="990">
        <v>150000</v>
      </c>
      <c r="O65" s="449">
        <v>0</v>
      </c>
      <c r="P65" s="418">
        <v>0</v>
      </c>
      <c r="Q65" s="418">
        <v>0</v>
      </c>
      <c r="R65" s="421">
        <v>0</v>
      </c>
      <c r="S65" s="421">
        <v>0</v>
      </c>
      <c r="T65" s="421">
        <v>0</v>
      </c>
      <c r="U65" s="421">
        <f t="shared" si="2"/>
        <v>0</v>
      </c>
      <c r="V65" s="634">
        <f t="shared" si="24"/>
        <v>150000</v>
      </c>
      <c r="W65" s="634">
        <f t="shared" si="4"/>
        <v>150000</v>
      </c>
      <c r="X65" s="634">
        <f t="shared" si="5"/>
        <v>150000</v>
      </c>
    </row>
    <row r="66" spans="2:24" s="363" customFormat="1" ht="12.75">
      <c r="B66" s="357"/>
      <c r="C66" s="364"/>
      <c r="D66" s="359"/>
      <c r="E66" s="364"/>
      <c r="F66" s="375">
        <v>41</v>
      </c>
      <c r="G66" s="442">
        <v>422</v>
      </c>
      <c r="H66" s="1262" t="s">
        <v>34</v>
      </c>
      <c r="I66" s="1263"/>
      <c r="J66" s="1264"/>
      <c r="K66" s="990">
        <v>50000</v>
      </c>
      <c r="L66" s="990">
        <v>0</v>
      </c>
      <c r="M66" s="990">
        <v>50000</v>
      </c>
      <c r="N66" s="990">
        <v>50000</v>
      </c>
      <c r="O66" s="449">
        <v>0</v>
      </c>
      <c r="P66" s="418">
        <v>0</v>
      </c>
      <c r="Q66" s="418">
        <v>0</v>
      </c>
      <c r="R66" s="421">
        <v>0</v>
      </c>
      <c r="S66" s="421">
        <v>0</v>
      </c>
      <c r="T66" s="421">
        <v>0</v>
      </c>
      <c r="U66" s="421">
        <f t="shared" si="2"/>
        <v>0</v>
      </c>
      <c r="V66" s="634">
        <f t="shared" si="24"/>
        <v>50000</v>
      </c>
      <c r="W66" s="634">
        <f t="shared" si="4"/>
        <v>50000</v>
      </c>
      <c r="X66" s="634">
        <f t="shared" si="5"/>
        <v>50000</v>
      </c>
    </row>
    <row r="67" spans="2:24" s="363" customFormat="1" ht="12.75">
      <c r="B67" s="357"/>
      <c r="C67" s="364"/>
      <c r="D67" s="359"/>
      <c r="E67" s="364"/>
      <c r="F67" s="375">
        <v>42</v>
      </c>
      <c r="G67" s="442">
        <v>423</v>
      </c>
      <c r="H67" s="1262" t="s">
        <v>35</v>
      </c>
      <c r="I67" s="1263"/>
      <c r="J67" s="1264"/>
      <c r="K67" s="990">
        <v>346000</v>
      </c>
      <c r="L67" s="990">
        <v>337305.19</v>
      </c>
      <c r="M67" s="990">
        <v>400000</v>
      </c>
      <c r="N67" s="990">
        <v>400000</v>
      </c>
      <c r="O67" s="449">
        <v>0</v>
      </c>
      <c r="P67" s="418">
        <v>0</v>
      </c>
      <c r="Q67" s="418">
        <v>0</v>
      </c>
      <c r="R67" s="421">
        <v>0</v>
      </c>
      <c r="S67" s="421">
        <v>0</v>
      </c>
      <c r="T67" s="421">
        <v>0</v>
      </c>
      <c r="U67" s="421">
        <f t="shared" si="2"/>
        <v>0</v>
      </c>
      <c r="V67" s="634">
        <f t="shared" si="24"/>
        <v>400000</v>
      </c>
      <c r="W67" s="634">
        <f t="shared" si="4"/>
        <v>400000</v>
      </c>
      <c r="X67" s="634">
        <f t="shared" si="5"/>
        <v>400000</v>
      </c>
    </row>
    <row r="68" spans="2:24" s="363" customFormat="1" ht="12.75">
      <c r="B68" s="357"/>
      <c r="C68" s="364"/>
      <c r="D68" s="359"/>
      <c r="E68" s="364"/>
      <c r="F68" s="375">
        <v>43</v>
      </c>
      <c r="G68" s="452">
        <v>423</v>
      </c>
      <c r="H68" s="1165" t="s">
        <v>1464</v>
      </c>
      <c r="I68" s="1166"/>
      <c r="J68" s="1167"/>
      <c r="K68" s="788">
        <v>1200000</v>
      </c>
      <c r="L68" s="788">
        <v>805576.18</v>
      </c>
      <c r="M68" s="788">
        <v>1200000</v>
      </c>
      <c r="N68" s="788">
        <v>1200000</v>
      </c>
      <c r="O68" s="449">
        <v>0</v>
      </c>
      <c r="P68" s="418">
        <v>0</v>
      </c>
      <c r="Q68" s="418">
        <v>0</v>
      </c>
      <c r="R68" s="421">
        <v>0</v>
      </c>
      <c r="S68" s="421">
        <v>0</v>
      </c>
      <c r="T68" s="421">
        <v>0</v>
      </c>
      <c r="U68" s="421">
        <f t="shared" si="2"/>
        <v>0</v>
      </c>
      <c r="V68" s="634">
        <f t="shared" si="24"/>
        <v>1200000</v>
      </c>
      <c r="W68" s="634">
        <f t="shared" si="4"/>
        <v>1200000</v>
      </c>
      <c r="X68" s="634">
        <f t="shared" si="5"/>
        <v>1200000</v>
      </c>
    </row>
    <row r="69" spans="2:24" s="363" customFormat="1" ht="12.75">
      <c r="B69" s="357"/>
      <c r="C69" s="364"/>
      <c r="D69" s="359"/>
      <c r="E69" s="364"/>
      <c r="F69" s="375">
        <v>44</v>
      </c>
      <c r="G69" s="442">
        <v>423</v>
      </c>
      <c r="H69" s="1216" t="s">
        <v>87</v>
      </c>
      <c r="I69" s="1217"/>
      <c r="J69" s="1218"/>
      <c r="K69" s="990">
        <v>100000</v>
      </c>
      <c r="L69" s="990">
        <v>0</v>
      </c>
      <c r="M69" s="990">
        <v>100000</v>
      </c>
      <c r="N69" s="990">
        <v>100000</v>
      </c>
      <c r="O69" s="449">
        <v>0</v>
      </c>
      <c r="P69" s="418">
        <v>0</v>
      </c>
      <c r="Q69" s="418">
        <v>0</v>
      </c>
      <c r="R69" s="421">
        <v>0</v>
      </c>
      <c r="S69" s="421">
        <v>0</v>
      </c>
      <c r="T69" s="421">
        <v>0</v>
      </c>
      <c r="U69" s="421">
        <f t="shared" si="2"/>
        <v>0</v>
      </c>
      <c r="V69" s="634">
        <f t="shared" si="24"/>
        <v>100000</v>
      </c>
      <c r="W69" s="634">
        <f t="shared" si="4"/>
        <v>100000</v>
      </c>
      <c r="X69" s="634">
        <f t="shared" si="5"/>
        <v>100000</v>
      </c>
    </row>
    <row r="70" spans="2:24" s="363" customFormat="1" ht="12.75">
      <c r="B70" s="357"/>
      <c r="C70" s="364"/>
      <c r="D70" s="359"/>
      <c r="E70" s="364"/>
      <c r="F70" s="375">
        <v>45</v>
      </c>
      <c r="G70" s="442">
        <v>423</v>
      </c>
      <c r="H70" s="1216" t="s">
        <v>1399</v>
      </c>
      <c r="I70" s="1217"/>
      <c r="J70" s="1218"/>
      <c r="K70" s="990">
        <v>520000</v>
      </c>
      <c r="L70" s="990">
        <v>325158.26</v>
      </c>
      <c r="M70" s="990">
        <v>530000</v>
      </c>
      <c r="N70" s="990">
        <v>530000</v>
      </c>
      <c r="O70" s="449">
        <v>0</v>
      </c>
      <c r="P70" s="418">
        <v>0</v>
      </c>
      <c r="Q70" s="418">
        <v>0</v>
      </c>
      <c r="R70" s="421">
        <v>0</v>
      </c>
      <c r="S70" s="421">
        <v>0</v>
      </c>
      <c r="T70" s="421">
        <v>0</v>
      </c>
      <c r="U70" s="421">
        <f t="shared" si="2"/>
        <v>0</v>
      </c>
      <c r="V70" s="634">
        <f t="shared" si="24"/>
        <v>530000</v>
      </c>
      <c r="W70" s="634">
        <f t="shared" si="4"/>
        <v>530000</v>
      </c>
      <c r="X70" s="634">
        <f t="shared" si="5"/>
        <v>530000</v>
      </c>
    </row>
    <row r="71" spans="2:24" s="363" customFormat="1" ht="12.75">
      <c r="B71" s="357"/>
      <c r="C71" s="364"/>
      <c r="D71" s="359"/>
      <c r="E71" s="364"/>
      <c r="F71" s="375">
        <v>46</v>
      </c>
      <c r="G71" s="442">
        <v>426</v>
      </c>
      <c r="H71" s="1301" t="s">
        <v>38</v>
      </c>
      <c r="I71" s="1302"/>
      <c r="J71" s="1303"/>
      <c r="K71" s="991">
        <v>360000</v>
      </c>
      <c r="L71" s="991">
        <v>167332.86999999994</v>
      </c>
      <c r="M71" s="991">
        <v>360000</v>
      </c>
      <c r="N71" s="991">
        <v>360000</v>
      </c>
      <c r="O71" s="449">
        <v>0</v>
      </c>
      <c r="P71" s="418">
        <v>0</v>
      </c>
      <c r="Q71" s="418">
        <v>0</v>
      </c>
      <c r="R71" s="421">
        <v>0</v>
      </c>
      <c r="S71" s="421">
        <v>0</v>
      </c>
      <c r="T71" s="421">
        <v>0</v>
      </c>
      <c r="U71" s="421">
        <f t="shared" si="2"/>
        <v>0</v>
      </c>
      <c r="V71" s="634">
        <f t="shared" si="24"/>
        <v>360000</v>
      </c>
      <c r="W71" s="634">
        <f t="shared" si="4"/>
        <v>360000</v>
      </c>
      <c r="X71" s="634">
        <f t="shared" si="5"/>
        <v>360000</v>
      </c>
    </row>
    <row r="72" spans="2:24" s="363" customFormat="1" ht="12.75">
      <c r="B72" s="357"/>
      <c r="C72" s="364"/>
      <c r="D72" s="359"/>
      <c r="E72" s="364"/>
      <c r="F72" s="375">
        <v>47</v>
      </c>
      <c r="G72" s="442">
        <v>465</v>
      </c>
      <c r="H72" s="866" t="s">
        <v>216</v>
      </c>
      <c r="I72" s="867"/>
      <c r="J72" s="868"/>
      <c r="K72" s="992">
        <v>370000</v>
      </c>
      <c r="L72" s="992">
        <v>302459.3</v>
      </c>
      <c r="M72" s="992">
        <v>370000</v>
      </c>
      <c r="N72" s="992">
        <v>370000</v>
      </c>
      <c r="O72" s="449">
        <v>0</v>
      </c>
      <c r="P72" s="411">
        <v>0</v>
      </c>
      <c r="Q72" s="411">
        <v>0</v>
      </c>
      <c r="R72" s="424">
        <v>0</v>
      </c>
      <c r="S72" s="459">
        <v>0</v>
      </c>
      <c r="T72" s="424">
        <v>0</v>
      </c>
      <c r="U72" s="424">
        <f t="shared" si="2"/>
        <v>0</v>
      </c>
      <c r="V72" s="634">
        <f t="shared" si="24"/>
        <v>370000</v>
      </c>
      <c r="W72" s="634">
        <f t="shared" si="4"/>
        <v>370000</v>
      </c>
      <c r="X72" s="634">
        <f t="shared" si="5"/>
        <v>370000</v>
      </c>
    </row>
    <row r="73" spans="2:24" s="510" customFormat="1" ht="12.75">
      <c r="B73" s="511" t="s">
        <v>1196</v>
      </c>
      <c r="C73" s="512"/>
      <c r="D73" s="513"/>
      <c r="E73" s="514"/>
      <c r="F73" s="513"/>
      <c r="G73" s="515"/>
      <c r="H73" s="1277" t="s">
        <v>89</v>
      </c>
      <c r="I73" s="1278"/>
      <c r="J73" s="1279"/>
      <c r="K73" s="993">
        <f aca="true" t="shared" si="25" ref="K73:T73">K74+K133+K142+K147+K193+K207+K246+K263+K280+K295+K323+K334+K338+K356+K370+K392+K421+K430+K448+K461+K473+K486+K497</f>
        <v>452990640</v>
      </c>
      <c r="L73" s="993">
        <f t="shared" si="25"/>
        <v>266663872.49999997</v>
      </c>
      <c r="M73" s="993">
        <f t="shared" si="25"/>
        <v>464179448</v>
      </c>
      <c r="N73" s="993">
        <f t="shared" si="25"/>
        <v>493171676</v>
      </c>
      <c r="O73" s="516">
        <f t="shared" si="25"/>
        <v>205000</v>
      </c>
      <c r="P73" s="516">
        <f t="shared" si="25"/>
        <v>3810000</v>
      </c>
      <c r="Q73" s="516">
        <f t="shared" si="25"/>
        <v>36446642.879999995</v>
      </c>
      <c r="R73" s="516">
        <f t="shared" si="25"/>
        <v>135635973.1</v>
      </c>
      <c r="S73" s="516">
        <f t="shared" si="25"/>
        <v>4570000</v>
      </c>
      <c r="T73" s="516">
        <f t="shared" si="25"/>
        <v>505000</v>
      </c>
      <c r="U73" s="879">
        <f aca="true" t="shared" si="26" ref="U73:U134">SUM(O73:T73)</f>
        <v>181172615.98</v>
      </c>
      <c r="V73" s="895">
        <f t="shared" si="24"/>
        <v>674344291.98</v>
      </c>
      <c r="W73" s="895">
        <f aca="true" t="shared" si="27" ref="W73:W137">V73</f>
        <v>674344291.98</v>
      </c>
      <c r="X73" s="895">
        <f aca="true" t="shared" si="28" ref="X73:X137">V73</f>
        <v>674344291.98</v>
      </c>
    </row>
    <row r="74" spans="2:24" ht="12.75">
      <c r="B74" s="287"/>
      <c r="C74" s="288"/>
      <c r="D74" s="436"/>
      <c r="E74" s="636" t="s">
        <v>290</v>
      </c>
      <c r="F74" s="637"/>
      <c r="G74" s="638"/>
      <c r="H74" s="1258" t="s">
        <v>1274</v>
      </c>
      <c r="I74" s="1259"/>
      <c r="J74" s="1260"/>
      <c r="K74" s="977">
        <f aca="true" t="shared" si="29" ref="K74:T74">K75+K108+K122+K127+K130+K117</f>
        <v>84600000</v>
      </c>
      <c r="L74" s="977">
        <f t="shared" si="29"/>
        <v>52773339.80999999</v>
      </c>
      <c r="M74" s="977">
        <f>M75+M108+M122+M127+M130+M117</f>
        <v>88330000</v>
      </c>
      <c r="N74" s="977">
        <f t="shared" si="29"/>
        <v>91740000</v>
      </c>
      <c r="O74" s="289">
        <f t="shared" si="29"/>
        <v>0</v>
      </c>
      <c r="P74" s="289">
        <f t="shared" si="29"/>
        <v>3000000</v>
      </c>
      <c r="Q74" s="289">
        <f t="shared" si="29"/>
        <v>0</v>
      </c>
      <c r="R74" s="289">
        <f t="shared" si="29"/>
        <v>14748375.1</v>
      </c>
      <c r="S74" s="289">
        <f t="shared" si="29"/>
        <v>4570000</v>
      </c>
      <c r="T74" s="289">
        <f t="shared" si="29"/>
        <v>0</v>
      </c>
      <c r="U74" s="340">
        <f t="shared" si="26"/>
        <v>22318375.1</v>
      </c>
      <c r="V74" s="644">
        <f>V75+V108+V122+V127+V130+V117</f>
        <v>114058375.1</v>
      </c>
      <c r="W74" s="644">
        <f t="shared" si="27"/>
        <v>114058375.1</v>
      </c>
      <c r="X74" s="644">
        <f t="shared" si="28"/>
        <v>114058375.1</v>
      </c>
    </row>
    <row r="75" spans="2:24" ht="13.5" customHeight="1">
      <c r="B75" s="287"/>
      <c r="C75" s="288"/>
      <c r="D75" s="436"/>
      <c r="E75" s="353" t="s">
        <v>292</v>
      </c>
      <c r="F75" s="436"/>
      <c r="G75" s="437"/>
      <c r="H75" s="1171" t="s">
        <v>327</v>
      </c>
      <c r="I75" s="1275"/>
      <c r="J75" s="1276"/>
      <c r="K75" s="978">
        <f aca="true" t="shared" si="30" ref="K75:T75">K76</f>
        <v>72800000</v>
      </c>
      <c r="L75" s="978">
        <f t="shared" si="30"/>
        <v>51831499.80999999</v>
      </c>
      <c r="M75" s="978">
        <f t="shared" si="30"/>
        <v>76800000</v>
      </c>
      <c r="N75" s="978">
        <f t="shared" si="30"/>
        <v>78090000</v>
      </c>
      <c r="O75" s="293">
        <f t="shared" si="30"/>
        <v>0</v>
      </c>
      <c r="P75" s="293">
        <f t="shared" si="30"/>
        <v>0</v>
      </c>
      <c r="Q75" s="293">
        <f t="shared" si="30"/>
        <v>0</v>
      </c>
      <c r="R75" s="293">
        <f t="shared" si="30"/>
        <v>2000000</v>
      </c>
      <c r="S75" s="293">
        <f t="shared" si="30"/>
        <v>0</v>
      </c>
      <c r="T75" s="293">
        <f t="shared" si="30"/>
        <v>0</v>
      </c>
      <c r="U75" s="341">
        <f t="shared" si="26"/>
        <v>2000000</v>
      </c>
      <c r="V75" s="682">
        <f>U75+N75</f>
        <v>80090000</v>
      </c>
      <c r="W75" s="682">
        <f t="shared" si="27"/>
        <v>80090000</v>
      </c>
      <c r="X75" s="682">
        <f t="shared" si="28"/>
        <v>80090000</v>
      </c>
    </row>
    <row r="76" spans="2:24" ht="12.75">
      <c r="B76" s="438"/>
      <c r="C76" s="439"/>
      <c r="D76" s="56">
        <v>130</v>
      </c>
      <c r="E76" s="58"/>
      <c r="F76" s="440"/>
      <c r="G76" s="441"/>
      <c r="H76" s="1162" t="s">
        <v>90</v>
      </c>
      <c r="I76" s="1163"/>
      <c r="J76" s="453"/>
      <c r="K76" s="994">
        <f>SUM(K77:K107)</f>
        <v>72800000</v>
      </c>
      <c r="L76" s="994">
        <f>SUM(L77:L107)</f>
        <v>51831499.80999999</v>
      </c>
      <c r="M76" s="994">
        <f>SUM(M77:M107)</f>
        <v>76800000</v>
      </c>
      <c r="N76" s="994">
        <f>SUM(N77:N107)</f>
        <v>78090000</v>
      </c>
      <c r="O76" s="69">
        <f aca="true" t="shared" si="31" ref="O76:T76">SUM(O77:O107)</f>
        <v>0</v>
      </c>
      <c r="P76" s="69">
        <f t="shared" si="31"/>
        <v>0</v>
      </c>
      <c r="Q76" s="69">
        <f t="shared" si="31"/>
        <v>0</v>
      </c>
      <c r="R76" s="69">
        <f t="shared" si="31"/>
        <v>2000000</v>
      </c>
      <c r="S76" s="69">
        <f t="shared" si="31"/>
        <v>0</v>
      </c>
      <c r="T76" s="69">
        <f t="shared" si="31"/>
        <v>0</v>
      </c>
      <c r="U76" s="344">
        <f t="shared" si="26"/>
        <v>2000000</v>
      </c>
      <c r="V76" s="896">
        <f>SUM(V77:V107)</f>
        <v>80090000</v>
      </c>
      <c r="W76" s="896">
        <f t="shared" si="27"/>
        <v>80090000</v>
      </c>
      <c r="X76" s="896">
        <f t="shared" si="28"/>
        <v>80090000</v>
      </c>
    </row>
    <row r="77" spans="2:24" s="363" customFormat="1" ht="12.75">
      <c r="B77" s="357"/>
      <c r="C77" s="364"/>
      <c r="D77" s="359"/>
      <c r="E77" s="364"/>
      <c r="F77" s="375">
        <v>48</v>
      </c>
      <c r="G77" s="442">
        <v>411</v>
      </c>
      <c r="H77" s="1227" t="s">
        <v>27</v>
      </c>
      <c r="I77" s="1228"/>
      <c r="J77" s="1229"/>
      <c r="K77" s="987">
        <v>26500000</v>
      </c>
      <c r="L77" s="987">
        <v>21711461.86999999</v>
      </c>
      <c r="M77" s="987">
        <v>27000000</v>
      </c>
      <c r="N77" s="379">
        <v>29800000</v>
      </c>
      <c r="O77" s="449">
        <v>0</v>
      </c>
      <c r="P77" s="418">
        <v>0</v>
      </c>
      <c r="Q77" s="418">
        <v>0</v>
      </c>
      <c r="R77" s="421">
        <v>0</v>
      </c>
      <c r="S77" s="421">
        <v>0</v>
      </c>
      <c r="T77" s="421">
        <v>0</v>
      </c>
      <c r="U77" s="421">
        <f t="shared" si="26"/>
        <v>0</v>
      </c>
      <c r="V77" s="634">
        <f aca="true" t="shared" si="32" ref="V77:V107">U77+N77</f>
        <v>29800000</v>
      </c>
      <c r="W77" s="634">
        <f t="shared" si="27"/>
        <v>29800000</v>
      </c>
      <c r="X77" s="634">
        <f t="shared" si="28"/>
        <v>29800000</v>
      </c>
    </row>
    <row r="78" spans="2:24" s="363" customFormat="1" ht="12.75">
      <c r="B78" s="357"/>
      <c r="C78" s="364"/>
      <c r="D78" s="359"/>
      <c r="E78" s="364"/>
      <c r="F78" s="375">
        <v>49</v>
      </c>
      <c r="G78" s="442">
        <v>412</v>
      </c>
      <c r="H78" s="1165" t="s">
        <v>79</v>
      </c>
      <c r="I78" s="1166"/>
      <c r="J78" s="1167"/>
      <c r="K78" s="379">
        <v>4800000</v>
      </c>
      <c r="L78" s="379">
        <v>3718734.2</v>
      </c>
      <c r="M78" s="379">
        <v>4900000</v>
      </c>
      <c r="N78" s="379">
        <v>5390000</v>
      </c>
      <c r="O78" s="449">
        <v>0</v>
      </c>
      <c r="P78" s="418">
        <v>0</v>
      </c>
      <c r="Q78" s="418">
        <v>0</v>
      </c>
      <c r="R78" s="421">
        <v>0</v>
      </c>
      <c r="S78" s="421">
        <v>0</v>
      </c>
      <c r="T78" s="421">
        <v>0</v>
      </c>
      <c r="U78" s="421">
        <f t="shared" si="26"/>
        <v>0</v>
      </c>
      <c r="V78" s="634">
        <f t="shared" si="32"/>
        <v>5390000</v>
      </c>
      <c r="W78" s="634">
        <f t="shared" si="27"/>
        <v>5390000</v>
      </c>
      <c r="X78" s="634">
        <f t="shared" si="28"/>
        <v>5390000</v>
      </c>
    </row>
    <row r="79" spans="2:24" s="363" customFormat="1" ht="12.75">
      <c r="B79" s="357"/>
      <c r="C79" s="364"/>
      <c r="D79" s="359"/>
      <c r="E79" s="364"/>
      <c r="F79" s="375">
        <v>50</v>
      </c>
      <c r="G79" s="442">
        <v>414</v>
      </c>
      <c r="H79" s="1165" t="s">
        <v>30</v>
      </c>
      <c r="I79" s="1166"/>
      <c r="J79" s="1167"/>
      <c r="K79" s="379">
        <v>1100000</v>
      </c>
      <c r="L79" s="379">
        <v>133436.47000000006</v>
      </c>
      <c r="M79" s="379">
        <v>1100000</v>
      </c>
      <c r="N79" s="379">
        <v>1100000</v>
      </c>
      <c r="O79" s="449">
        <v>0</v>
      </c>
      <c r="P79" s="418">
        <v>0</v>
      </c>
      <c r="Q79" s="418">
        <v>0</v>
      </c>
      <c r="R79" s="421">
        <v>0</v>
      </c>
      <c r="S79" s="421">
        <v>0</v>
      </c>
      <c r="T79" s="421">
        <v>0</v>
      </c>
      <c r="U79" s="421">
        <f t="shared" si="26"/>
        <v>0</v>
      </c>
      <c r="V79" s="634">
        <f t="shared" si="32"/>
        <v>1100000</v>
      </c>
      <c r="W79" s="634">
        <f t="shared" si="27"/>
        <v>1100000</v>
      </c>
      <c r="X79" s="634">
        <f t="shared" si="28"/>
        <v>1100000</v>
      </c>
    </row>
    <row r="80" spans="2:24" s="363" customFormat="1" ht="12.75">
      <c r="B80" s="357"/>
      <c r="C80" s="364"/>
      <c r="D80" s="359"/>
      <c r="E80" s="364"/>
      <c r="F80" s="375">
        <v>51</v>
      </c>
      <c r="G80" s="442">
        <v>415</v>
      </c>
      <c r="H80" s="1165" t="s">
        <v>31</v>
      </c>
      <c r="I80" s="1166"/>
      <c r="J80" s="1167"/>
      <c r="K80" s="379">
        <v>1100000</v>
      </c>
      <c r="L80" s="379">
        <v>868482.4299999998</v>
      </c>
      <c r="M80" s="379">
        <v>1100000</v>
      </c>
      <c r="N80" s="379">
        <v>1100000</v>
      </c>
      <c r="O80" s="449">
        <v>0</v>
      </c>
      <c r="P80" s="418">
        <v>0</v>
      </c>
      <c r="Q80" s="418">
        <v>0</v>
      </c>
      <c r="R80" s="421">
        <v>0</v>
      </c>
      <c r="S80" s="421">
        <v>0</v>
      </c>
      <c r="T80" s="421">
        <v>0</v>
      </c>
      <c r="U80" s="421">
        <f t="shared" si="26"/>
        <v>0</v>
      </c>
      <c r="V80" s="634">
        <f t="shared" si="32"/>
        <v>1100000</v>
      </c>
      <c r="W80" s="634">
        <f t="shared" si="27"/>
        <v>1100000</v>
      </c>
      <c r="X80" s="634">
        <f t="shared" si="28"/>
        <v>1100000</v>
      </c>
    </row>
    <row r="81" spans="2:24" s="363" customFormat="1" ht="12.75">
      <c r="B81" s="357"/>
      <c r="C81" s="364"/>
      <c r="D81" s="359"/>
      <c r="E81" s="364"/>
      <c r="F81" s="375">
        <v>52</v>
      </c>
      <c r="G81" s="442">
        <v>416</v>
      </c>
      <c r="H81" s="1182" t="s">
        <v>203</v>
      </c>
      <c r="I81" s="1183"/>
      <c r="J81" s="1184"/>
      <c r="K81" s="379">
        <v>190000</v>
      </c>
      <c r="L81" s="379">
        <v>181688.76</v>
      </c>
      <c r="M81" s="379">
        <v>190000</v>
      </c>
      <c r="N81" s="379">
        <v>90000</v>
      </c>
      <c r="O81" s="449">
        <v>0</v>
      </c>
      <c r="P81" s="418">
        <v>0</v>
      </c>
      <c r="Q81" s="418">
        <v>0</v>
      </c>
      <c r="R81" s="421">
        <v>0</v>
      </c>
      <c r="S81" s="421">
        <v>0</v>
      </c>
      <c r="T81" s="421">
        <v>0</v>
      </c>
      <c r="U81" s="421">
        <f t="shared" si="26"/>
        <v>0</v>
      </c>
      <c r="V81" s="634">
        <f t="shared" si="32"/>
        <v>90000</v>
      </c>
      <c r="W81" s="634">
        <f t="shared" si="27"/>
        <v>90000</v>
      </c>
      <c r="X81" s="634">
        <f t="shared" si="28"/>
        <v>90000</v>
      </c>
    </row>
    <row r="82" spans="2:24" s="363" customFormat="1" ht="12.75">
      <c r="B82" s="357"/>
      <c r="C82" s="364"/>
      <c r="D82" s="359"/>
      <c r="E82" s="364"/>
      <c r="F82" s="375">
        <v>53</v>
      </c>
      <c r="G82" s="452">
        <v>421</v>
      </c>
      <c r="H82" s="1165" t="s">
        <v>33</v>
      </c>
      <c r="I82" s="1166"/>
      <c r="J82" s="1167"/>
      <c r="K82" s="379">
        <v>6100000</v>
      </c>
      <c r="L82" s="379">
        <v>4213809.37</v>
      </c>
      <c r="M82" s="379">
        <v>6100000</v>
      </c>
      <c r="N82" s="379">
        <v>6100000</v>
      </c>
      <c r="O82" s="449">
        <v>0</v>
      </c>
      <c r="P82" s="418">
        <v>0</v>
      </c>
      <c r="Q82" s="418">
        <v>0</v>
      </c>
      <c r="R82" s="421">
        <v>0</v>
      </c>
      <c r="S82" s="421">
        <v>0</v>
      </c>
      <c r="T82" s="421">
        <v>0</v>
      </c>
      <c r="U82" s="421">
        <f t="shared" si="26"/>
        <v>0</v>
      </c>
      <c r="V82" s="634">
        <f t="shared" si="32"/>
        <v>6100000</v>
      </c>
      <c r="W82" s="634">
        <f t="shared" si="27"/>
        <v>6100000</v>
      </c>
      <c r="X82" s="634">
        <f t="shared" si="28"/>
        <v>6100000</v>
      </c>
    </row>
    <row r="83" spans="2:24" s="363" customFormat="1" ht="12.75">
      <c r="B83" s="357"/>
      <c r="C83" s="364"/>
      <c r="D83" s="359"/>
      <c r="E83" s="364"/>
      <c r="F83" s="375">
        <v>54</v>
      </c>
      <c r="G83" s="452">
        <v>422</v>
      </c>
      <c r="H83" s="1182" t="s">
        <v>34</v>
      </c>
      <c r="I83" s="1183"/>
      <c r="J83" s="1184"/>
      <c r="K83" s="379">
        <v>100000</v>
      </c>
      <c r="L83" s="379">
        <v>57258.13</v>
      </c>
      <c r="M83" s="379">
        <v>100000</v>
      </c>
      <c r="N83" s="379">
        <v>100000</v>
      </c>
      <c r="O83" s="449">
        <v>0</v>
      </c>
      <c r="P83" s="418">
        <v>0</v>
      </c>
      <c r="Q83" s="418">
        <v>0</v>
      </c>
      <c r="R83" s="421">
        <v>0</v>
      </c>
      <c r="S83" s="421">
        <v>0</v>
      </c>
      <c r="T83" s="421">
        <v>0</v>
      </c>
      <c r="U83" s="421">
        <f t="shared" si="26"/>
        <v>0</v>
      </c>
      <c r="V83" s="634">
        <f t="shared" si="32"/>
        <v>100000</v>
      </c>
      <c r="W83" s="634">
        <f t="shared" si="27"/>
        <v>100000</v>
      </c>
      <c r="X83" s="634">
        <f t="shared" si="28"/>
        <v>100000</v>
      </c>
    </row>
    <row r="84" spans="2:24" s="363" customFormat="1" ht="12.75">
      <c r="B84" s="357"/>
      <c r="C84" s="364"/>
      <c r="D84" s="359"/>
      <c r="E84" s="364"/>
      <c r="F84" s="375">
        <v>55</v>
      </c>
      <c r="G84" s="452">
        <v>423</v>
      </c>
      <c r="H84" s="1182" t="s">
        <v>35</v>
      </c>
      <c r="I84" s="1183"/>
      <c r="J84" s="1184"/>
      <c r="K84" s="379">
        <v>14000000</v>
      </c>
      <c r="L84" s="379">
        <v>9744990.58</v>
      </c>
      <c r="M84" s="379">
        <v>14000000</v>
      </c>
      <c r="N84" s="379">
        <v>14000000</v>
      </c>
      <c r="O84" s="449">
        <v>0</v>
      </c>
      <c r="P84" s="418">
        <v>0</v>
      </c>
      <c r="Q84" s="418">
        <v>0</v>
      </c>
      <c r="R84" s="421">
        <v>0</v>
      </c>
      <c r="S84" s="421">
        <v>0</v>
      </c>
      <c r="T84" s="421">
        <v>0</v>
      </c>
      <c r="U84" s="421">
        <f t="shared" si="26"/>
        <v>0</v>
      </c>
      <c r="V84" s="634">
        <f t="shared" si="32"/>
        <v>14000000</v>
      </c>
      <c r="W84" s="634">
        <f t="shared" si="27"/>
        <v>14000000</v>
      </c>
      <c r="X84" s="634">
        <f t="shared" si="28"/>
        <v>14000000</v>
      </c>
    </row>
    <row r="85" spans="1:24" s="363" customFormat="1" ht="12.75">
      <c r="A85" s="363" t="s">
        <v>1547</v>
      </c>
      <c r="B85" s="357"/>
      <c r="C85" s="364"/>
      <c r="D85" s="359"/>
      <c r="E85" s="364"/>
      <c r="F85" s="375">
        <v>56</v>
      </c>
      <c r="G85" s="452">
        <v>423</v>
      </c>
      <c r="H85" s="1182" t="s">
        <v>1548</v>
      </c>
      <c r="I85" s="1183"/>
      <c r="J85" s="1184"/>
      <c r="K85" s="379">
        <v>0</v>
      </c>
      <c r="L85" s="379">
        <v>0</v>
      </c>
      <c r="M85" s="379">
        <v>200000</v>
      </c>
      <c r="N85" s="379">
        <v>200000</v>
      </c>
      <c r="O85" s="449">
        <v>0</v>
      </c>
      <c r="P85" s="418">
        <v>0</v>
      </c>
      <c r="Q85" s="418">
        <v>0</v>
      </c>
      <c r="R85" s="421">
        <v>0</v>
      </c>
      <c r="S85" s="421">
        <v>0</v>
      </c>
      <c r="T85" s="421">
        <v>0</v>
      </c>
      <c r="U85" s="421">
        <f t="shared" si="26"/>
        <v>0</v>
      </c>
      <c r="V85" s="634">
        <f t="shared" si="32"/>
        <v>200000</v>
      </c>
      <c r="W85" s="634">
        <f t="shared" si="27"/>
        <v>200000</v>
      </c>
      <c r="X85" s="634">
        <f t="shared" si="28"/>
        <v>200000</v>
      </c>
    </row>
    <row r="86" spans="2:24" s="363" customFormat="1" ht="12.75">
      <c r="B86" s="357"/>
      <c r="C86" s="364"/>
      <c r="D86" s="359"/>
      <c r="E86" s="364"/>
      <c r="F86" s="375">
        <v>57</v>
      </c>
      <c r="G86" s="442">
        <v>423</v>
      </c>
      <c r="H86" s="1165" t="s">
        <v>1399</v>
      </c>
      <c r="I86" s="1166"/>
      <c r="J86" s="1167"/>
      <c r="K86" s="379">
        <v>300000</v>
      </c>
      <c r="L86" s="379">
        <v>220255.23</v>
      </c>
      <c r="M86" s="379">
        <v>300000</v>
      </c>
      <c r="N86" s="379">
        <v>300000</v>
      </c>
      <c r="O86" s="449">
        <v>0</v>
      </c>
      <c r="P86" s="418">
        <v>0</v>
      </c>
      <c r="Q86" s="418">
        <v>0</v>
      </c>
      <c r="R86" s="421">
        <v>0</v>
      </c>
      <c r="S86" s="421">
        <v>0</v>
      </c>
      <c r="T86" s="421">
        <v>0</v>
      </c>
      <c r="U86" s="421">
        <f t="shared" si="26"/>
        <v>0</v>
      </c>
      <c r="V86" s="634">
        <f t="shared" si="32"/>
        <v>300000</v>
      </c>
      <c r="W86" s="634">
        <f t="shared" si="27"/>
        <v>300000</v>
      </c>
      <c r="X86" s="634">
        <f t="shared" si="28"/>
        <v>300000</v>
      </c>
    </row>
    <row r="87" spans="2:24" s="363" customFormat="1" ht="12.75">
      <c r="B87" s="357"/>
      <c r="C87" s="364"/>
      <c r="D87" s="454"/>
      <c r="E87" s="455"/>
      <c r="F87" s="375">
        <v>58</v>
      </c>
      <c r="G87" s="456">
        <v>423</v>
      </c>
      <c r="H87" s="1272" t="s">
        <v>1402</v>
      </c>
      <c r="I87" s="1273"/>
      <c r="J87" s="1274"/>
      <c r="K87" s="994">
        <v>150000</v>
      </c>
      <c r="L87" s="994">
        <v>0</v>
      </c>
      <c r="M87" s="994">
        <v>150000</v>
      </c>
      <c r="N87" s="994">
        <v>150000</v>
      </c>
      <c r="O87" s="449">
        <v>0</v>
      </c>
      <c r="P87" s="429">
        <v>0</v>
      </c>
      <c r="Q87" s="429">
        <v>0</v>
      </c>
      <c r="R87" s="421">
        <v>0</v>
      </c>
      <c r="S87" s="421">
        <v>0</v>
      </c>
      <c r="T87" s="415">
        <v>0</v>
      </c>
      <c r="U87" s="415">
        <f t="shared" si="26"/>
        <v>0</v>
      </c>
      <c r="V87" s="383">
        <f t="shared" si="32"/>
        <v>150000</v>
      </c>
      <c r="W87" s="383">
        <f t="shared" si="27"/>
        <v>150000</v>
      </c>
      <c r="X87" s="383">
        <f t="shared" si="28"/>
        <v>150000</v>
      </c>
    </row>
    <row r="88" spans="2:24" s="526" customFormat="1" ht="12.75">
      <c r="B88" s="527"/>
      <c r="C88" s="460"/>
      <c r="D88" s="528"/>
      <c r="E88" s="460"/>
      <c r="F88" s="375">
        <v>59</v>
      </c>
      <c r="G88" s="442">
        <v>423</v>
      </c>
      <c r="H88" s="1216" t="s">
        <v>1403</v>
      </c>
      <c r="I88" s="1217"/>
      <c r="J88" s="1218"/>
      <c r="K88" s="990">
        <v>180000</v>
      </c>
      <c r="L88" s="990">
        <v>0</v>
      </c>
      <c r="M88" s="990">
        <v>180000</v>
      </c>
      <c r="N88" s="990">
        <v>180000</v>
      </c>
      <c r="O88" s="449">
        <v>0</v>
      </c>
      <c r="P88" s="529">
        <v>0</v>
      </c>
      <c r="Q88" s="529">
        <v>0</v>
      </c>
      <c r="R88" s="421">
        <v>0</v>
      </c>
      <c r="S88" s="421">
        <v>0</v>
      </c>
      <c r="T88" s="423">
        <v>0</v>
      </c>
      <c r="U88" s="423">
        <f t="shared" si="26"/>
        <v>0</v>
      </c>
      <c r="V88" s="634">
        <f t="shared" si="32"/>
        <v>180000</v>
      </c>
      <c r="W88" s="634">
        <f t="shared" si="27"/>
        <v>180000</v>
      </c>
      <c r="X88" s="634">
        <f t="shared" si="28"/>
        <v>180000</v>
      </c>
    </row>
    <row r="89" spans="2:24" s="526" customFormat="1" ht="12.75">
      <c r="B89" s="527"/>
      <c r="C89" s="460"/>
      <c r="D89" s="528"/>
      <c r="E89" s="460"/>
      <c r="F89" s="375">
        <v>60</v>
      </c>
      <c r="G89" s="442">
        <v>423</v>
      </c>
      <c r="H89" s="1262" t="s">
        <v>1404</v>
      </c>
      <c r="I89" s="1263"/>
      <c r="J89" s="1264"/>
      <c r="K89" s="990">
        <v>400000</v>
      </c>
      <c r="L89" s="990">
        <v>384000</v>
      </c>
      <c r="M89" s="990">
        <v>400000</v>
      </c>
      <c r="N89" s="990">
        <v>400000</v>
      </c>
      <c r="O89" s="449">
        <v>0</v>
      </c>
      <c r="P89" s="529">
        <v>0</v>
      </c>
      <c r="Q89" s="529">
        <v>0</v>
      </c>
      <c r="R89" s="421">
        <v>0</v>
      </c>
      <c r="S89" s="421">
        <v>0</v>
      </c>
      <c r="T89" s="423">
        <v>0</v>
      </c>
      <c r="U89" s="423">
        <f t="shared" si="26"/>
        <v>0</v>
      </c>
      <c r="V89" s="634">
        <f t="shared" si="32"/>
        <v>400000</v>
      </c>
      <c r="W89" s="634">
        <f t="shared" si="27"/>
        <v>400000</v>
      </c>
      <c r="X89" s="634">
        <f t="shared" si="28"/>
        <v>400000</v>
      </c>
    </row>
    <row r="90" spans="2:24" s="363" customFormat="1" ht="12.75">
      <c r="B90" s="357"/>
      <c r="C90" s="364"/>
      <c r="D90" s="359"/>
      <c r="E90" s="364"/>
      <c r="F90" s="375">
        <v>61</v>
      </c>
      <c r="G90" s="442">
        <v>424</v>
      </c>
      <c r="H90" s="1165" t="s">
        <v>36</v>
      </c>
      <c r="I90" s="1166"/>
      <c r="J90" s="1167"/>
      <c r="K90" s="788">
        <v>1200000</v>
      </c>
      <c r="L90" s="788">
        <v>732676.39</v>
      </c>
      <c r="M90" s="788">
        <v>1200000</v>
      </c>
      <c r="N90" s="788">
        <v>1200000</v>
      </c>
      <c r="O90" s="449">
        <v>0</v>
      </c>
      <c r="P90" s="418">
        <v>0</v>
      </c>
      <c r="Q90" s="418">
        <v>0</v>
      </c>
      <c r="R90" s="421">
        <v>2000000</v>
      </c>
      <c r="S90" s="421">
        <v>0</v>
      </c>
      <c r="T90" s="421">
        <v>0</v>
      </c>
      <c r="U90" s="421">
        <f t="shared" si="26"/>
        <v>2000000</v>
      </c>
      <c r="V90" s="634">
        <f t="shared" si="32"/>
        <v>3200000</v>
      </c>
      <c r="W90" s="634">
        <f t="shared" si="27"/>
        <v>3200000</v>
      </c>
      <c r="X90" s="634">
        <f t="shared" si="28"/>
        <v>3200000</v>
      </c>
    </row>
    <row r="91" spans="2:24" s="363" customFormat="1" ht="12.75">
      <c r="B91" s="357"/>
      <c r="C91" s="364"/>
      <c r="D91" s="359"/>
      <c r="E91" s="364"/>
      <c r="F91" s="375">
        <v>62</v>
      </c>
      <c r="G91" s="442">
        <v>425</v>
      </c>
      <c r="H91" s="1165" t="s">
        <v>91</v>
      </c>
      <c r="I91" s="1166"/>
      <c r="J91" s="1167"/>
      <c r="K91" s="788">
        <v>2070000</v>
      </c>
      <c r="L91" s="788">
        <v>663481.59</v>
      </c>
      <c r="M91" s="788">
        <v>2200000</v>
      </c>
      <c r="N91" s="788">
        <v>2200000</v>
      </c>
      <c r="O91" s="449">
        <v>0</v>
      </c>
      <c r="P91" s="418">
        <v>0</v>
      </c>
      <c r="Q91" s="418">
        <v>0</v>
      </c>
      <c r="R91" s="421">
        <v>0</v>
      </c>
      <c r="S91" s="421">
        <v>0</v>
      </c>
      <c r="T91" s="421">
        <v>0</v>
      </c>
      <c r="U91" s="421">
        <f t="shared" si="26"/>
        <v>0</v>
      </c>
      <c r="V91" s="634">
        <f t="shared" si="32"/>
        <v>2200000</v>
      </c>
      <c r="W91" s="634">
        <f t="shared" si="27"/>
        <v>2200000</v>
      </c>
      <c r="X91" s="634">
        <f t="shared" si="28"/>
        <v>2200000</v>
      </c>
    </row>
    <row r="92" spans="2:24" s="363" customFormat="1" ht="12.75">
      <c r="B92" s="357"/>
      <c r="C92" s="364"/>
      <c r="D92" s="454"/>
      <c r="E92" s="455"/>
      <c r="F92" s="375">
        <v>63</v>
      </c>
      <c r="G92" s="456">
        <v>425</v>
      </c>
      <c r="H92" s="1272" t="s">
        <v>1194</v>
      </c>
      <c r="I92" s="1273"/>
      <c r="J92" s="1274"/>
      <c r="K92" s="994">
        <v>300000</v>
      </c>
      <c r="L92" s="994">
        <v>0</v>
      </c>
      <c r="M92" s="994">
        <v>300000</v>
      </c>
      <c r="N92" s="994">
        <v>300000</v>
      </c>
      <c r="O92" s="449">
        <v>0</v>
      </c>
      <c r="P92" s="429">
        <v>0</v>
      </c>
      <c r="Q92" s="429">
        <v>0</v>
      </c>
      <c r="R92" s="421">
        <v>0</v>
      </c>
      <c r="S92" s="421">
        <v>0</v>
      </c>
      <c r="T92" s="415">
        <v>0</v>
      </c>
      <c r="U92" s="415">
        <f t="shared" si="26"/>
        <v>0</v>
      </c>
      <c r="V92" s="383">
        <f t="shared" si="32"/>
        <v>300000</v>
      </c>
      <c r="W92" s="383">
        <f t="shared" si="27"/>
        <v>300000</v>
      </c>
      <c r="X92" s="383">
        <f t="shared" si="28"/>
        <v>300000</v>
      </c>
    </row>
    <row r="93" spans="2:24" s="363" customFormat="1" ht="12.75">
      <c r="B93" s="357"/>
      <c r="C93" s="364"/>
      <c r="D93" s="359"/>
      <c r="E93" s="364"/>
      <c r="F93" s="375">
        <v>64</v>
      </c>
      <c r="G93" s="442">
        <v>426</v>
      </c>
      <c r="H93" s="1165" t="s">
        <v>38</v>
      </c>
      <c r="I93" s="1166"/>
      <c r="J93" s="1167"/>
      <c r="K93" s="788">
        <v>2500000</v>
      </c>
      <c r="L93" s="788">
        <v>2064642.2300000004</v>
      </c>
      <c r="M93" s="788">
        <v>2800000</v>
      </c>
      <c r="N93" s="788">
        <v>2800000</v>
      </c>
      <c r="O93" s="449">
        <v>0</v>
      </c>
      <c r="P93" s="418">
        <v>0</v>
      </c>
      <c r="Q93" s="418">
        <v>0</v>
      </c>
      <c r="R93" s="421">
        <v>0</v>
      </c>
      <c r="S93" s="421">
        <v>0</v>
      </c>
      <c r="T93" s="421">
        <v>0</v>
      </c>
      <c r="U93" s="421">
        <f t="shared" si="26"/>
        <v>0</v>
      </c>
      <c r="V93" s="634">
        <f t="shared" si="32"/>
        <v>2800000</v>
      </c>
      <c r="W93" s="634">
        <f t="shared" si="27"/>
        <v>2800000</v>
      </c>
      <c r="X93" s="634">
        <f t="shared" si="28"/>
        <v>2800000</v>
      </c>
    </row>
    <row r="94" spans="2:24" s="363" customFormat="1" ht="12.75">
      <c r="B94" s="357"/>
      <c r="C94" s="364"/>
      <c r="D94" s="454"/>
      <c r="E94" s="455"/>
      <c r="F94" s="375">
        <v>65</v>
      </c>
      <c r="G94" s="456">
        <v>426</v>
      </c>
      <c r="H94" s="1272" t="s">
        <v>17</v>
      </c>
      <c r="I94" s="1273"/>
      <c r="J94" s="1274"/>
      <c r="K94" s="994">
        <v>50000</v>
      </c>
      <c r="L94" s="994">
        <v>0</v>
      </c>
      <c r="M94" s="994">
        <v>50000</v>
      </c>
      <c r="N94" s="994">
        <v>50000</v>
      </c>
      <c r="O94" s="449">
        <v>0</v>
      </c>
      <c r="P94" s="429">
        <v>0</v>
      </c>
      <c r="Q94" s="429">
        <v>0</v>
      </c>
      <c r="R94" s="421">
        <v>0</v>
      </c>
      <c r="S94" s="421">
        <v>0</v>
      </c>
      <c r="T94" s="415">
        <v>0</v>
      </c>
      <c r="U94" s="415">
        <f t="shared" si="26"/>
        <v>0</v>
      </c>
      <c r="V94" s="383">
        <f t="shared" si="32"/>
        <v>50000</v>
      </c>
      <c r="W94" s="383">
        <f t="shared" si="27"/>
        <v>50000</v>
      </c>
      <c r="X94" s="383">
        <f t="shared" si="28"/>
        <v>50000</v>
      </c>
    </row>
    <row r="95" spans="2:24" s="363" customFormat="1" ht="12.75">
      <c r="B95" s="357"/>
      <c r="C95" s="364"/>
      <c r="D95" s="359"/>
      <c r="E95" s="364"/>
      <c r="F95" s="375">
        <v>66</v>
      </c>
      <c r="G95" s="452">
        <v>465</v>
      </c>
      <c r="H95" s="1182" t="s">
        <v>1474</v>
      </c>
      <c r="I95" s="1183"/>
      <c r="J95" s="1184"/>
      <c r="K95" s="788">
        <v>500000</v>
      </c>
      <c r="L95" s="788">
        <v>50000</v>
      </c>
      <c r="M95" s="788">
        <v>500000</v>
      </c>
      <c r="N95" s="788">
        <v>500000</v>
      </c>
      <c r="O95" s="449">
        <v>0</v>
      </c>
      <c r="P95" s="418">
        <v>0</v>
      </c>
      <c r="Q95" s="418">
        <v>0</v>
      </c>
      <c r="R95" s="421">
        <v>0</v>
      </c>
      <c r="S95" s="421">
        <v>0</v>
      </c>
      <c r="T95" s="421">
        <v>0</v>
      </c>
      <c r="U95" s="421">
        <f t="shared" si="26"/>
        <v>0</v>
      </c>
      <c r="V95" s="634">
        <f t="shared" si="32"/>
        <v>500000</v>
      </c>
      <c r="W95" s="634">
        <f t="shared" si="27"/>
        <v>500000</v>
      </c>
      <c r="X95" s="634">
        <f t="shared" si="28"/>
        <v>500000</v>
      </c>
    </row>
    <row r="96" spans="2:24" s="363" customFormat="1" ht="12.75">
      <c r="B96" s="357"/>
      <c r="C96" s="364"/>
      <c r="D96" s="359"/>
      <c r="E96" s="364"/>
      <c r="F96" s="375">
        <v>67</v>
      </c>
      <c r="G96" s="442">
        <v>465</v>
      </c>
      <c r="H96" s="1182" t="s">
        <v>216</v>
      </c>
      <c r="I96" s="1183"/>
      <c r="J96" s="1184"/>
      <c r="K96" s="788">
        <v>2800000</v>
      </c>
      <c r="L96" s="788">
        <v>2669511.0900000003</v>
      </c>
      <c r="M96" s="788">
        <v>3270000</v>
      </c>
      <c r="N96" s="788">
        <v>3270000</v>
      </c>
      <c r="O96" s="449">
        <v>0</v>
      </c>
      <c r="P96" s="418">
        <v>0</v>
      </c>
      <c r="Q96" s="418">
        <v>0</v>
      </c>
      <c r="R96" s="421">
        <v>0</v>
      </c>
      <c r="S96" s="421">
        <v>0</v>
      </c>
      <c r="T96" s="421">
        <v>0</v>
      </c>
      <c r="U96" s="421">
        <f t="shared" si="26"/>
        <v>0</v>
      </c>
      <c r="V96" s="634">
        <f t="shared" si="32"/>
        <v>3270000</v>
      </c>
      <c r="W96" s="634">
        <f t="shared" si="27"/>
        <v>3270000</v>
      </c>
      <c r="X96" s="634">
        <f t="shared" si="28"/>
        <v>3270000</v>
      </c>
    </row>
    <row r="97" spans="2:24" s="363" customFormat="1" ht="12.75">
      <c r="B97" s="357"/>
      <c r="C97" s="364"/>
      <c r="D97" s="359"/>
      <c r="E97" s="364"/>
      <c r="F97" s="375">
        <v>68</v>
      </c>
      <c r="G97" s="442">
        <v>465</v>
      </c>
      <c r="H97" s="1165" t="s">
        <v>286</v>
      </c>
      <c r="I97" s="1166"/>
      <c r="J97" s="1167"/>
      <c r="K97" s="788">
        <v>500000</v>
      </c>
      <c r="L97" s="788">
        <v>367773</v>
      </c>
      <c r="M97" s="788">
        <v>500000</v>
      </c>
      <c r="N97" s="788">
        <v>500000</v>
      </c>
      <c r="O97" s="449">
        <v>0</v>
      </c>
      <c r="P97" s="418">
        <v>0</v>
      </c>
      <c r="Q97" s="418">
        <v>0</v>
      </c>
      <c r="R97" s="421">
        <v>0</v>
      </c>
      <c r="S97" s="421">
        <v>0</v>
      </c>
      <c r="T97" s="421">
        <v>0</v>
      </c>
      <c r="U97" s="421">
        <f t="shared" si="26"/>
        <v>0</v>
      </c>
      <c r="V97" s="634">
        <f t="shared" si="32"/>
        <v>500000</v>
      </c>
      <c r="W97" s="634">
        <f t="shared" si="27"/>
        <v>500000</v>
      </c>
      <c r="X97" s="634">
        <f t="shared" si="28"/>
        <v>500000</v>
      </c>
    </row>
    <row r="98" spans="2:24" s="363" customFormat="1" ht="12.75">
      <c r="B98" s="357"/>
      <c r="C98" s="364"/>
      <c r="D98" s="182"/>
      <c r="E98" s="182"/>
      <c r="F98" s="375">
        <v>69</v>
      </c>
      <c r="G98" s="456">
        <v>472</v>
      </c>
      <c r="H98" s="1165" t="s">
        <v>1405</v>
      </c>
      <c r="I98" s="1166"/>
      <c r="J98" s="1167"/>
      <c r="K98" s="788">
        <v>50000</v>
      </c>
      <c r="L98" s="788">
        <v>0</v>
      </c>
      <c r="M98" s="788">
        <v>50000</v>
      </c>
      <c r="N98" s="788">
        <v>50000</v>
      </c>
      <c r="O98" s="449">
        <v>0</v>
      </c>
      <c r="P98" s="458">
        <v>0</v>
      </c>
      <c r="Q98" s="458">
        <v>0</v>
      </c>
      <c r="R98" s="425">
        <v>0</v>
      </c>
      <c r="S98" s="421">
        <v>0</v>
      </c>
      <c r="T98" s="425">
        <v>0</v>
      </c>
      <c r="U98" s="425">
        <f t="shared" si="26"/>
        <v>0</v>
      </c>
      <c r="V98" s="383">
        <f t="shared" si="32"/>
        <v>50000</v>
      </c>
      <c r="W98" s="383">
        <f t="shared" si="27"/>
        <v>50000</v>
      </c>
      <c r="X98" s="383">
        <f t="shared" si="28"/>
        <v>50000</v>
      </c>
    </row>
    <row r="99" spans="2:24" s="363" customFormat="1" ht="12.75">
      <c r="B99" s="357"/>
      <c r="C99" s="364"/>
      <c r="D99" s="182"/>
      <c r="E99" s="182"/>
      <c r="F99" s="375">
        <v>70</v>
      </c>
      <c r="G99" s="360">
        <v>481</v>
      </c>
      <c r="H99" s="1165" t="s">
        <v>1493</v>
      </c>
      <c r="I99" s="1166"/>
      <c r="J99" s="1167"/>
      <c r="K99" s="788">
        <v>700000</v>
      </c>
      <c r="L99" s="788">
        <v>525000</v>
      </c>
      <c r="M99" s="788">
        <v>700000</v>
      </c>
      <c r="N99" s="788">
        <v>700000</v>
      </c>
      <c r="O99" s="449">
        <v>0</v>
      </c>
      <c r="P99" s="652">
        <v>0</v>
      </c>
      <c r="Q99" s="425">
        <v>0</v>
      </c>
      <c r="R99" s="425">
        <v>0</v>
      </c>
      <c r="S99" s="421">
        <v>0</v>
      </c>
      <c r="T99" s="362">
        <v>0</v>
      </c>
      <c r="U99" s="425">
        <f t="shared" si="26"/>
        <v>0</v>
      </c>
      <c r="V99" s="383">
        <f t="shared" si="32"/>
        <v>700000</v>
      </c>
      <c r="W99" s="383">
        <f t="shared" si="27"/>
        <v>700000</v>
      </c>
      <c r="X99" s="383">
        <f t="shared" si="28"/>
        <v>700000</v>
      </c>
    </row>
    <row r="100" spans="2:24" s="363" customFormat="1" ht="12.75">
      <c r="B100" s="357"/>
      <c r="C100" s="364"/>
      <c r="D100" s="182"/>
      <c r="E100" s="182"/>
      <c r="F100" s="375">
        <v>71</v>
      </c>
      <c r="G100" s="456">
        <v>481</v>
      </c>
      <c r="H100" s="1182" t="s">
        <v>1406</v>
      </c>
      <c r="I100" s="1183"/>
      <c r="J100" s="1184"/>
      <c r="K100" s="788">
        <v>1800000</v>
      </c>
      <c r="L100" s="788">
        <v>1478763</v>
      </c>
      <c r="M100" s="788">
        <v>1800000</v>
      </c>
      <c r="N100" s="788">
        <v>1800000</v>
      </c>
      <c r="O100" s="449">
        <v>0</v>
      </c>
      <c r="P100" s="547">
        <v>0</v>
      </c>
      <c r="Q100" s="421">
        <v>0</v>
      </c>
      <c r="R100" s="421">
        <v>0</v>
      </c>
      <c r="S100" s="421">
        <v>0</v>
      </c>
      <c r="T100" s="361">
        <v>0</v>
      </c>
      <c r="U100" s="425">
        <f t="shared" si="26"/>
        <v>0</v>
      </c>
      <c r="V100" s="383">
        <f t="shared" si="32"/>
        <v>1800000</v>
      </c>
      <c r="W100" s="383">
        <f t="shared" si="27"/>
        <v>1800000</v>
      </c>
      <c r="X100" s="383">
        <f t="shared" si="28"/>
        <v>1800000</v>
      </c>
    </row>
    <row r="101" spans="2:24" s="363" customFormat="1" ht="12.75">
      <c r="B101" s="357"/>
      <c r="C101" s="364"/>
      <c r="D101" s="359"/>
      <c r="E101" s="364"/>
      <c r="F101" s="375">
        <v>72</v>
      </c>
      <c r="G101" s="442">
        <v>482</v>
      </c>
      <c r="H101" s="1165" t="s">
        <v>82</v>
      </c>
      <c r="I101" s="1166"/>
      <c r="J101" s="1167"/>
      <c r="K101" s="788">
        <v>1500000</v>
      </c>
      <c r="L101" s="788">
        <v>608821.64</v>
      </c>
      <c r="M101" s="788">
        <v>1500000</v>
      </c>
      <c r="N101" s="788">
        <v>1500000</v>
      </c>
      <c r="O101" s="449">
        <v>0</v>
      </c>
      <c r="P101" s="547">
        <v>0</v>
      </c>
      <c r="Q101" s="418">
        <v>0</v>
      </c>
      <c r="R101" s="421">
        <v>0</v>
      </c>
      <c r="S101" s="421">
        <v>0</v>
      </c>
      <c r="T101" s="421">
        <v>0</v>
      </c>
      <c r="U101" s="421">
        <f t="shared" si="26"/>
        <v>0</v>
      </c>
      <c r="V101" s="634">
        <f t="shared" si="32"/>
        <v>1500000</v>
      </c>
      <c r="W101" s="634">
        <f t="shared" si="27"/>
        <v>1500000</v>
      </c>
      <c r="X101" s="634">
        <f t="shared" si="28"/>
        <v>1500000</v>
      </c>
    </row>
    <row r="102" spans="2:24" s="363" customFormat="1" ht="12.75">
      <c r="B102" s="357"/>
      <c r="C102" s="364"/>
      <c r="D102" s="359"/>
      <c r="E102" s="364"/>
      <c r="F102" s="375">
        <v>73</v>
      </c>
      <c r="G102" s="442">
        <v>483</v>
      </c>
      <c r="H102" s="1165" t="s">
        <v>92</v>
      </c>
      <c r="I102" s="1166"/>
      <c r="J102" s="1167"/>
      <c r="K102" s="788">
        <v>400000</v>
      </c>
      <c r="L102" s="788">
        <v>0</v>
      </c>
      <c r="M102" s="788">
        <v>400000</v>
      </c>
      <c r="N102" s="788">
        <v>400000</v>
      </c>
      <c r="O102" s="449">
        <v>0</v>
      </c>
      <c r="P102" s="547">
        <v>0</v>
      </c>
      <c r="Q102" s="418">
        <v>0</v>
      </c>
      <c r="R102" s="421">
        <v>0</v>
      </c>
      <c r="S102" s="421">
        <v>0</v>
      </c>
      <c r="T102" s="421">
        <v>0</v>
      </c>
      <c r="U102" s="421">
        <f t="shared" si="26"/>
        <v>0</v>
      </c>
      <c r="V102" s="634">
        <f t="shared" si="32"/>
        <v>400000</v>
      </c>
      <c r="W102" s="634">
        <f t="shared" si="27"/>
        <v>400000</v>
      </c>
      <c r="X102" s="634">
        <f t="shared" si="28"/>
        <v>400000</v>
      </c>
    </row>
    <row r="103" spans="2:24" s="363" customFormat="1" ht="12.75">
      <c r="B103" s="357"/>
      <c r="C103" s="364"/>
      <c r="D103" s="359"/>
      <c r="E103" s="364"/>
      <c r="F103" s="375">
        <v>74</v>
      </c>
      <c r="G103" s="442">
        <v>485</v>
      </c>
      <c r="H103" s="1165" t="s">
        <v>93</v>
      </c>
      <c r="I103" s="1166"/>
      <c r="J103" s="1167"/>
      <c r="K103" s="788">
        <v>1400000</v>
      </c>
      <c r="L103" s="788">
        <v>832989.8300000001</v>
      </c>
      <c r="M103" s="788">
        <v>1400000</v>
      </c>
      <c r="N103" s="788">
        <v>1400000</v>
      </c>
      <c r="O103" s="449">
        <v>0</v>
      </c>
      <c r="P103" s="547">
        <v>0</v>
      </c>
      <c r="Q103" s="418">
        <v>0</v>
      </c>
      <c r="R103" s="421">
        <v>0</v>
      </c>
      <c r="S103" s="421">
        <v>0</v>
      </c>
      <c r="T103" s="421">
        <v>0</v>
      </c>
      <c r="U103" s="421">
        <f t="shared" si="26"/>
        <v>0</v>
      </c>
      <c r="V103" s="634">
        <f t="shared" si="32"/>
        <v>1400000</v>
      </c>
      <c r="W103" s="634">
        <f t="shared" si="27"/>
        <v>1400000</v>
      </c>
      <c r="X103" s="634">
        <f t="shared" si="28"/>
        <v>1400000</v>
      </c>
    </row>
    <row r="104" spans="2:24" s="363" customFormat="1" ht="12.75">
      <c r="B104" s="357"/>
      <c r="C104" s="364"/>
      <c r="D104" s="359"/>
      <c r="E104" s="364"/>
      <c r="F104" s="375">
        <v>75</v>
      </c>
      <c r="G104" s="442">
        <v>512</v>
      </c>
      <c r="H104" s="1165" t="s">
        <v>83</v>
      </c>
      <c r="I104" s="1166"/>
      <c r="J104" s="1167"/>
      <c r="K104" s="788">
        <v>1400000</v>
      </c>
      <c r="L104" s="788">
        <v>603724</v>
      </c>
      <c r="M104" s="788">
        <v>1000000</v>
      </c>
      <c r="N104" s="788">
        <v>1400000</v>
      </c>
      <c r="O104" s="449">
        <v>0</v>
      </c>
      <c r="P104" s="547">
        <v>0</v>
      </c>
      <c r="Q104" s="418">
        <v>0</v>
      </c>
      <c r="R104" s="423">
        <v>0</v>
      </c>
      <c r="S104" s="421">
        <v>0</v>
      </c>
      <c r="T104" s="421">
        <v>0</v>
      </c>
      <c r="U104" s="421">
        <f t="shared" si="26"/>
        <v>0</v>
      </c>
      <c r="V104" s="634">
        <f t="shared" si="32"/>
        <v>1400000</v>
      </c>
      <c r="W104" s="634">
        <f t="shared" si="27"/>
        <v>1400000</v>
      </c>
      <c r="X104" s="634">
        <f t="shared" si="28"/>
        <v>1400000</v>
      </c>
    </row>
    <row r="105" spans="2:24" s="363" customFormat="1" ht="12.75">
      <c r="B105" s="357"/>
      <c r="C105" s="364"/>
      <c r="D105" s="454"/>
      <c r="E105" s="455"/>
      <c r="F105" s="375">
        <v>76</v>
      </c>
      <c r="G105" s="456">
        <v>512</v>
      </c>
      <c r="H105" s="1272" t="s">
        <v>283</v>
      </c>
      <c r="I105" s="1273"/>
      <c r="J105" s="1274"/>
      <c r="K105" s="994">
        <v>110000</v>
      </c>
      <c r="L105" s="994">
        <v>0</v>
      </c>
      <c r="M105" s="994">
        <v>110000</v>
      </c>
      <c r="N105" s="994">
        <v>110000</v>
      </c>
      <c r="O105" s="449">
        <v>0</v>
      </c>
      <c r="P105" s="547">
        <v>0</v>
      </c>
      <c r="Q105" s="429">
        <v>0</v>
      </c>
      <c r="R105" s="415">
        <v>0</v>
      </c>
      <c r="S105" s="421">
        <v>0</v>
      </c>
      <c r="T105" s="415">
        <v>0</v>
      </c>
      <c r="U105" s="415">
        <f t="shared" si="26"/>
        <v>0</v>
      </c>
      <c r="V105" s="383">
        <f t="shared" si="32"/>
        <v>110000</v>
      </c>
      <c r="W105" s="383">
        <f t="shared" si="27"/>
        <v>110000</v>
      </c>
      <c r="X105" s="383">
        <f t="shared" si="28"/>
        <v>110000</v>
      </c>
    </row>
    <row r="106" spans="2:24" s="363" customFormat="1" ht="12.75">
      <c r="B106" s="357"/>
      <c r="C106" s="364"/>
      <c r="D106" s="454"/>
      <c r="E106" s="455"/>
      <c r="F106" s="375">
        <v>77</v>
      </c>
      <c r="G106" s="456">
        <v>515</v>
      </c>
      <c r="H106" s="1328" t="s">
        <v>218</v>
      </c>
      <c r="I106" s="1329"/>
      <c r="J106" s="1330"/>
      <c r="K106" s="995">
        <v>500000</v>
      </c>
      <c r="L106" s="995">
        <v>0</v>
      </c>
      <c r="M106" s="995">
        <v>500000</v>
      </c>
      <c r="N106" s="995">
        <v>500000</v>
      </c>
      <c r="O106" s="422">
        <v>0</v>
      </c>
      <c r="P106" s="465">
        <v>0</v>
      </c>
      <c r="Q106" s="413">
        <v>0</v>
      </c>
      <c r="R106" s="415">
        <v>0</v>
      </c>
      <c r="S106" s="421">
        <v>0</v>
      </c>
      <c r="T106" s="415">
        <v>0</v>
      </c>
      <c r="U106" s="415">
        <f t="shared" si="26"/>
        <v>0</v>
      </c>
      <c r="V106" s="383">
        <f t="shared" si="32"/>
        <v>500000</v>
      </c>
      <c r="W106" s="383">
        <f t="shared" si="27"/>
        <v>500000</v>
      </c>
      <c r="X106" s="383">
        <f t="shared" si="28"/>
        <v>500000</v>
      </c>
    </row>
    <row r="107" spans="2:24" s="363" customFormat="1" ht="12.75">
      <c r="B107" s="357"/>
      <c r="C107" s="364"/>
      <c r="D107" s="359"/>
      <c r="E107" s="364"/>
      <c r="F107" s="375">
        <v>78</v>
      </c>
      <c r="G107" s="452">
        <v>541</v>
      </c>
      <c r="H107" s="1257" t="s">
        <v>207</v>
      </c>
      <c r="I107" s="1257"/>
      <c r="J107" s="1257"/>
      <c r="K107" s="989">
        <v>100000</v>
      </c>
      <c r="L107" s="989">
        <v>0</v>
      </c>
      <c r="M107" s="989">
        <v>2800000</v>
      </c>
      <c r="N107" s="989">
        <v>500000</v>
      </c>
      <c r="O107" s="422">
        <v>0</v>
      </c>
      <c r="P107" s="465">
        <v>0</v>
      </c>
      <c r="Q107" s="411">
        <v>0</v>
      </c>
      <c r="R107" s="421">
        <v>0</v>
      </c>
      <c r="S107" s="421">
        <v>0</v>
      </c>
      <c r="T107" s="421">
        <v>0</v>
      </c>
      <c r="U107" s="421">
        <f t="shared" si="26"/>
        <v>0</v>
      </c>
      <c r="V107" s="634">
        <f t="shared" si="32"/>
        <v>500000</v>
      </c>
      <c r="W107" s="634">
        <f t="shared" si="27"/>
        <v>500000</v>
      </c>
      <c r="X107" s="634">
        <f t="shared" si="28"/>
        <v>500000</v>
      </c>
    </row>
    <row r="108" spans="2:24" ht="27.75" customHeight="1">
      <c r="B108" s="287"/>
      <c r="C108" s="288"/>
      <c r="D108" s="436"/>
      <c r="E108" s="353" t="s">
        <v>1267</v>
      </c>
      <c r="F108" s="436"/>
      <c r="G108" s="437"/>
      <c r="H108" s="1322" t="s">
        <v>335</v>
      </c>
      <c r="I108" s="1209"/>
      <c r="J108" s="1210"/>
      <c r="K108" s="996">
        <f>SUM(K110:K116)</f>
        <v>7100000</v>
      </c>
      <c r="L108" s="996">
        <f>SUM(L110:L116)</f>
        <v>250000</v>
      </c>
      <c r="M108" s="996">
        <f>SUM(M110:M116)</f>
        <v>6300000</v>
      </c>
      <c r="N108" s="996">
        <f>SUM(N110:N116)</f>
        <v>6300000</v>
      </c>
      <c r="O108" s="293">
        <f aca="true" t="shared" si="33" ref="O108:T108">SUM(O110:O116)</f>
        <v>0</v>
      </c>
      <c r="P108" s="293">
        <f t="shared" si="33"/>
        <v>3000000</v>
      </c>
      <c r="Q108" s="293">
        <f t="shared" si="33"/>
        <v>0</v>
      </c>
      <c r="R108" s="293">
        <f t="shared" si="33"/>
        <v>11000000</v>
      </c>
      <c r="S108" s="293">
        <f t="shared" si="33"/>
        <v>4570000</v>
      </c>
      <c r="T108" s="293">
        <f t="shared" si="33"/>
        <v>0</v>
      </c>
      <c r="U108" s="341">
        <f t="shared" si="26"/>
        <v>18570000</v>
      </c>
      <c r="V108" s="682">
        <f aca="true" t="shared" si="34" ref="V108:V116">SUM(N108:T108)</f>
        <v>24870000</v>
      </c>
      <c r="W108" s="682">
        <f t="shared" si="27"/>
        <v>24870000</v>
      </c>
      <c r="X108" s="682">
        <f t="shared" si="28"/>
        <v>24870000</v>
      </c>
    </row>
    <row r="109" spans="2:24" ht="12.75">
      <c r="B109" s="438"/>
      <c r="C109" s="439"/>
      <c r="D109" s="56">
        <v>130</v>
      </c>
      <c r="E109" s="58"/>
      <c r="F109" s="440"/>
      <c r="G109" s="441"/>
      <c r="H109" s="1162" t="s">
        <v>90</v>
      </c>
      <c r="I109" s="1163"/>
      <c r="J109" s="1164"/>
      <c r="K109" s="183">
        <f>SUM(K110:K116)</f>
        <v>7100000</v>
      </c>
      <c r="L109" s="183">
        <f>SUM(L110:L116)</f>
        <v>250000</v>
      </c>
      <c r="M109" s="183">
        <f>SUM(M110:M116)</f>
        <v>6300000</v>
      </c>
      <c r="N109" s="183">
        <f>SUM(N110:N116)</f>
        <v>6300000</v>
      </c>
      <c r="O109" s="183">
        <f aca="true" t="shared" si="35" ref="O109:T109">SUM(O110:O116)</f>
        <v>0</v>
      </c>
      <c r="P109" s="793">
        <f t="shared" si="35"/>
        <v>3000000</v>
      </c>
      <c r="Q109" s="183">
        <f t="shared" si="35"/>
        <v>0</v>
      </c>
      <c r="R109" s="183">
        <f t="shared" si="35"/>
        <v>11000000</v>
      </c>
      <c r="S109" s="183">
        <f t="shared" si="35"/>
        <v>4570000</v>
      </c>
      <c r="T109" s="183">
        <f t="shared" si="35"/>
        <v>0</v>
      </c>
      <c r="U109" s="342">
        <f t="shared" si="26"/>
        <v>18570000</v>
      </c>
      <c r="V109" s="896">
        <f>SUM(N109:T109)</f>
        <v>24870000</v>
      </c>
      <c r="W109" s="896">
        <f t="shared" si="27"/>
        <v>24870000</v>
      </c>
      <c r="X109" s="896">
        <f t="shared" si="28"/>
        <v>24870000</v>
      </c>
    </row>
    <row r="110" spans="2:24" ht="12.75">
      <c r="B110" s="438"/>
      <c r="C110" s="439"/>
      <c r="D110" s="365"/>
      <c r="E110" s="467"/>
      <c r="F110" s="375">
        <v>79</v>
      </c>
      <c r="G110" s="441">
        <v>421</v>
      </c>
      <c r="H110" s="1165" t="s">
        <v>1411</v>
      </c>
      <c r="I110" s="1166"/>
      <c r="J110" s="1167"/>
      <c r="K110" s="379">
        <v>0</v>
      </c>
      <c r="L110" s="379">
        <v>0</v>
      </c>
      <c r="M110" s="379">
        <v>100000</v>
      </c>
      <c r="N110" s="379">
        <v>100000</v>
      </c>
      <c r="O110" s="379">
        <v>0</v>
      </c>
      <c r="P110" s="788">
        <v>0</v>
      </c>
      <c r="Q110" s="788">
        <v>0</v>
      </c>
      <c r="R110" s="366">
        <v>0</v>
      </c>
      <c r="S110" s="788">
        <v>100000</v>
      </c>
      <c r="T110" s="366">
        <v>0</v>
      </c>
      <c r="U110" s="366">
        <f t="shared" si="26"/>
        <v>100000</v>
      </c>
      <c r="V110" s="809">
        <f t="shared" si="34"/>
        <v>200000</v>
      </c>
      <c r="W110" s="809">
        <f t="shared" si="27"/>
        <v>200000</v>
      </c>
      <c r="X110" s="809">
        <f t="shared" si="28"/>
        <v>200000</v>
      </c>
    </row>
    <row r="111" spans="2:24" ht="12.75">
      <c r="B111" s="438"/>
      <c r="C111" s="439"/>
      <c r="D111" s="365"/>
      <c r="E111" s="467"/>
      <c r="F111" s="375">
        <v>80</v>
      </c>
      <c r="G111" s="441">
        <v>422</v>
      </c>
      <c r="H111" s="1182" t="s">
        <v>34</v>
      </c>
      <c r="I111" s="1183"/>
      <c r="J111" s="1184"/>
      <c r="K111" s="379">
        <v>0</v>
      </c>
      <c r="L111" s="379">
        <v>0</v>
      </c>
      <c r="M111" s="379">
        <v>100000</v>
      </c>
      <c r="N111" s="379">
        <v>100000</v>
      </c>
      <c r="O111" s="379">
        <v>0</v>
      </c>
      <c r="P111" s="788">
        <v>0</v>
      </c>
      <c r="Q111" s="788">
        <v>0</v>
      </c>
      <c r="R111" s="366">
        <v>0</v>
      </c>
      <c r="S111" s="788">
        <v>0</v>
      </c>
      <c r="T111" s="366">
        <v>0</v>
      </c>
      <c r="U111" s="366"/>
      <c r="V111" s="809">
        <f>SUM(N111:U111)</f>
        <v>100000</v>
      </c>
      <c r="W111" s="809">
        <f>SUM(O111:V111)</f>
        <v>100000</v>
      </c>
      <c r="X111" s="809">
        <f>W111</f>
        <v>100000</v>
      </c>
    </row>
    <row r="112" spans="2:24" s="363" customFormat="1" ht="12.75">
      <c r="B112" s="357"/>
      <c r="C112" s="364"/>
      <c r="D112" s="359"/>
      <c r="E112" s="364"/>
      <c r="F112" s="375">
        <v>81</v>
      </c>
      <c r="G112" s="452">
        <v>423</v>
      </c>
      <c r="H112" s="1165" t="s">
        <v>1407</v>
      </c>
      <c r="I112" s="1166"/>
      <c r="J112" s="1167"/>
      <c r="K112" s="379">
        <v>5000000</v>
      </c>
      <c r="L112" s="379">
        <v>250000</v>
      </c>
      <c r="M112" s="379">
        <v>4000000</v>
      </c>
      <c r="N112" s="379">
        <v>4000000</v>
      </c>
      <c r="O112" s="449">
        <v>0</v>
      </c>
      <c r="P112" s="418">
        <v>3000000</v>
      </c>
      <c r="Q112" s="418">
        <v>0</v>
      </c>
      <c r="R112" s="421">
        <v>11000000</v>
      </c>
      <c r="S112" s="418">
        <v>4410000</v>
      </c>
      <c r="T112" s="421">
        <v>0</v>
      </c>
      <c r="U112" s="424">
        <f t="shared" si="26"/>
        <v>18410000</v>
      </c>
      <c r="V112" s="809">
        <f t="shared" si="34"/>
        <v>22410000</v>
      </c>
      <c r="W112" s="809">
        <f t="shared" si="27"/>
        <v>22410000</v>
      </c>
      <c r="X112" s="809">
        <f t="shared" si="28"/>
        <v>22410000</v>
      </c>
    </row>
    <row r="113" spans="2:24" s="363" customFormat="1" ht="12.75">
      <c r="B113" s="357"/>
      <c r="C113" s="364"/>
      <c r="D113" s="359"/>
      <c r="E113" s="364"/>
      <c r="F113" s="654" t="s">
        <v>1483</v>
      </c>
      <c r="G113" s="442">
        <v>426</v>
      </c>
      <c r="H113" s="1165" t="s">
        <v>1408</v>
      </c>
      <c r="I113" s="1166"/>
      <c r="J113" s="1167"/>
      <c r="K113" s="788">
        <v>100000</v>
      </c>
      <c r="L113" s="788">
        <v>0</v>
      </c>
      <c r="M113" s="788">
        <v>100000</v>
      </c>
      <c r="N113" s="788">
        <v>100000</v>
      </c>
      <c r="O113" s="449">
        <v>0</v>
      </c>
      <c r="P113" s="418">
        <v>0</v>
      </c>
      <c r="Q113" s="418">
        <v>0</v>
      </c>
      <c r="R113" s="421">
        <v>0</v>
      </c>
      <c r="S113" s="418">
        <v>0</v>
      </c>
      <c r="T113" s="421">
        <v>0</v>
      </c>
      <c r="U113" s="424">
        <f t="shared" si="26"/>
        <v>0</v>
      </c>
      <c r="V113" s="809">
        <f t="shared" si="34"/>
        <v>100000</v>
      </c>
      <c r="W113" s="809">
        <f t="shared" si="27"/>
        <v>100000</v>
      </c>
      <c r="X113" s="809">
        <f t="shared" si="28"/>
        <v>100000</v>
      </c>
    </row>
    <row r="114" spans="2:24" s="363" customFormat="1" ht="12.75">
      <c r="B114" s="357"/>
      <c r="C114" s="364"/>
      <c r="D114" s="359"/>
      <c r="E114" s="364"/>
      <c r="F114" s="364" t="s">
        <v>1315</v>
      </c>
      <c r="G114" s="442">
        <v>444</v>
      </c>
      <c r="H114" s="355" t="s">
        <v>1540</v>
      </c>
      <c r="I114" s="450"/>
      <c r="J114" s="451"/>
      <c r="K114" s="788">
        <v>0</v>
      </c>
      <c r="L114" s="788">
        <v>0</v>
      </c>
      <c r="M114" s="788">
        <v>0</v>
      </c>
      <c r="N114" s="788">
        <v>0</v>
      </c>
      <c r="O114" s="411">
        <v>0</v>
      </c>
      <c r="P114" s="411">
        <v>0</v>
      </c>
      <c r="Q114" s="411">
        <v>0</v>
      </c>
      <c r="R114" s="411">
        <v>0</v>
      </c>
      <c r="S114" s="411">
        <v>60000</v>
      </c>
      <c r="T114" s="411">
        <v>0</v>
      </c>
      <c r="U114" s="411">
        <v>0</v>
      </c>
      <c r="V114" s="809">
        <f t="shared" si="34"/>
        <v>60000</v>
      </c>
      <c r="W114" s="809">
        <f t="shared" si="27"/>
        <v>60000</v>
      </c>
      <c r="X114" s="809">
        <f t="shared" si="28"/>
        <v>60000</v>
      </c>
    </row>
    <row r="115" spans="2:24" s="363" customFormat="1" ht="12.75">
      <c r="B115" s="357"/>
      <c r="C115" s="364"/>
      <c r="D115" s="359"/>
      <c r="E115" s="364"/>
      <c r="F115" s="628" t="s">
        <v>1316</v>
      </c>
      <c r="G115" s="442">
        <v>511</v>
      </c>
      <c r="H115" s="1165" t="s">
        <v>1409</v>
      </c>
      <c r="I115" s="1166"/>
      <c r="J115" s="1167"/>
      <c r="K115" s="788">
        <v>0</v>
      </c>
      <c r="L115" s="788">
        <v>0</v>
      </c>
      <c r="M115" s="788">
        <v>0</v>
      </c>
      <c r="N115" s="788">
        <v>0</v>
      </c>
      <c r="O115" s="449">
        <v>0</v>
      </c>
      <c r="P115" s="418">
        <v>0</v>
      </c>
      <c r="Q115" s="418">
        <v>0</v>
      </c>
      <c r="R115" s="421">
        <v>0</v>
      </c>
      <c r="S115" s="418">
        <v>0</v>
      </c>
      <c r="T115" s="421">
        <v>0</v>
      </c>
      <c r="U115" s="424">
        <f t="shared" si="26"/>
        <v>0</v>
      </c>
      <c r="V115" s="809">
        <f t="shared" si="34"/>
        <v>0</v>
      </c>
      <c r="W115" s="809">
        <f t="shared" si="27"/>
        <v>0</v>
      </c>
      <c r="X115" s="809">
        <f t="shared" si="28"/>
        <v>0</v>
      </c>
    </row>
    <row r="116" spans="2:24" s="363" customFormat="1" ht="12.75">
      <c r="B116" s="357"/>
      <c r="C116" s="364"/>
      <c r="D116" s="359"/>
      <c r="E116" s="364"/>
      <c r="F116" s="628" t="s">
        <v>1317</v>
      </c>
      <c r="G116" s="442">
        <v>512</v>
      </c>
      <c r="H116" s="1179" t="s">
        <v>1410</v>
      </c>
      <c r="I116" s="1180"/>
      <c r="J116" s="1181"/>
      <c r="K116" s="979">
        <v>2000000</v>
      </c>
      <c r="L116" s="979">
        <v>0</v>
      </c>
      <c r="M116" s="979">
        <v>2000000</v>
      </c>
      <c r="N116" s="979">
        <v>2000000</v>
      </c>
      <c r="O116" s="449">
        <v>0</v>
      </c>
      <c r="P116" s="418">
        <v>0</v>
      </c>
      <c r="Q116" s="418">
        <v>0</v>
      </c>
      <c r="R116" s="421">
        <v>0</v>
      </c>
      <c r="S116" s="418">
        <v>0</v>
      </c>
      <c r="T116" s="421">
        <v>0</v>
      </c>
      <c r="U116" s="424">
        <f t="shared" si="26"/>
        <v>0</v>
      </c>
      <c r="V116" s="809">
        <f t="shared" si="34"/>
        <v>2000000</v>
      </c>
      <c r="W116" s="809">
        <f t="shared" si="27"/>
        <v>2000000</v>
      </c>
      <c r="X116" s="809">
        <f t="shared" si="28"/>
        <v>2000000</v>
      </c>
    </row>
    <row r="117" spans="2:24" ht="12.75" customHeight="1">
      <c r="B117" s="287"/>
      <c r="C117" s="288"/>
      <c r="D117" s="436"/>
      <c r="E117" s="353" t="s">
        <v>1569</v>
      </c>
      <c r="F117" s="436"/>
      <c r="G117" s="437"/>
      <c r="H117" s="1168" t="s">
        <v>1412</v>
      </c>
      <c r="I117" s="1169"/>
      <c r="J117" s="1170"/>
      <c r="K117" s="996">
        <f>K118</f>
        <v>1650000</v>
      </c>
      <c r="L117" s="996">
        <f>L118</f>
        <v>691840</v>
      </c>
      <c r="M117" s="996">
        <f>M118</f>
        <v>2530000</v>
      </c>
      <c r="N117" s="996">
        <f>N118</f>
        <v>4650000</v>
      </c>
      <c r="O117" s="293">
        <f aca="true" t="shared" si="36" ref="O117:T117">O118</f>
        <v>0</v>
      </c>
      <c r="P117" s="293">
        <f t="shared" si="36"/>
        <v>0</v>
      </c>
      <c r="Q117" s="293">
        <f t="shared" si="36"/>
        <v>0</v>
      </c>
      <c r="R117" s="293">
        <f t="shared" si="36"/>
        <v>1748375.1</v>
      </c>
      <c r="S117" s="293">
        <f t="shared" si="36"/>
        <v>0</v>
      </c>
      <c r="T117" s="341">
        <f t="shared" si="36"/>
        <v>0</v>
      </c>
      <c r="U117" s="877">
        <f t="shared" si="26"/>
        <v>1748375.1</v>
      </c>
      <c r="V117" s="682">
        <f aca="true" t="shared" si="37" ref="V117:V126">SUM(N117:T117)</f>
        <v>6398375.1</v>
      </c>
      <c r="W117" s="682">
        <f t="shared" si="27"/>
        <v>6398375.1</v>
      </c>
      <c r="X117" s="682">
        <f t="shared" si="28"/>
        <v>6398375.1</v>
      </c>
    </row>
    <row r="118" spans="2:24" s="363" customFormat="1" ht="12.75">
      <c r="B118" s="334"/>
      <c r="C118" s="335"/>
      <c r="D118" s="338">
        <v>451</v>
      </c>
      <c r="E118" s="369"/>
      <c r="F118" s="370"/>
      <c r="G118" s="371"/>
      <c r="H118" s="1224" t="s">
        <v>390</v>
      </c>
      <c r="I118" s="1225"/>
      <c r="J118" s="1226"/>
      <c r="K118" s="997">
        <f>SUM(K119:K121)</f>
        <v>1650000</v>
      </c>
      <c r="L118" s="997">
        <f>SUM(L119:L121)</f>
        <v>691840</v>
      </c>
      <c r="M118" s="997">
        <f>SUM(M119:M121)</f>
        <v>2530000</v>
      </c>
      <c r="N118" s="997">
        <f>SUM(N119:N121)</f>
        <v>4650000</v>
      </c>
      <c r="O118" s="336">
        <f aca="true" t="shared" si="38" ref="O118:T118">SUM(O119:O121)</f>
        <v>0</v>
      </c>
      <c r="P118" s="336">
        <f t="shared" si="38"/>
        <v>0</v>
      </c>
      <c r="Q118" s="336">
        <f t="shared" si="38"/>
        <v>0</v>
      </c>
      <c r="R118" s="336">
        <f t="shared" si="38"/>
        <v>1748375.1</v>
      </c>
      <c r="S118" s="336">
        <f t="shared" si="38"/>
        <v>0</v>
      </c>
      <c r="T118" s="347">
        <f t="shared" si="38"/>
        <v>0</v>
      </c>
      <c r="U118" s="880">
        <f t="shared" si="26"/>
        <v>1748375.1</v>
      </c>
      <c r="V118" s="382">
        <f t="shared" si="37"/>
        <v>6398375.1</v>
      </c>
      <c r="W118" s="382">
        <f t="shared" si="27"/>
        <v>6398375.1</v>
      </c>
      <c r="X118" s="382">
        <f t="shared" si="28"/>
        <v>6398375.1</v>
      </c>
    </row>
    <row r="119" spans="2:24" s="363" customFormat="1" ht="12.75" customHeight="1">
      <c r="B119" s="368"/>
      <c r="C119" s="369"/>
      <c r="D119" s="370"/>
      <c r="E119" s="654"/>
      <c r="F119" s="358" t="s">
        <v>1318</v>
      </c>
      <c r="G119" s="668">
        <v>463</v>
      </c>
      <c r="H119" s="1331" t="s">
        <v>1413</v>
      </c>
      <c r="I119" s="1332"/>
      <c r="J119" s="1333"/>
      <c r="K119" s="998">
        <v>150000</v>
      </c>
      <c r="L119" s="998">
        <v>100000</v>
      </c>
      <c r="M119" s="998">
        <v>150000</v>
      </c>
      <c r="N119" s="998">
        <v>150000</v>
      </c>
      <c r="O119" s="412">
        <v>0</v>
      </c>
      <c r="P119" s="556">
        <v>0</v>
      </c>
      <c r="Q119" s="556">
        <v>0</v>
      </c>
      <c r="R119" s="556">
        <v>0</v>
      </c>
      <c r="S119" s="641">
        <v>0</v>
      </c>
      <c r="T119" s="689">
        <v>0</v>
      </c>
      <c r="U119" s="881">
        <f t="shared" si="26"/>
        <v>0</v>
      </c>
      <c r="V119" s="383">
        <f t="shared" si="37"/>
        <v>150000</v>
      </c>
      <c r="W119" s="383">
        <f t="shared" si="27"/>
        <v>150000</v>
      </c>
      <c r="X119" s="383">
        <f t="shared" si="28"/>
        <v>150000</v>
      </c>
    </row>
    <row r="120" spans="2:24" s="363" customFormat="1" ht="12.75" customHeight="1">
      <c r="B120" s="368"/>
      <c r="C120" s="369"/>
      <c r="D120" s="370"/>
      <c r="E120" s="364"/>
      <c r="F120" s="805" t="s">
        <v>1379</v>
      </c>
      <c r="G120" s="359">
        <v>511</v>
      </c>
      <c r="H120" s="1337" t="s">
        <v>1465</v>
      </c>
      <c r="I120" s="1337"/>
      <c r="J120" s="1337"/>
      <c r="K120" s="999">
        <v>750000</v>
      </c>
      <c r="L120" s="999">
        <v>0</v>
      </c>
      <c r="M120" s="999">
        <v>1190000</v>
      </c>
      <c r="N120" s="999">
        <v>2250000</v>
      </c>
      <c r="O120" s="412">
        <v>0</v>
      </c>
      <c r="P120" s="657">
        <v>0</v>
      </c>
      <c r="Q120" s="657">
        <v>0</v>
      </c>
      <c r="R120" s="657">
        <v>1748375.1</v>
      </c>
      <c r="S120" s="620">
        <v>0</v>
      </c>
      <c r="T120" s="687">
        <v>0</v>
      </c>
      <c r="U120" s="881">
        <f t="shared" si="26"/>
        <v>1748375.1</v>
      </c>
      <c r="V120" s="383">
        <f t="shared" si="37"/>
        <v>3998375.1</v>
      </c>
      <c r="W120" s="383">
        <f t="shared" si="27"/>
        <v>3998375.1</v>
      </c>
      <c r="X120" s="383">
        <f t="shared" si="28"/>
        <v>3998375.1</v>
      </c>
    </row>
    <row r="121" spans="2:24" s="363" customFormat="1" ht="12.75" customHeight="1">
      <c r="B121" s="368"/>
      <c r="C121" s="369"/>
      <c r="D121" s="370"/>
      <c r="E121" s="628"/>
      <c r="F121" s="806" t="s">
        <v>1319</v>
      </c>
      <c r="G121" s="669">
        <v>512</v>
      </c>
      <c r="H121" s="1338" t="s">
        <v>83</v>
      </c>
      <c r="I121" s="1339"/>
      <c r="J121" s="1340"/>
      <c r="K121" s="1000">
        <v>750000</v>
      </c>
      <c r="L121" s="1000">
        <v>591840</v>
      </c>
      <c r="M121" s="1000">
        <v>1190000</v>
      </c>
      <c r="N121" s="1000">
        <v>2250000</v>
      </c>
      <c r="O121" s="412">
        <v>0</v>
      </c>
      <c r="P121" s="655">
        <v>0</v>
      </c>
      <c r="Q121" s="655">
        <v>0</v>
      </c>
      <c r="R121" s="655">
        <v>0</v>
      </c>
      <c r="S121" s="656">
        <v>0</v>
      </c>
      <c r="T121" s="688">
        <v>0</v>
      </c>
      <c r="U121" s="881">
        <f t="shared" si="26"/>
        <v>0</v>
      </c>
      <c r="V121" s="383">
        <f t="shared" si="37"/>
        <v>2250000</v>
      </c>
      <c r="W121" s="383">
        <f t="shared" si="27"/>
        <v>2250000</v>
      </c>
      <c r="X121" s="383">
        <f t="shared" si="28"/>
        <v>2250000</v>
      </c>
    </row>
    <row r="122" spans="2:24" s="363" customFormat="1" ht="12.75">
      <c r="B122" s="287"/>
      <c r="C122" s="288"/>
      <c r="D122" s="436"/>
      <c r="E122" s="353" t="s">
        <v>1221</v>
      </c>
      <c r="F122" s="353"/>
      <c r="G122" s="625"/>
      <c r="H122" s="1168" t="s">
        <v>1277</v>
      </c>
      <c r="I122" s="1169"/>
      <c r="J122" s="1170"/>
      <c r="K122" s="981">
        <f aca="true" t="shared" si="39" ref="K122:T122">K123</f>
        <v>2200000</v>
      </c>
      <c r="L122" s="981">
        <f t="shared" si="39"/>
        <v>0</v>
      </c>
      <c r="M122" s="981">
        <f t="shared" si="39"/>
        <v>1700000</v>
      </c>
      <c r="N122" s="981">
        <f t="shared" si="39"/>
        <v>1700000</v>
      </c>
      <c r="O122" s="293">
        <f t="shared" si="39"/>
        <v>0</v>
      </c>
      <c r="P122" s="293">
        <f t="shared" si="39"/>
        <v>0</v>
      </c>
      <c r="Q122" s="293">
        <f t="shared" si="39"/>
        <v>0</v>
      </c>
      <c r="R122" s="293">
        <f t="shared" si="39"/>
        <v>0</v>
      </c>
      <c r="S122" s="293">
        <f t="shared" si="39"/>
        <v>0</v>
      </c>
      <c r="T122" s="293">
        <f t="shared" si="39"/>
        <v>0</v>
      </c>
      <c r="U122" s="341">
        <f t="shared" si="26"/>
        <v>0</v>
      </c>
      <c r="V122" s="682">
        <f t="shared" si="37"/>
        <v>1700000</v>
      </c>
      <c r="W122" s="682">
        <f t="shared" si="27"/>
        <v>1700000</v>
      </c>
      <c r="X122" s="682">
        <f t="shared" si="28"/>
        <v>1700000</v>
      </c>
    </row>
    <row r="123" spans="2:24" s="363" customFormat="1" ht="12.75">
      <c r="B123" s="357"/>
      <c r="C123" s="364"/>
      <c r="D123" s="56">
        <v>220</v>
      </c>
      <c r="E123" s="182"/>
      <c r="F123" s="364"/>
      <c r="G123" s="360"/>
      <c r="H123" s="1162" t="s">
        <v>1268</v>
      </c>
      <c r="I123" s="1163"/>
      <c r="J123" s="1164"/>
      <c r="K123" s="183">
        <f>SUM(K124:K126)</f>
        <v>2200000</v>
      </c>
      <c r="L123" s="183">
        <f>SUM(L124:L126)</f>
        <v>0</v>
      </c>
      <c r="M123" s="183">
        <f>SUM(M124:M126)</f>
        <v>1700000</v>
      </c>
      <c r="N123" s="183">
        <f>SUM(N124:N126)</f>
        <v>1700000</v>
      </c>
      <c r="O123" s="183">
        <f aca="true" t="shared" si="40" ref="O123:T123">SUM(O124:O126)</f>
        <v>0</v>
      </c>
      <c r="P123" s="183">
        <f t="shared" si="40"/>
        <v>0</v>
      </c>
      <c r="Q123" s="183">
        <f t="shared" si="40"/>
        <v>0</v>
      </c>
      <c r="R123" s="183">
        <f t="shared" si="40"/>
        <v>0</v>
      </c>
      <c r="S123" s="183">
        <f t="shared" si="40"/>
        <v>0</v>
      </c>
      <c r="T123" s="183">
        <f t="shared" si="40"/>
        <v>0</v>
      </c>
      <c r="U123" s="342">
        <f t="shared" si="26"/>
        <v>0</v>
      </c>
      <c r="V123" s="382">
        <f t="shared" si="37"/>
        <v>1700000</v>
      </c>
      <c r="W123" s="382">
        <f t="shared" si="27"/>
        <v>1700000</v>
      </c>
      <c r="X123" s="382">
        <f t="shared" si="28"/>
        <v>1700000</v>
      </c>
    </row>
    <row r="124" spans="2:24" s="526" customFormat="1" ht="12.75">
      <c r="B124" s="527"/>
      <c r="C124" s="460"/>
      <c r="D124" s="528"/>
      <c r="E124" s="460"/>
      <c r="F124" s="696" t="s">
        <v>1302</v>
      </c>
      <c r="G124" s="546">
        <v>423</v>
      </c>
      <c r="H124" s="1262" t="s">
        <v>1414</v>
      </c>
      <c r="I124" s="1263"/>
      <c r="J124" s="1264"/>
      <c r="K124" s="990">
        <v>500000</v>
      </c>
      <c r="L124" s="990">
        <v>0</v>
      </c>
      <c r="M124" s="990">
        <v>100000</v>
      </c>
      <c r="N124" s="990">
        <v>100000</v>
      </c>
      <c r="O124" s="449">
        <v>0</v>
      </c>
      <c r="P124" s="529">
        <v>0</v>
      </c>
      <c r="Q124" s="529">
        <v>0</v>
      </c>
      <c r="R124" s="423">
        <v>0</v>
      </c>
      <c r="S124" s="421">
        <v>0</v>
      </c>
      <c r="T124" s="423">
        <v>0</v>
      </c>
      <c r="U124" s="423">
        <f t="shared" si="26"/>
        <v>0</v>
      </c>
      <c r="V124" s="902">
        <f t="shared" si="37"/>
        <v>100000</v>
      </c>
      <c r="W124" s="902">
        <f t="shared" si="27"/>
        <v>100000</v>
      </c>
      <c r="X124" s="902">
        <f t="shared" si="28"/>
        <v>100000</v>
      </c>
    </row>
    <row r="125" spans="2:24" s="363" customFormat="1" ht="12.75">
      <c r="B125" s="376"/>
      <c r="C125" s="369"/>
      <c r="D125" s="370"/>
      <c r="E125" s="369"/>
      <c r="F125" s="697" t="s">
        <v>21</v>
      </c>
      <c r="G125" s="492">
        <v>424</v>
      </c>
      <c r="H125" s="1341" t="s">
        <v>1415</v>
      </c>
      <c r="I125" s="1341"/>
      <c r="J125" s="1342"/>
      <c r="K125" s="994">
        <v>1500000</v>
      </c>
      <c r="L125" s="994">
        <v>0</v>
      </c>
      <c r="M125" s="994">
        <v>1500000</v>
      </c>
      <c r="N125" s="994">
        <v>1500000</v>
      </c>
      <c r="O125" s="449">
        <v>0</v>
      </c>
      <c r="P125" s="449">
        <v>0</v>
      </c>
      <c r="Q125" s="449">
        <v>0</v>
      </c>
      <c r="R125" s="422">
        <v>0</v>
      </c>
      <c r="S125" s="421">
        <v>0</v>
      </c>
      <c r="T125" s="422">
        <v>0</v>
      </c>
      <c r="U125" s="422">
        <f t="shared" si="26"/>
        <v>0</v>
      </c>
      <c r="V125" s="634">
        <f t="shared" si="37"/>
        <v>1500000</v>
      </c>
      <c r="W125" s="634">
        <f t="shared" si="27"/>
        <v>1500000</v>
      </c>
      <c r="X125" s="634">
        <f t="shared" si="28"/>
        <v>1500000</v>
      </c>
    </row>
    <row r="126" spans="2:24" s="363" customFormat="1" ht="12.75">
      <c r="B126" s="376"/>
      <c r="C126" s="369"/>
      <c r="D126" s="370"/>
      <c r="E126" s="369"/>
      <c r="F126" s="364" t="s">
        <v>1207</v>
      </c>
      <c r="G126" s="492">
        <v>512</v>
      </c>
      <c r="H126" s="1273" t="s">
        <v>1193</v>
      </c>
      <c r="I126" s="1273"/>
      <c r="J126" s="1274"/>
      <c r="K126" s="994">
        <v>200000</v>
      </c>
      <c r="L126" s="994">
        <v>0</v>
      </c>
      <c r="M126" s="994">
        <v>100000</v>
      </c>
      <c r="N126" s="994">
        <v>100000</v>
      </c>
      <c r="O126" s="449">
        <v>0</v>
      </c>
      <c r="P126" s="412">
        <v>0</v>
      </c>
      <c r="Q126" s="412">
        <v>0</v>
      </c>
      <c r="R126" s="430">
        <v>0</v>
      </c>
      <c r="S126" s="430">
        <v>0</v>
      </c>
      <c r="T126" s="430">
        <v>0</v>
      </c>
      <c r="U126" s="430">
        <f t="shared" si="26"/>
        <v>0</v>
      </c>
      <c r="V126" s="634">
        <f t="shared" si="37"/>
        <v>100000</v>
      </c>
      <c r="W126" s="634">
        <f t="shared" si="27"/>
        <v>100000</v>
      </c>
      <c r="X126" s="634">
        <f t="shared" si="28"/>
        <v>100000</v>
      </c>
    </row>
    <row r="127" spans="2:24" s="42" customFormat="1" ht="12.75">
      <c r="B127" s="287"/>
      <c r="C127" s="288"/>
      <c r="D127" s="436"/>
      <c r="E127" s="353" t="s">
        <v>293</v>
      </c>
      <c r="F127" s="353"/>
      <c r="G127" s="437"/>
      <c r="H127" s="1334" t="s">
        <v>1220</v>
      </c>
      <c r="I127" s="1335"/>
      <c r="J127" s="1336"/>
      <c r="K127" s="1132">
        <f aca="true" t="shared" si="41" ref="K127:T128">K128</f>
        <v>350000</v>
      </c>
      <c r="L127" s="1132">
        <f t="shared" si="41"/>
        <v>0</v>
      </c>
      <c r="M127" s="1132">
        <f t="shared" si="41"/>
        <v>500000</v>
      </c>
      <c r="N127" s="1132">
        <f t="shared" si="41"/>
        <v>500000</v>
      </c>
      <c r="O127" s="289">
        <f t="shared" si="41"/>
        <v>0</v>
      </c>
      <c r="P127" s="289">
        <f t="shared" si="41"/>
        <v>0</v>
      </c>
      <c r="Q127" s="289">
        <f t="shared" si="41"/>
        <v>0</v>
      </c>
      <c r="R127" s="289">
        <f t="shared" si="41"/>
        <v>0</v>
      </c>
      <c r="S127" s="289">
        <f t="shared" si="41"/>
        <v>0</v>
      </c>
      <c r="T127" s="289">
        <f t="shared" si="41"/>
        <v>0</v>
      </c>
      <c r="U127" s="340">
        <f t="shared" si="26"/>
        <v>0</v>
      </c>
      <c r="V127" s="682">
        <f aca="true" t="shared" si="42" ref="V127:V132">SUM(N127:T127)</f>
        <v>500000</v>
      </c>
      <c r="W127" s="682">
        <f t="shared" si="27"/>
        <v>500000</v>
      </c>
      <c r="X127" s="682">
        <f t="shared" si="28"/>
        <v>500000</v>
      </c>
    </row>
    <row r="128" spans="2:24" s="42" customFormat="1" ht="12.75">
      <c r="B128" s="357"/>
      <c r="C128" s="364"/>
      <c r="D128" s="56">
        <v>130</v>
      </c>
      <c r="E128" s="182"/>
      <c r="F128" s="364"/>
      <c r="G128" s="360"/>
      <c r="H128" s="1162" t="s">
        <v>90</v>
      </c>
      <c r="I128" s="1163"/>
      <c r="J128" s="1164"/>
      <c r="K128" s="812">
        <f t="shared" si="41"/>
        <v>350000</v>
      </c>
      <c r="L128" s="812">
        <f t="shared" si="41"/>
        <v>0</v>
      </c>
      <c r="M128" s="812">
        <f t="shared" si="41"/>
        <v>500000</v>
      </c>
      <c r="N128" s="812">
        <f t="shared" si="41"/>
        <v>500000</v>
      </c>
      <c r="O128" s="596">
        <f t="shared" si="41"/>
        <v>0</v>
      </c>
      <c r="P128" s="66">
        <f t="shared" si="41"/>
        <v>0</v>
      </c>
      <c r="Q128" s="66">
        <f t="shared" si="41"/>
        <v>0</v>
      </c>
      <c r="R128" s="66">
        <f t="shared" si="41"/>
        <v>0</v>
      </c>
      <c r="S128" s="66">
        <f t="shared" si="41"/>
        <v>0</v>
      </c>
      <c r="T128" s="66">
        <f t="shared" si="41"/>
        <v>0</v>
      </c>
      <c r="U128" s="346">
        <f t="shared" si="26"/>
        <v>0</v>
      </c>
      <c r="V128" s="382">
        <f t="shared" si="42"/>
        <v>500000</v>
      </c>
      <c r="W128" s="382">
        <f t="shared" si="27"/>
        <v>500000</v>
      </c>
      <c r="X128" s="382">
        <f t="shared" si="28"/>
        <v>500000</v>
      </c>
    </row>
    <row r="129" spans="2:24" s="42" customFormat="1" ht="12.75">
      <c r="B129" s="357"/>
      <c r="C129" s="364"/>
      <c r="D129" s="359"/>
      <c r="E129" s="628"/>
      <c r="F129" s="364" t="s">
        <v>1208</v>
      </c>
      <c r="G129" s="630">
        <v>499</v>
      </c>
      <c r="H129" s="1219" t="s">
        <v>84</v>
      </c>
      <c r="I129" s="1201"/>
      <c r="J129" s="1220"/>
      <c r="K129" s="1002">
        <v>350000</v>
      </c>
      <c r="L129" s="1002">
        <v>0</v>
      </c>
      <c r="M129" s="1002">
        <v>500000</v>
      </c>
      <c r="N129" s="1002">
        <v>500000</v>
      </c>
      <c r="O129" s="465">
        <v>0</v>
      </c>
      <c r="P129" s="411">
        <v>0</v>
      </c>
      <c r="Q129" s="418">
        <v>0</v>
      </c>
      <c r="R129" s="421">
        <v>0</v>
      </c>
      <c r="S129" s="421">
        <v>0</v>
      </c>
      <c r="T129" s="421">
        <v>0</v>
      </c>
      <c r="U129" s="421">
        <f t="shared" si="26"/>
        <v>0</v>
      </c>
      <c r="V129" s="634">
        <f t="shared" si="42"/>
        <v>500000</v>
      </c>
      <c r="W129" s="634">
        <f t="shared" si="27"/>
        <v>500000</v>
      </c>
      <c r="X129" s="634">
        <f t="shared" si="28"/>
        <v>500000</v>
      </c>
    </row>
    <row r="130" spans="2:24" s="42" customFormat="1" ht="12.75">
      <c r="B130" s="621"/>
      <c r="C130" s="622"/>
      <c r="D130" s="623"/>
      <c r="E130" s="353" t="s">
        <v>870</v>
      </c>
      <c r="F130" s="353"/>
      <c r="G130" s="625"/>
      <c r="H130" s="1334" t="s">
        <v>1219</v>
      </c>
      <c r="I130" s="1343"/>
      <c r="J130" s="1344"/>
      <c r="K130" s="1003">
        <f>K132</f>
        <v>500000</v>
      </c>
      <c r="L130" s="1003">
        <f>L132</f>
        <v>0</v>
      </c>
      <c r="M130" s="1003">
        <f>M132</f>
        <v>500000</v>
      </c>
      <c r="N130" s="1003">
        <f>N132</f>
        <v>500000</v>
      </c>
      <c r="O130" s="644">
        <f aca="true" t="shared" si="43" ref="O130:T130">O132</f>
        <v>0</v>
      </c>
      <c r="P130" s="626">
        <f t="shared" si="43"/>
        <v>0</v>
      </c>
      <c r="Q130" s="626">
        <f t="shared" si="43"/>
        <v>0</v>
      </c>
      <c r="R130" s="626">
        <f t="shared" si="43"/>
        <v>0</v>
      </c>
      <c r="S130" s="626">
        <f t="shared" si="43"/>
        <v>0</v>
      </c>
      <c r="T130" s="626">
        <f t="shared" si="43"/>
        <v>0</v>
      </c>
      <c r="U130" s="627">
        <f t="shared" si="26"/>
        <v>0</v>
      </c>
      <c r="V130" s="903">
        <f t="shared" si="42"/>
        <v>500000</v>
      </c>
      <c r="W130" s="903">
        <f t="shared" si="27"/>
        <v>500000</v>
      </c>
      <c r="X130" s="903">
        <f t="shared" si="28"/>
        <v>500000</v>
      </c>
    </row>
    <row r="131" spans="2:24" s="42" customFormat="1" ht="12.75">
      <c r="B131" s="357"/>
      <c r="C131" s="364"/>
      <c r="D131" s="56">
        <v>130</v>
      </c>
      <c r="E131" s="182"/>
      <c r="F131" s="364"/>
      <c r="G131" s="360"/>
      <c r="H131" s="1162" t="s">
        <v>90</v>
      </c>
      <c r="I131" s="1163"/>
      <c r="J131" s="1164"/>
      <c r="K131" s="793">
        <f>K132</f>
        <v>500000</v>
      </c>
      <c r="L131" s="793">
        <f>L132</f>
        <v>0</v>
      </c>
      <c r="M131" s="793">
        <f>M132</f>
        <v>500000</v>
      </c>
      <c r="N131" s="793">
        <f>N132</f>
        <v>500000</v>
      </c>
      <c r="O131" s="777">
        <f aca="true" t="shared" si="44" ref="O131:T131">O132</f>
        <v>0</v>
      </c>
      <c r="P131" s="66">
        <f t="shared" si="44"/>
        <v>0</v>
      </c>
      <c r="Q131" s="66">
        <f t="shared" si="44"/>
        <v>0</v>
      </c>
      <c r="R131" s="66">
        <f t="shared" si="44"/>
        <v>0</v>
      </c>
      <c r="S131" s="66">
        <f t="shared" si="44"/>
        <v>0</v>
      </c>
      <c r="T131" s="66">
        <f t="shared" si="44"/>
        <v>0</v>
      </c>
      <c r="U131" s="346">
        <f t="shared" si="26"/>
        <v>0</v>
      </c>
      <c r="V131" s="382">
        <f t="shared" si="42"/>
        <v>500000</v>
      </c>
      <c r="W131" s="382">
        <f t="shared" si="27"/>
        <v>500000</v>
      </c>
      <c r="X131" s="382">
        <f t="shared" si="28"/>
        <v>500000</v>
      </c>
    </row>
    <row r="132" spans="2:24" s="363" customFormat="1" ht="12.75">
      <c r="B132" s="357"/>
      <c r="C132" s="364"/>
      <c r="D132" s="360"/>
      <c r="E132" s="495"/>
      <c r="F132" s="364" t="s">
        <v>1303</v>
      </c>
      <c r="G132" s="492">
        <v>499</v>
      </c>
      <c r="H132" s="1193" t="s">
        <v>85</v>
      </c>
      <c r="I132" s="1194"/>
      <c r="J132" s="1195"/>
      <c r="K132" s="989">
        <v>500000</v>
      </c>
      <c r="L132" s="989">
        <v>0</v>
      </c>
      <c r="M132" s="989">
        <v>500000</v>
      </c>
      <c r="N132" s="989">
        <v>500000</v>
      </c>
      <c r="O132" s="449">
        <v>0</v>
      </c>
      <c r="P132" s="418">
        <v>0</v>
      </c>
      <c r="Q132" s="418">
        <v>0</v>
      </c>
      <c r="R132" s="421">
        <v>0</v>
      </c>
      <c r="S132" s="421">
        <v>0</v>
      </c>
      <c r="T132" s="421">
        <v>0</v>
      </c>
      <c r="U132" s="421">
        <f t="shared" si="26"/>
        <v>0</v>
      </c>
      <c r="V132" s="634">
        <f t="shared" si="42"/>
        <v>500000</v>
      </c>
      <c r="W132" s="634">
        <f t="shared" si="27"/>
        <v>500000</v>
      </c>
      <c r="X132" s="634">
        <f t="shared" si="28"/>
        <v>500000</v>
      </c>
    </row>
    <row r="133" spans="2:24" ht="12.75">
      <c r="B133" s="287"/>
      <c r="C133" s="288"/>
      <c r="D133" s="436"/>
      <c r="E133" s="636" t="s">
        <v>300</v>
      </c>
      <c r="F133" s="436"/>
      <c r="G133" s="437"/>
      <c r="H133" s="1280" t="s">
        <v>1237</v>
      </c>
      <c r="I133" s="1281"/>
      <c r="J133" s="1282"/>
      <c r="K133" s="1004">
        <f>K134+K139</f>
        <v>34200000</v>
      </c>
      <c r="L133" s="1004">
        <f>L134+L139</f>
        <v>16709186.1</v>
      </c>
      <c r="M133" s="1004">
        <f>M134+M139</f>
        <v>34200000</v>
      </c>
      <c r="N133" s="1004">
        <f>N134+N139</f>
        <v>15600000</v>
      </c>
      <c r="O133" s="289">
        <f aca="true" t="shared" si="45" ref="O133:T133">O134+O139</f>
        <v>0</v>
      </c>
      <c r="P133" s="289">
        <f t="shared" si="45"/>
        <v>0</v>
      </c>
      <c r="Q133" s="289">
        <f t="shared" si="45"/>
        <v>0</v>
      </c>
      <c r="R133" s="289">
        <f t="shared" si="45"/>
        <v>0</v>
      </c>
      <c r="S133" s="289">
        <f t="shared" si="45"/>
        <v>0</v>
      </c>
      <c r="T133" s="289">
        <f t="shared" si="45"/>
        <v>0</v>
      </c>
      <c r="U133" s="340">
        <f t="shared" si="26"/>
        <v>0</v>
      </c>
      <c r="V133" s="682">
        <f aca="true" t="shared" si="46" ref="V133:V149">SUM(N133:T133)</f>
        <v>15600000</v>
      </c>
      <c r="W133" s="682">
        <f t="shared" si="27"/>
        <v>15600000</v>
      </c>
      <c r="X133" s="682">
        <f t="shared" si="28"/>
        <v>15600000</v>
      </c>
    </row>
    <row r="134" spans="2:24" ht="14.25" customHeight="1">
      <c r="B134" s="287"/>
      <c r="C134" s="288"/>
      <c r="D134" s="436"/>
      <c r="E134" s="353" t="s">
        <v>316</v>
      </c>
      <c r="F134" s="436"/>
      <c r="G134" s="437"/>
      <c r="H134" s="1171" t="s">
        <v>1301</v>
      </c>
      <c r="I134" s="1275"/>
      <c r="J134" s="1276"/>
      <c r="K134" s="978">
        <f aca="true" t="shared" si="47" ref="K134:T134">K135</f>
        <v>30200000</v>
      </c>
      <c r="L134" s="978">
        <f t="shared" si="47"/>
        <v>15209186.1</v>
      </c>
      <c r="M134" s="978">
        <f t="shared" si="47"/>
        <v>30200000</v>
      </c>
      <c r="N134" s="978">
        <f t="shared" si="47"/>
        <v>11200000</v>
      </c>
      <c r="O134" s="293">
        <f t="shared" si="47"/>
        <v>0</v>
      </c>
      <c r="P134" s="293">
        <f t="shared" si="47"/>
        <v>0</v>
      </c>
      <c r="Q134" s="293">
        <f t="shared" si="47"/>
        <v>0</v>
      </c>
      <c r="R134" s="293">
        <f t="shared" si="47"/>
        <v>0</v>
      </c>
      <c r="S134" s="293">
        <f t="shared" si="47"/>
        <v>0</v>
      </c>
      <c r="T134" s="341">
        <f t="shared" si="47"/>
        <v>0</v>
      </c>
      <c r="U134" s="341">
        <f t="shared" si="26"/>
        <v>0</v>
      </c>
      <c r="V134" s="682">
        <f t="shared" si="46"/>
        <v>11200000</v>
      </c>
      <c r="W134" s="682">
        <f t="shared" si="27"/>
        <v>11200000</v>
      </c>
      <c r="X134" s="682">
        <f t="shared" si="28"/>
        <v>11200000</v>
      </c>
    </row>
    <row r="135" spans="2:24" s="363" customFormat="1" ht="12.75">
      <c r="B135" s="357"/>
      <c r="C135" s="364"/>
      <c r="D135" s="56">
        <v>820</v>
      </c>
      <c r="E135" s="182"/>
      <c r="F135" s="359"/>
      <c r="G135" s="360"/>
      <c r="H135" s="1162" t="s">
        <v>173</v>
      </c>
      <c r="I135" s="1163"/>
      <c r="J135" s="1164"/>
      <c r="K135" s="183">
        <f>SUM(K136:K138)</f>
        <v>30200000</v>
      </c>
      <c r="L135" s="183">
        <f>SUM(L136:L138)</f>
        <v>15209186.1</v>
      </c>
      <c r="M135" s="183">
        <f>SUM(M136:M138)</f>
        <v>30200000</v>
      </c>
      <c r="N135" s="183">
        <f>SUM(N136:N138)</f>
        <v>11200000</v>
      </c>
      <c r="O135" s="66">
        <f aca="true" t="shared" si="48" ref="O135:T135">SUM(O136:O138)</f>
        <v>0</v>
      </c>
      <c r="P135" s="66">
        <f t="shared" si="48"/>
        <v>0</v>
      </c>
      <c r="Q135" s="66">
        <f t="shared" si="48"/>
        <v>0</v>
      </c>
      <c r="R135" s="66">
        <f t="shared" si="48"/>
        <v>0</v>
      </c>
      <c r="S135" s="66">
        <f t="shared" si="48"/>
        <v>0</v>
      </c>
      <c r="T135" s="66">
        <f t="shared" si="48"/>
        <v>0</v>
      </c>
      <c r="U135" s="345">
        <f aca="true" t="shared" si="49" ref="U135:U199">SUM(O135:T135)</f>
        <v>0</v>
      </c>
      <c r="V135" s="382">
        <f t="shared" si="46"/>
        <v>11200000</v>
      </c>
      <c r="W135" s="382">
        <f t="shared" si="27"/>
        <v>11200000</v>
      </c>
      <c r="X135" s="382">
        <f t="shared" si="28"/>
        <v>11200000</v>
      </c>
    </row>
    <row r="136" spans="2:24" s="363" customFormat="1" ht="12.75">
      <c r="B136" s="357"/>
      <c r="C136" s="364"/>
      <c r="D136" s="56"/>
      <c r="E136" s="182"/>
      <c r="F136" s="364" t="s">
        <v>1574</v>
      </c>
      <c r="G136" s="456">
        <v>481</v>
      </c>
      <c r="H136" s="1165" t="s">
        <v>1460</v>
      </c>
      <c r="I136" s="1166"/>
      <c r="J136" s="1167"/>
      <c r="K136" s="788">
        <v>3400000</v>
      </c>
      <c r="L136" s="788">
        <v>3275000</v>
      </c>
      <c r="M136" s="788">
        <v>3400000</v>
      </c>
      <c r="N136" s="788">
        <v>3400000</v>
      </c>
      <c r="O136" s="449">
        <v>0</v>
      </c>
      <c r="P136" s="458">
        <v>0</v>
      </c>
      <c r="Q136" s="458">
        <v>0</v>
      </c>
      <c r="R136" s="425">
        <v>0</v>
      </c>
      <c r="S136" s="418">
        <v>0</v>
      </c>
      <c r="T136" s="425">
        <v>0</v>
      </c>
      <c r="U136" s="362">
        <f t="shared" si="49"/>
        <v>0</v>
      </c>
      <c r="V136" s="383">
        <f t="shared" si="46"/>
        <v>3400000</v>
      </c>
      <c r="W136" s="383">
        <f t="shared" si="27"/>
        <v>3400000</v>
      </c>
      <c r="X136" s="383">
        <f t="shared" si="28"/>
        <v>3400000</v>
      </c>
    </row>
    <row r="137" spans="2:24" s="363" customFormat="1" ht="12.75">
      <c r="B137" s="357"/>
      <c r="C137" s="364"/>
      <c r="D137" s="56"/>
      <c r="E137" s="182"/>
      <c r="F137" s="629">
        <v>95</v>
      </c>
      <c r="G137" s="456">
        <v>481</v>
      </c>
      <c r="H137" s="1262" t="s">
        <v>1494</v>
      </c>
      <c r="I137" s="1263"/>
      <c r="J137" s="1264"/>
      <c r="K137" s="990">
        <v>24500000</v>
      </c>
      <c r="L137" s="990">
        <v>9694186.1</v>
      </c>
      <c r="M137" s="990">
        <v>24500000</v>
      </c>
      <c r="N137" s="990">
        <v>5500000</v>
      </c>
      <c r="O137" s="449">
        <v>0</v>
      </c>
      <c r="P137" s="458">
        <v>0</v>
      </c>
      <c r="Q137" s="458">
        <v>0</v>
      </c>
      <c r="R137" s="425">
        <v>0</v>
      </c>
      <c r="S137" s="418">
        <v>0</v>
      </c>
      <c r="T137" s="425">
        <v>0</v>
      </c>
      <c r="U137" s="362">
        <f t="shared" si="49"/>
        <v>0</v>
      </c>
      <c r="V137" s="383">
        <f t="shared" si="46"/>
        <v>5500000</v>
      </c>
      <c r="W137" s="383">
        <f t="shared" si="27"/>
        <v>5500000</v>
      </c>
      <c r="X137" s="383">
        <f t="shared" si="28"/>
        <v>5500000</v>
      </c>
    </row>
    <row r="138" spans="2:24" s="363" customFormat="1" ht="12.75">
      <c r="B138" s="357"/>
      <c r="C138" s="364"/>
      <c r="D138" s="359"/>
      <c r="E138" s="364"/>
      <c r="F138" s="842">
        <v>96</v>
      </c>
      <c r="G138" s="442">
        <v>481</v>
      </c>
      <c r="H138" s="1165" t="s">
        <v>1459</v>
      </c>
      <c r="I138" s="1166"/>
      <c r="J138" s="1167"/>
      <c r="K138" s="788">
        <v>2300000</v>
      </c>
      <c r="L138" s="788">
        <v>2240000</v>
      </c>
      <c r="M138" s="788">
        <v>2300000</v>
      </c>
      <c r="N138" s="788">
        <v>2300000</v>
      </c>
      <c r="O138" s="449">
        <v>0</v>
      </c>
      <c r="P138" s="418">
        <v>0</v>
      </c>
      <c r="Q138" s="418">
        <v>0</v>
      </c>
      <c r="R138" s="421">
        <v>0</v>
      </c>
      <c r="S138" s="418">
        <v>0</v>
      </c>
      <c r="T138" s="421">
        <v>0</v>
      </c>
      <c r="U138" s="424">
        <f t="shared" si="49"/>
        <v>0</v>
      </c>
      <c r="V138" s="634">
        <f t="shared" si="46"/>
        <v>2300000</v>
      </c>
      <c r="W138" s="634">
        <f aca="true" t="shared" si="50" ref="W138:W200">V138</f>
        <v>2300000</v>
      </c>
      <c r="X138" s="634">
        <f aca="true" t="shared" si="51" ref="X138:X200">V138</f>
        <v>2300000</v>
      </c>
    </row>
    <row r="139" spans="2:24" ht="30" customHeight="1">
      <c r="B139" s="287"/>
      <c r="C139" s="288"/>
      <c r="D139" s="624"/>
      <c r="E139" s="353" t="s">
        <v>1235</v>
      </c>
      <c r="F139" s="436"/>
      <c r="G139" s="437"/>
      <c r="H139" s="1168" t="s">
        <v>1236</v>
      </c>
      <c r="I139" s="1169"/>
      <c r="J139" s="1170"/>
      <c r="K139" s="981">
        <f>K141</f>
        <v>4000000</v>
      </c>
      <c r="L139" s="981">
        <f>L141</f>
        <v>1500000</v>
      </c>
      <c r="M139" s="981">
        <f>M141</f>
        <v>4000000</v>
      </c>
      <c r="N139" s="981">
        <f>N141</f>
        <v>4400000</v>
      </c>
      <c r="O139" s="293">
        <f aca="true" t="shared" si="52" ref="O139:T139">O141</f>
        <v>0</v>
      </c>
      <c r="P139" s="293">
        <f t="shared" si="52"/>
        <v>0</v>
      </c>
      <c r="Q139" s="293">
        <f t="shared" si="52"/>
        <v>0</v>
      </c>
      <c r="R139" s="293">
        <f t="shared" si="52"/>
        <v>0</v>
      </c>
      <c r="S139" s="293">
        <f t="shared" si="52"/>
        <v>0</v>
      </c>
      <c r="T139" s="341">
        <f t="shared" si="52"/>
        <v>0</v>
      </c>
      <c r="U139" s="341">
        <f t="shared" si="49"/>
        <v>0</v>
      </c>
      <c r="V139" s="682">
        <f t="shared" si="46"/>
        <v>4400000</v>
      </c>
      <c r="W139" s="682">
        <f t="shared" si="50"/>
        <v>4400000</v>
      </c>
      <c r="X139" s="682">
        <f t="shared" si="51"/>
        <v>4400000</v>
      </c>
    </row>
    <row r="140" spans="2:24" ht="12.75">
      <c r="B140" s="438"/>
      <c r="C140" s="439"/>
      <c r="D140" s="56">
        <v>830</v>
      </c>
      <c r="E140" s="58"/>
      <c r="F140" s="440"/>
      <c r="G140" s="441"/>
      <c r="H140" s="1162" t="s">
        <v>1238</v>
      </c>
      <c r="I140" s="1163"/>
      <c r="J140" s="1164"/>
      <c r="K140" s="183">
        <f aca="true" t="shared" si="53" ref="K140:T140">K141</f>
        <v>4000000</v>
      </c>
      <c r="L140" s="183">
        <f t="shared" si="53"/>
        <v>1500000</v>
      </c>
      <c r="M140" s="183">
        <f t="shared" si="53"/>
        <v>4000000</v>
      </c>
      <c r="N140" s="183">
        <f t="shared" si="53"/>
        <v>4400000</v>
      </c>
      <c r="O140" s="69">
        <f t="shared" si="53"/>
        <v>0</v>
      </c>
      <c r="P140" s="69">
        <f t="shared" si="53"/>
        <v>0</v>
      </c>
      <c r="Q140" s="69">
        <f t="shared" si="53"/>
        <v>0</v>
      </c>
      <c r="R140" s="69">
        <f t="shared" si="53"/>
        <v>0</v>
      </c>
      <c r="S140" s="69">
        <f t="shared" si="53"/>
        <v>0</v>
      </c>
      <c r="T140" s="344">
        <f t="shared" si="53"/>
        <v>0</v>
      </c>
      <c r="U140" s="344">
        <f t="shared" si="49"/>
        <v>0</v>
      </c>
      <c r="V140" s="896">
        <f t="shared" si="46"/>
        <v>4400000</v>
      </c>
      <c r="W140" s="896">
        <f t="shared" si="50"/>
        <v>4400000</v>
      </c>
      <c r="X140" s="896">
        <f t="shared" si="51"/>
        <v>4400000</v>
      </c>
    </row>
    <row r="141" spans="1:251" s="464" customFormat="1" ht="12.75">
      <c r="A141" s="357"/>
      <c r="B141" s="357"/>
      <c r="C141" s="364"/>
      <c r="D141" s="364"/>
      <c r="E141" s="364"/>
      <c r="F141" s="375">
        <v>97</v>
      </c>
      <c r="G141" s="460" t="s">
        <v>311</v>
      </c>
      <c r="H141" s="387" t="s">
        <v>1466</v>
      </c>
      <c r="I141" s="443"/>
      <c r="J141" s="461"/>
      <c r="K141" s="1001">
        <v>4000000</v>
      </c>
      <c r="L141" s="1001">
        <v>1500000</v>
      </c>
      <c r="M141" s="1001">
        <v>4000000</v>
      </c>
      <c r="N141" s="1001">
        <v>4400000</v>
      </c>
      <c r="O141" s="449">
        <v>0</v>
      </c>
      <c r="P141" s="418">
        <v>0</v>
      </c>
      <c r="Q141" s="418">
        <v>0</v>
      </c>
      <c r="R141" s="418">
        <v>0</v>
      </c>
      <c r="S141" s="421">
        <v>0</v>
      </c>
      <c r="T141" s="421">
        <v>0</v>
      </c>
      <c r="U141" s="462">
        <f t="shared" si="49"/>
        <v>0</v>
      </c>
      <c r="V141" s="809">
        <f t="shared" si="46"/>
        <v>4400000</v>
      </c>
      <c r="W141" s="809">
        <f t="shared" si="50"/>
        <v>4400000</v>
      </c>
      <c r="X141" s="809">
        <f t="shared" si="51"/>
        <v>4400000</v>
      </c>
      <c r="Y141" s="463"/>
      <c r="Z141" s="463"/>
      <c r="AA141" s="463"/>
      <c r="AB141" s="463"/>
      <c r="AC141" s="463"/>
      <c r="AD141" s="463"/>
      <c r="AE141" s="463"/>
      <c r="AF141" s="463"/>
      <c r="AG141" s="463"/>
      <c r="AH141" s="463"/>
      <c r="AI141" s="463"/>
      <c r="AJ141" s="463"/>
      <c r="AK141" s="463"/>
      <c r="AL141" s="463"/>
      <c r="AM141" s="463"/>
      <c r="AN141" s="463"/>
      <c r="AO141" s="463"/>
      <c r="AP141" s="463"/>
      <c r="AQ141" s="463"/>
      <c r="AR141" s="463"/>
      <c r="AS141" s="463"/>
      <c r="AT141" s="463"/>
      <c r="AU141" s="463"/>
      <c r="AV141" s="463"/>
      <c r="AW141" s="463"/>
      <c r="AX141" s="463"/>
      <c r="AY141" s="463"/>
      <c r="AZ141" s="463"/>
      <c r="BA141" s="463"/>
      <c r="BB141" s="463"/>
      <c r="BC141" s="463"/>
      <c r="BD141" s="463"/>
      <c r="BE141" s="463"/>
      <c r="BF141" s="463"/>
      <c r="BG141" s="463"/>
      <c r="BH141" s="463"/>
      <c r="BI141" s="463"/>
      <c r="BJ141" s="463"/>
      <c r="BK141" s="463"/>
      <c r="BL141" s="463"/>
      <c r="BM141" s="463"/>
      <c r="BN141" s="463"/>
      <c r="BO141" s="463"/>
      <c r="BP141" s="463"/>
      <c r="BQ141" s="463"/>
      <c r="BR141" s="463"/>
      <c r="BS141" s="463"/>
      <c r="BT141" s="463"/>
      <c r="BU141" s="463"/>
      <c r="BV141" s="463"/>
      <c r="BW141" s="463"/>
      <c r="BX141" s="463"/>
      <c r="BY141" s="463"/>
      <c r="BZ141" s="463"/>
      <c r="CA141" s="463"/>
      <c r="CB141" s="463"/>
      <c r="CC141" s="463"/>
      <c r="CD141" s="463"/>
      <c r="CE141" s="463"/>
      <c r="CF141" s="463"/>
      <c r="CG141" s="463"/>
      <c r="CH141" s="463"/>
      <c r="CI141" s="463"/>
      <c r="CJ141" s="463"/>
      <c r="CK141" s="463"/>
      <c r="CL141" s="463"/>
      <c r="CM141" s="463"/>
      <c r="CN141" s="463"/>
      <c r="CO141" s="463"/>
      <c r="CP141" s="463"/>
      <c r="CQ141" s="463"/>
      <c r="CR141" s="463"/>
      <c r="CS141" s="463"/>
      <c r="CT141" s="463"/>
      <c r="CU141" s="463"/>
      <c r="CV141" s="463"/>
      <c r="CW141" s="463"/>
      <c r="CX141" s="463"/>
      <c r="CY141" s="463"/>
      <c r="CZ141" s="463"/>
      <c r="DA141" s="463"/>
      <c r="DB141" s="463"/>
      <c r="DC141" s="463"/>
      <c r="DD141" s="463"/>
      <c r="DE141" s="463"/>
      <c r="DF141" s="463"/>
      <c r="DG141" s="463"/>
      <c r="DH141" s="463"/>
      <c r="DI141" s="463"/>
      <c r="DJ141" s="463"/>
      <c r="DK141" s="463"/>
      <c r="DL141" s="463"/>
      <c r="DM141" s="463"/>
      <c r="DN141" s="463"/>
      <c r="DO141" s="463"/>
      <c r="DP141" s="463"/>
      <c r="DQ141" s="463"/>
      <c r="DR141" s="463"/>
      <c r="DS141" s="463"/>
      <c r="DT141" s="463"/>
      <c r="DU141" s="463"/>
      <c r="DV141" s="463"/>
      <c r="DW141" s="463"/>
      <c r="DX141" s="463"/>
      <c r="DY141" s="463"/>
      <c r="DZ141" s="463"/>
      <c r="EA141" s="463"/>
      <c r="EB141" s="463"/>
      <c r="EC141" s="463"/>
      <c r="ED141" s="463"/>
      <c r="EE141" s="463"/>
      <c r="EF141" s="463"/>
      <c r="EG141" s="463"/>
      <c r="EH141" s="463"/>
      <c r="EI141" s="463"/>
      <c r="EJ141" s="463"/>
      <c r="EK141" s="463"/>
      <c r="EL141" s="463"/>
      <c r="EM141" s="463"/>
      <c r="EN141" s="463"/>
      <c r="EO141" s="463"/>
      <c r="EP141" s="463"/>
      <c r="EQ141" s="463"/>
      <c r="ER141" s="463"/>
      <c r="ES141" s="463"/>
      <c r="ET141" s="463"/>
      <c r="EU141" s="463"/>
      <c r="EV141" s="463"/>
      <c r="EW141" s="463"/>
      <c r="EX141" s="463"/>
      <c r="EY141" s="463"/>
      <c r="EZ141" s="463"/>
      <c r="FA141" s="463"/>
      <c r="FB141" s="463"/>
      <c r="FC141" s="463"/>
      <c r="FD141" s="463"/>
      <c r="FE141" s="463"/>
      <c r="FF141" s="463"/>
      <c r="FG141" s="463"/>
      <c r="FH141" s="463"/>
      <c r="FI141" s="463"/>
      <c r="FJ141" s="463"/>
      <c r="FK141" s="463"/>
      <c r="FL141" s="463"/>
      <c r="FM141" s="463"/>
      <c r="FN141" s="463"/>
      <c r="FO141" s="463"/>
      <c r="FP141" s="463"/>
      <c r="FQ141" s="463"/>
      <c r="FR141" s="463"/>
      <c r="FS141" s="463"/>
      <c r="FT141" s="463"/>
      <c r="FU141" s="463"/>
      <c r="FV141" s="463"/>
      <c r="FW141" s="463"/>
      <c r="FX141" s="463"/>
      <c r="FY141" s="463"/>
      <c r="FZ141" s="463"/>
      <c r="GA141" s="463"/>
      <c r="GB141" s="463"/>
      <c r="GC141" s="463"/>
      <c r="GD141" s="463"/>
      <c r="GE141" s="463"/>
      <c r="GF141" s="463"/>
      <c r="GG141" s="463"/>
      <c r="GH141" s="463"/>
      <c r="GI141" s="463"/>
      <c r="GJ141" s="463"/>
      <c r="GK141" s="463"/>
      <c r="GL141" s="463"/>
      <c r="GM141" s="463"/>
      <c r="GN141" s="463"/>
      <c r="GO141" s="463"/>
      <c r="GP141" s="463"/>
      <c r="GQ141" s="463"/>
      <c r="GR141" s="463"/>
      <c r="GS141" s="463"/>
      <c r="GT141" s="463"/>
      <c r="GU141" s="463"/>
      <c r="GV141" s="463"/>
      <c r="GW141" s="463"/>
      <c r="GX141" s="463"/>
      <c r="GY141" s="463"/>
      <c r="GZ141" s="463"/>
      <c r="HA141" s="463"/>
      <c r="HB141" s="463"/>
      <c r="HC141" s="463"/>
      <c r="HD141" s="463"/>
      <c r="HE141" s="463"/>
      <c r="HF141" s="463"/>
      <c r="HG141" s="463"/>
      <c r="HH141" s="463"/>
      <c r="HI141" s="463"/>
      <c r="HJ141" s="463"/>
      <c r="HK141" s="463"/>
      <c r="HL141" s="463"/>
      <c r="HM141" s="463"/>
      <c r="HN141" s="463"/>
      <c r="HO141" s="463"/>
      <c r="HP141" s="463"/>
      <c r="HQ141" s="463"/>
      <c r="HR141" s="463"/>
      <c r="HS141" s="463"/>
      <c r="HT141" s="463"/>
      <c r="HU141" s="463"/>
      <c r="HV141" s="463"/>
      <c r="HW141" s="463"/>
      <c r="HX141" s="463"/>
      <c r="HY141" s="463"/>
      <c r="HZ141" s="463"/>
      <c r="IA141" s="463"/>
      <c r="IB141" s="463"/>
      <c r="IC141" s="463"/>
      <c r="ID141" s="463"/>
      <c r="IE141" s="463"/>
      <c r="IF141" s="463"/>
      <c r="IG141" s="463"/>
      <c r="IH141" s="463"/>
      <c r="II141" s="463"/>
      <c r="IJ141" s="463"/>
      <c r="IK141" s="463"/>
      <c r="IL141" s="463"/>
      <c r="IM141" s="463"/>
      <c r="IN141" s="463"/>
      <c r="IO141" s="463"/>
      <c r="IP141" s="463"/>
      <c r="IQ141" s="463"/>
    </row>
    <row r="142" spans="2:24" ht="12.75">
      <c r="B142" s="287"/>
      <c r="C142" s="288"/>
      <c r="D142" s="436"/>
      <c r="E142" s="639" t="s">
        <v>313</v>
      </c>
      <c r="F142" s="563"/>
      <c r="G142" s="437"/>
      <c r="H142" s="1188" t="s">
        <v>314</v>
      </c>
      <c r="I142" s="1189"/>
      <c r="J142" s="1190"/>
      <c r="K142" s="1004">
        <f>K143</f>
        <v>7600000</v>
      </c>
      <c r="L142" s="1004">
        <f>L143</f>
        <v>7077105</v>
      </c>
      <c r="M142" s="1004">
        <f>M143</f>
        <v>7300000</v>
      </c>
      <c r="N142" s="1004">
        <f>N143</f>
        <v>7900000</v>
      </c>
      <c r="O142" s="289">
        <f aca="true" t="shared" si="54" ref="O142:T142">O143</f>
        <v>0</v>
      </c>
      <c r="P142" s="289">
        <f t="shared" si="54"/>
        <v>0</v>
      </c>
      <c r="Q142" s="289">
        <f t="shared" si="54"/>
        <v>0</v>
      </c>
      <c r="R142" s="680">
        <f t="shared" si="54"/>
        <v>0</v>
      </c>
      <c r="S142" s="680">
        <f t="shared" si="54"/>
        <v>0</v>
      </c>
      <c r="T142" s="680">
        <f t="shared" si="54"/>
        <v>0</v>
      </c>
      <c r="U142" s="681">
        <f t="shared" si="49"/>
        <v>0</v>
      </c>
      <c r="V142" s="682">
        <f t="shared" si="46"/>
        <v>7900000</v>
      </c>
      <c r="W142" s="682">
        <f t="shared" si="50"/>
        <v>7900000</v>
      </c>
      <c r="X142" s="682">
        <f t="shared" si="51"/>
        <v>7900000</v>
      </c>
    </row>
    <row r="143" spans="2:24" ht="26.25" customHeight="1">
      <c r="B143" s="287"/>
      <c r="C143" s="288"/>
      <c r="D143" s="561"/>
      <c r="E143" s="561" t="s">
        <v>315</v>
      </c>
      <c r="F143" s="564"/>
      <c r="G143" s="562"/>
      <c r="H143" s="1168" t="s">
        <v>331</v>
      </c>
      <c r="I143" s="1169"/>
      <c r="J143" s="1170"/>
      <c r="K143" s="981">
        <f>SUM(K145:K146)</f>
        <v>7600000</v>
      </c>
      <c r="L143" s="981">
        <f>SUM(L145:L146)</f>
        <v>7077105</v>
      </c>
      <c r="M143" s="981">
        <f>SUM(M145:M146)</f>
        <v>7300000</v>
      </c>
      <c r="N143" s="981">
        <f>SUM(N145:N146)</f>
        <v>7900000</v>
      </c>
      <c r="O143" s="293">
        <f aca="true" t="shared" si="55" ref="O143:T143">O145</f>
        <v>0</v>
      </c>
      <c r="P143" s="293">
        <f>P145</f>
        <v>0</v>
      </c>
      <c r="Q143" s="341">
        <f t="shared" si="55"/>
        <v>0</v>
      </c>
      <c r="R143" s="682">
        <f t="shared" si="55"/>
        <v>0</v>
      </c>
      <c r="S143" s="682">
        <f>S145</f>
        <v>0</v>
      </c>
      <c r="T143" s="682">
        <f t="shared" si="55"/>
        <v>0</v>
      </c>
      <c r="U143" s="877">
        <f t="shared" si="49"/>
        <v>0</v>
      </c>
      <c r="V143" s="682">
        <f t="shared" si="46"/>
        <v>7900000</v>
      </c>
      <c r="W143" s="682">
        <f t="shared" si="50"/>
        <v>7900000</v>
      </c>
      <c r="X143" s="682">
        <f t="shared" si="51"/>
        <v>7900000</v>
      </c>
    </row>
    <row r="144" spans="2:24" ht="12.75">
      <c r="B144" s="438"/>
      <c r="C144" s="439"/>
      <c r="D144" s="182" t="s">
        <v>556</v>
      </c>
      <c r="E144" s="533"/>
      <c r="F144" s="531"/>
      <c r="G144" s="441"/>
      <c r="H144" s="1162" t="s">
        <v>174</v>
      </c>
      <c r="I144" s="1163"/>
      <c r="J144" s="1164"/>
      <c r="K144" s="183">
        <f>K145+K146</f>
        <v>7600000</v>
      </c>
      <c r="L144" s="183">
        <f>L145+L146</f>
        <v>7077105</v>
      </c>
      <c r="M144" s="183">
        <f>M145+M146</f>
        <v>7300000</v>
      </c>
      <c r="N144" s="183">
        <f>N145+N146</f>
        <v>7900000</v>
      </c>
      <c r="O144" s="69">
        <f aca="true" t="shared" si="56" ref="O144:T144">O145+O146</f>
        <v>0</v>
      </c>
      <c r="P144" s="69">
        <f t="shared" si="56"/>
        <v>0</v>
      </c>
      <c r="Q144" s="69">
        <f t="shared" si="56"/>
        <v>0</v>
      </c>
      <c r="R144" s="69">
        <f t="shared" si="56"/>
        <v>0</v>
      </c>
      <c r="S144" s="69">
        <f t="shared" si="56"/>
        <v>0</v>
      </c>
      <c r="T144" s="69">
        <f t="shared" si="56"/>
        <v>0</v>
      </c>
      <c r="U144" s="882">
        <f t="shared" si="49"/>
        <v>0</v>
      </c>
      <c r="V144" s="896">
        <f t="shared" si="46"/>
        <v>7900000</v>
      </c>
      <c r="W144" s="896">
        <f t="shared" si="50"/>
        <v>7900000</v>
      </c>
      <c r="X144" s="896">
        <f t="shared" si="51"/>
        <v>7900000</v>
      </c>
    </row>
    <row r="145" spans="2:24" s="363" customFormat="1" ht="12.75">
      <c r="B145" s="357"/>
      <c r="C145" s="364"/>
      <c r="D145" s="359"/>
      <c r="E145" s="628"/>
      <c r="F145" s="375">
        <v>98</v>
      </c>
      <c r="G145" s="635">
        <v>481</v>
      </c>
      <c r="H145" s="1345" t="s">
        <v>1458</v>
      </c>
      <c r="I145" s="1346"/>
      <c r="J145" s="1347"/>
      <c r="K145" s="980">
        <v>7200000</v>
      </c>
      <c r="L145" s="980">
        <v>7077105</v>
      </c>
      <c r="M145" s="980">
        <v>7200000</v>
      </c>
      <c r="N145" s="980">
        <v>7200000</v>
      </c>
      <c r="O145" s="449">
        <v>0</v>
      </c>
      <c r="P145" s="418">
        <v>0</v>
      </c>
      <c r="Q145" s="421">
        <v>0</v>
      </c>
      <c r="R145" s="640">
        <v>0</v>
      </c>
      <c r="S145" s="465">
        <v>0</v>
      </c>
      <c r="T145" s="465">
        <v>0</v>
      </c>
      <c r="U145" s="770">
        <f t="shared" si="49"/>
        <v>0</v>
      </c>
      <c r="V145" s="634">
        <f t="shared" si="46"/>
        <v>7200000</v>
      </c>
      <c r="W145" s="634">
        <f t="shared" si="50"/>
        <v>7200000</v>
      </c>
      <c r="X145" s="634">
        <f t="shared" si="51"/>
        <v>7200000</v>
      </c>
    </row>
    <row r="146" spans="2:24" s="363" customFormat="1" ht="12.75">
      <c r="B146" s="376"/>
      <c r="C146" s="370"/>
      <c r="E146" s="654"/>
      <c r="F146" s="375">
        <v>99</v>
      </c>
      <c r="G146" s="843">
        <v>481</v>
      </c>
      <c r="H146" s="844" t="s">
        <v>1489</v>
      </c>
      <c r="I146" s="845"/>
      <c r="J146" s="846"/>
      <c r="K146" s="1005">
        <v>400000</v>
      </c>
      <c r="L146" s="1005">
        <v>0</v>
      </c>
      <c r="M146" s="1005">
        <v>100000</v>
      </c>
      <c r="N146" s="1012">
        <v>700000</v>
      </c>
      <c r="O146" s="412">
        <v>0</v>
      </c>
      <c r="P146" s="412">
        <v>0</v>
      </c>
      <c r="Q146" s="430">
        <v>0</v>
      </c>
      <c r="R146" s="640">
        <v>0</v>
      </c>
      <c r="S146" s="465"/>
      <c r="T146" s="465">
        <v>0</v>
      </c>
      <c r="U146" s="770"/>
      <c r="V146" s="634">
        <f t="shared" si="46"/>
        <v>700000</v>
      </c>
      <c r="W146" s="634">
        <f t="shared" si="50"/>
        <v>700000</v>
      </c>
      <c r="X146" s="634">
        <f t="shared" si="51"/>
        <v>700000</v>
      </c>
    </row>
    <row r="147" spans="2:24" ht="12.75">
      <c r="B147" s="287"/>
      <c r="C147" s="288"/>
      <c r="D147" s="436"/>
      <c r="E147" s="636" t="s">
        <v>297</v>
      </c>
      <c r="F147" s="436"/>
      <c r="G147" s="437"/>
      <c r="H147" s="1188" t="s">
        <v>1278</v>
      </c>
      <c r="I147" s="1189"/>
      <c r="J147" s="1190"/>
      <c r="K147" s="1004">
        <f>K148+K163+K178</f>
        <v>33132772</v>
      </c>
      <c r="L147" s="1004">
        <f>L148+L163+L178</f>
        <v>16336876.849999998</v>
      </c>
      <c r="M147" s="1004">
        <f>M148+M163+M178</f>
        <v>33132772</v>
      </c>
      <c r="N147" s="1004">
        <f>N148+N163+N178</f>
        <v>33132772</v>
      </c>
      <c r="O147" s="289">
        <f aca="true" t="shared" si="57" ref="O147:T147">O148+O163+O178</f>
        <v>0</v>
      </c>
      <c r="P147" s="289">
        <f t="shared" si="57"/>
        <v>0</v>
      </c>
      <c r="Q147" s="340">
        <f t="shared" si="57"/>
        <v>0</v>
      </c>
      <c r="R147" s="644">
        <f t="shared" si="57"/>
        <v>0</v>
      </c>
      <c r="S147" s="644">
        <f t="shared" si="57"/>
        <v>0</v>
      </c>
      <c r="T147" s="644">
        <f t="shared" si="57"/>
        <v>0</v>
      </c>
      <c r="U147" s="883">
        <f t="shared" si="49"/>
        <v>0</v>
      </c>
      <c r="V147" s="682">
        <f t="shared" si="46"/>
        <v>33132772</v>
      </c>
      <c r="W147" s="682">
        <f t="shared" si="50"/>
        <v>33132772</v>
      </c>
      <c r="X147" s="682">
        <f t="shared" si="51"/>
        <v>33132772</v>
      </c>
    </row>
    <row r="148" spans="2:24" ht="12.75" customHeight="1">
      <c r="B148" s="287"/>
      <c r="C148" s="288"/>
      <c r="D148" s="436"/>
      <c r="E148" s="353" t="s">
        <v>295</v>
      </c>
      <c r="F148" s="436"/>
      <c r="G148" s="437"/>
      <c r="H148" s="1168" t="s">
        <v>1223</v>
      </c>
      <c r="I148" s="1169"/>
      <c r="J148" s="1170"/>
      <c r="K148" s="981">
        <f>K149</f>
        <v>14630531</v>
      </c>
      <c r="L148" s="981">
        <f>L149</f>
        <v>8092759.249999999</v>
      </c>
      <c r="M148" s="981">
        <f>M149</f>
        <v>14630531</v>
      </c>
      <c r="N148" s="981">
        <f>N149</f>
        <v>14630531</v>
      </c>
      <c r="O148" s="293">
        <f aca="true" t="shared" si="58" ref="O148:T148">O149</f>
        <v>0</v>
      </c>
      <c r="P148" s="293">
        <f t="shared" si="58"/>
        <v>0</v>
      </c>
      <c r="Q148" s="293">
        <f t="shared" si="58"/>
        <v>0</v>
      </c>
      <c r="R148" s="293">
        <f t="shared" si="58"/>
        <v>0</v>
      </c>
      <c r="S148" s="293">
        <f t="shared" si="58"/>
        <v>0</v>
      </c>
      <c r="T148" s="293">
        <f t="shared" si="58"/>
        <v>0</v>
      </c>
      <c r="U148" s="341">
        <f t="shared" si="49"/>
        <v>0</v>
      </c>
      <c r="V148" s="682">
        <f t="shared" si="46"/>
        <v>14630531</v>
      </c>
      <c r="W148" s="682">
        <f t="shared" si="50"/>
        <v>14630531</v>
      </c>
      <c r="X148" s="682">
        <f t="shared" si="51"/>
        <v>14630531</v>
      </c>
    </row>
    <row r="149" spans="2:24" ht="12.75">
      <c r="B149" s="438"/>
      <c r="C149" s="439"/>
      <c r="D149" s="56">
        <v>912</v>
      </c>
      <c r="E149" s="58"/>
      <c r="F149" s="440"/>
      <c r="G149" s="441"/>
      <c r="H149" s="1162" t="s">
        <v>97</v>
      </c>
      <c r="I149" s="1163"/>
      <c r="J149" s="1164"/>
      <c r="K149" s="183">
        <f>SUM(K150:K162)</f>
        <v>14630531</v>
      </c>
      <c r="L149" s="183">
        <f>SUM(L150:L162)</f>
        <v>8092759.249999999</v>
      </c>
      <c r="M149" s="183">
        <f>SUM(M150:M162)</f>
        <v>14630531</v>
      </c>
      <c r="N149" s="183">
        <f>SUM(N150:N162)</f>
        <v>14630531</v>
      </c>
      <c r="O149" s="69">
        <f aca="true" t="shared" si="59" ref="O149:T149">SUM(O150:O162)</f>
        <v>0</v>
      </c>
      <c r="P149" s="69">
        <f t="shared" si="59"/>
        <v>0</v>
      </c>
      <c r="Q149" s="69">
        <f t="shared" si="59"/>
        <v>0</v>
      </c>
      <c r="R149" s="69">
        <f t="shared" si="59"/>
        <v>0</v>
      </c>
      <c r="S149" s="69">
        <f t="shared" si="59"/>
        <v>0</v>
      </c>
      <c r="T149" s="69">
        <f t="shared" si="59"/>
        <v>0</v>
      </c>
      <c r="U149" s="344">
        <f t="shared" si="49"/>
        <v>0</v>
      </c>
      <c r="V149" s="896">
        <f t="shared" si="46"/>
        <v>14630531</v>
      </c>
      <c r="W149" s="896">
        <f t="shared" si="50"/>
        <v>14630531</v>
      </c>
      <c r="X149" s="896">
        <f t="shared" si="51"/>
        <v>14630531</v>
      </c>
    </row>
    <row r="150" spans="2:24" s="363" customFormat="1" ht="12.75">
      <c r="B150" s="357"/>
      <c r="C150" s="364"/>
      <c r="D150" s="359"/>
      <c r="E150" s="364"/>
      <c r="F150" s="375">
        <v>100</v>
      </c>
      <c r="G150" s="442">
        <v>463</v>
      </c>
      <c r="H150" s="387" t="s">
        <v>98</v>
      </c>
      <c r="I150" s="443"/>
      <c r="J150" s="461"/>
      <c r="K150" s="1006">
        <v>200000</v>
      </c>
      <c r="L150" s="1006">
        <v>87068.01000000001</v>
      </c>
      <c r="M150" s="1006">
        <v>200000</v>
      </c>
      <c r="N150" s="1006">
        <v>200000</v>
      </c>
      <c r="O150" s="361">
        <v>0</v>
      </c>
      <c r="P150" s="418">
        <v>0</v>
      </c>
      <c r="Q150" s="418">
        <v>0</v>
      </c>
      <c r="R150" s="421">
        <v>0</v>
      </c>
      <c r="S150" s="418">
        <v>0</v>
      </c>
      <c r="T150" s="421">
        <v>0</v>
      </c>
      <c r="U150" s="421">
        <f t="shared" si="49"/>
        <v>0</v>
      </c>
      <c r="V150" s="634">
        <f aca="true" t="shared" si="60" ref="V150:V162">SUM(N150:T150)</f>
        <v>200000</v>
      </c>
      <c r="W150" s="634">
        <f t="shared" si="50"/>
        <v>200000</v>
      </c>
      <c r="X150" s="634">
        <f t="shared" si="51"/>
        <v>200000</v>
      </c>
    </row>
    <row r="151" spans="2:24" s="363" customFormat="1" ht="12.75">
      <c r="B151" s="357"/>
      <c r="C151" s="364"/>
      <c r="D151" s="359"/>
      <c r="E151" s="364"/>
      <c r="F151" s="375">
        <v>101</v>
      </c>
      <c r="G151" s="442">
        <v>463</v>
      </c>
      <c r="H151" s="1182" t="s">
        <v>223</v>
      </c>
      <c r="I151" s="1183"/>
      <c r="J151" s="1184"/>
      <c r="K151" s="788">
        <v>50000</v>
      </c>
      <c r="L151" s="788">
        <v>0</v>
      </c>
      <c r="M151" s="788">
        <v>50000</v>
      </c>
      <c r="N151" s="788">
        <v>50000</v>
      </c>
      <c r="O151" s="361">
        <v>0</v>
      </c>
      <c r="P151" s="418">
        <v>0</v>
      </c>
      <c r="Q151" s="418">
        <v>0</v>
      </c>
      <c r="R151" s="421">
        <v>0</v>
      </c>
      <c r="S151" s="418">
        <v>0</v>
      </c>
      <c r="T151" s="421">
        <v>0</v>
      </c>
      <c r="U151" s="421">
        <f t="shared" si="49"/>
        <v>0</v>
      </c>
      <c r="V151" s="634">
        <f t="shared" si="60"/>
        <v>50000</v>
      </c>
      <c r="W151" s="634">
        <f t="shared" si="50"/>
        <v>50000</v>
      </c>
      <c r="X151" s="634">
        <f t="shared" si="51"/>
        <v>50000</v>
      </c>
    </row>
    <row r="152" spans="2:24" s="363" customFormat="1" ht="12.75">
      <c r="B152" s="357"/>
      <c r="C152" s="364"/>
      <c r="D152" s="359"/>
      <c r="E152" s="364"/>
      <c r="F152" s="375">
        <v>102</v>
      </c>
      <c r="G152" s="442">
        <v>463</v>
      </c>
      <c r="H152" s="1227" t="s">
        <v>99</v>
      </c>
      <c r="I152" s="1228"/>
      <c r="J152" s="1229"/>
      <c r="K152" s="979">
        <v>2250000</v>
      </c>
      <c r="L152" s="979">
        <v>1065544</v>
      </c>
      <c r="M152" s="979">
        <v>2250000</v>
      </c>
      <c r="N152" s="979">
        <v>2100000</v>
      </c>
      <c r="O152" s="361">
        <v>0</v>
      </c>
      <c r="P152" s="418">
        <v>0</v>
      </c>
      <c r="Q152" s="418">
        <v>0</v>
      </c>
      <c r="R152" s="421">
        <v>0</v>
      </c>
      <c r="S152" s="418">
        <v>0</v>
      </c>
      <c r="T152" s="421">
        <v>0</v>
      </c>
      <c r="U152" s="421">
        <f t="shared" si="49"/>
        <v>0</v>
      </c>
      <c r="V152" s="634">
        <f t="shared" si="60"/>
        <v>2100000</v>
      </c>
      <c r="W152" s="634">
        <f t="shared" si="50"/>
        <v>2100000</v>
      </c>
      <c r="X152" s="634">
        <f t="shared" si="51"/>
        <v>2100000</v>
      </c>
    </row>
    <row r="153" spans="2:24" s="363" customFormat="1" ht="12.75">
      <c r="B153" s="357"/>
      <c r="C153" s="364"/>
      <c r="D153" s="359"/>
      <c r="E153" s="364"/>
      <c r="F153" s="375">
        <v>103</v>
      </c>
      <c r="G153" s="442">
        <v>463</v>
      </c>
      <c r="H153" s="387" t="s">
        <v>204</v>
      </c>
      <c r="I153" s="443"/>
      <c r="J153" s="444"/>
      <c r="K153" s="979">
        <v>522975</v>
      </c>
      <c r="L153" s="979">
        <v>522875.8</v>
      </c>
      <c r="M153" s="979">
        <v>522975</v>
      </c>
      <c r="N153" s="979">
        <v>300000</v>
      </c>
      <c r="O153" s="361">
        <v>0</v>
      </c>
      <c r="P153" s="418">
        <v>0</v>
      </c>
      <c r="Q153" s="418">
        <v>0</v>
      </c>
      <c r="R153" s="421">
        <v>0</v>
      </c>
      <c r="S153" s="418">
        <v>0</v>
      </c>
      <c r="T153" s="421">
        <v>0</v>
      </c>
      <c r="U153" s="421">
        <f t="shared" si="49"/>
        <v>0</v>
      </c>
      <c r="V153" s="634">
        <f t="shared" si="60"/>
        <v>300000</v>
      </c>
      <c r="W153" s="634">
        <f t="shared" si="50"/>
        <v>300000</v>
      </c>
      <c r="X153" s="634">
        <f t="shared" si="51"/>
        <v>300000</v>
      </c>
    </row>
    <row r="154" spans="2:24" s="363" customFormat="1" ht="12.75">
      <c r="B154" s="357"/>
      <c r="C154" s="364"/>
      <c r="D154" s="359"/>
      <c r="E154" s="364"/>
      <c r="F154" s="375">
        <v>104</v>
      </c>
      <c r="G154" s="442">
        <v>463</v>
      </c>
      <c r="H154" s="387" t="s">
        <v>100</v>
      </c>
      <c r="I154" s="443"/>
      <c r="J154" s="461"/>
      <c r="K154" s="1006">
        <v>4530531</v>
      </c>
      <c r="L154" s="1006">
        <v>2433682.9200000004</v>
      </c>
      <c r="M154" s="1006">
        <v>4530531</v>
      </c>
      <c r="N154" s="1006">
        <v>3470000</v>
      </c>
      <c r="O154" s="361">
        <v>0</v>
      </c>
      <c r="P154" s="418">
        <v>0</v>
      </c>
      <c r="Q154" s="418">
        <v>0</v>
      </c>
      <c r="R154" s="421">
        <v>0</v>
      </c>
      <c r="S154" s="418">
        <v>0</v>
      </c>
      <c r="T154" s="421">
        <v>0</v>
      </c>
      <c r="U154" s="421">
        <f t="shared" si="49"/>
        <v>0</v>
      </c>
      <c r="V154" s="634">
        <f t="shared" si="60"/>
        <v>3470000</v>
      </c>
      <c r="W154" s="634">
        <f t="shared" si="50"/>
        <v>3470000</v>
      </c>
      <c r="X154" s="634">
        <f t="shared" si="51"/>
        <v>3470000</v>
      </c>
    </row>
    <row r="155" spans="2:24" s="363" customFormat="1" ht="12.75">
      <c r="B155" s="357"/>
      <c r="C155" s="364"/>
      <c r="D155" s="359"/>
      <c r="E155" s="364"/>
      <c r="F155" s="375">
        <v>105</v>
      </c>
      <c r="G155" s="442">
        <v>463</v>
      </c>
      <c r="H155" s="1227" t="s">
        <v>1172</v>
      </c>
      <c r="I155" s="1228"/>
      <c r="J155" s="1229"/>
      <c r="K155" s="979">
        <v>2000000</v>
      </c>
      <c r="L155" s="979">
        <v>1066847.14</v>
      </c>
      <c r="M155" s="979">
        <v>2000000</v>
      </c>
      <c r="N155" s="979">
        <v>1510000</v>
      </c>
      <c r="O155" s="361">
        <v>0</v>
      </c>
      <c r="P155" s="418">
        <v>0</v>
      </c>
      <c r="Q155" s="418">
        <v>0</v>
      </c>
      <c r="R155" s="421">
        <v>0</v>
      </c>
      <c r="S155" s="418">
        <v>0</v>
      </c>
      <c r="T155" s="421">
        <v>0</v>
      </c>
      <c r="U155" s="421">
        <f t="shared" si="49"/>
        <v>0</v>
      </c>
      <c r="V155" s="634">
        <f t="shared" si="60"/>
        <v>1510000</v>
      </c>
      <c r="W155" s="634">
        <f t="shared" si="50"/>
        <v>1510000</v>
      </c>
      <c r="X155" s="634">
        <f t="shared" si="51"/>
        <v>1510000</v>
      </c>
    </row>
    <row r="156" spans="2:24" s="363" customFormat="1" ht="12.75">
      <c r="B156" s="357"/>
      <c r="C156" s="364"/>
      <c r="D156" s="359"/>
      <c r="E156" s="364"/>
      <c r="F156" s="375">
        <v>106</v>
      </c>
      <c r="G156" s="442">
        <v>463</v>
      </c>
      <c r="H156" s="1227" t="s">
        <v>102</v>
      </c>
      <c r="I156" s="1228"/>
      <c r="J156" s="1229"/>
      <c r="K156" s="979">
        <v>662075</v>
      </c>
      <c r="L156" s="979">
        <v>528103</v>
      </c>
      <c r="M156" s="979">
        <v>662075</v>
      </c>
      <c r="N156" s="979">
        <v>755000</v>
      </c>
      <c r="O156" s="361">
        <v>0</v>
      </c>
      <c r="P156" s="418">
        <v>0</v>
      </c>
      <c r="Q156" s="418">
        <v>0</v>
      </c>
      <c r="R156" s="421">
        <v>0</v>
      </c>
      <c r="S156" s="418">
        <v>0</v>
      </c>
      <c r="T156" s="421">
        <v>0</v>
      </c>
      <c r="U156" s="421">
        <f t="shared" si="49"/>
        <v>0</v>
      </c>
      <c r="V156" s="634">
        <f t="shared" si="60"/>
        <v>755000</v>
      </c>
      <c r="W156" s="634">
        <f t="shared" si="50"/>
        <v>755000</v>
      </c>
      <c r="X156" s="634">
        <f t="shared" si="51"/>
        <v>755000</v>
      </c>
    </row>
    <row r="157" spans="2:24" s="363" customFormat="1" ht="12.75">
      <c r="B157" s="357"/>
      <c r="C157" s="364"/>
      <c r="D157" s="359"/>
      <c r="E157" s="364"/>
      <c r="F157" s="375">
        <v>107</v>
      </c>
      <c r="G157" s="442">
        <v>463</v>
      </c>
      <c r="H157" s="1227" t="s">
        <v>103</v>
      </c>
      <c r="I157" s="1228"/>
      <c r="J157" s="1229"/>
      <c r="K157" s="979">
        <v>350000</v>
      </c>
      <c r="L157" s="979">
        <v>105708</v>
      </c>
      <c r="M157" s="979">
        <v>350000</v>
      </c>
      <c r="N157" s="979">
        <v>160000</v>
      </c>
      <c r="O157" s="361">
        <v>0</v>
      </c>
      <c r="P157" s="418">
        <v>0</v>
      </c>
      <c r="Q157" s="418">
        <v>0</v>
      </c>
      <c r="R157" s="421">
        <v>0</v>
      </c>
      <c r="S157" s="418">
        <v>0</v>
      </c>
      <c r="T157" s="421">
        <v>0</v>
      </c>
      <c r="U157" s="421">
        <f t="shared" si="49"/>
        <v>0</v>
      </c>
      <c r="V157" s="634">
        <f t="shared" si="60"/>
        <v>160000</v>
      </c>
      <c r="W157" s="634">
        <f t="shared" si="50"/>
        <v>160000</v>
      </c>
      <c r="X157" s="634">
        <f t="shared" si="51"/>
        <v>160000</v>
      </c>
    </row>
    <row r="158" spans="2:24" s="363" customFormat="1" ht="12.75">
      <c r="B158" s="357"/>
      <c r="C158" s="364"/>
      <c r="D158" s="359"/>
      <c r="E158" s="364"/>
      <c r="F158" s="375">
        <v>108</v>
      </c>
      <c r="G158" s="442">
        <v>463</v>
      </c>
      <c r="H158" s="1227" t="s">
        <v>104</v>
      </c>
      <c r="I158" s="1228"/>
      <c r="J158" s="1229"/>
      <c r="K158" s="979">
        <v>1064950</v>
      </c>
      <c r="L158" s="979">
        <v>606132.01</v>
      </c>
      <c r="M158" s="979">
        <v>1064950</v>
      </c>
      <c r="N158" s="979">
        <v>4005531</v>
      </c>
      <c r="O158" s="361">
        <v>0</v>
      </c>
      <c r="P158" s="418">
        <v>0</v>
      </c>
      <c r="Q158" s="418">
        <v>0</v>
      </c>
      <c r="R158" s="421">
        <v>0</v>
      </c>
      <c r="S158" s="418">
        <v>0</v>
      </c>
      <c r="T158" s="421">
        <v>0</v>
      </c>
      <c r="U158" s="421">
        <f t="shared" si="49"/>
        <v>0</v>
      </c>
      <c r="V158" s="634">
        <f t="shared" si="60"/>
        <v>4005531</v>
      </c>
      <c r="W158" s="634">
        <f t="shared" si="50"/>
        <v>4005531</v>
      </c>
      <c r="X158" s="634">
        <f t="shared" si="51"/>
        <v>4005531</v>
      </c>
    </row>
    <row r="159" spans="2:24" s="363" customFormat="1" ht="12.75">
      <c r="B159" s="357"/>
      <c r="C159" s="364"/>
      <c r="D159" s="359"/>
      <c r="E159" s="364"/>
      <c r="F159" s="375">
        <v>109</v>
      </c>
      <c r="G159" s="442">
        <v>463</v>
      </c>
      <c r="H159" s="387" t="s">
        <v>105</v>
      </c>
      <c r="I159" s="443"/>
      <c r="J159" s="461"/>
      <c r="K159" s="1006">
        <v>1400000</v>
      </c>
      <c r="L159" s="1006">
        <v>908328.4099999997</v>
      </c>
      <c r="M159" s="1006">
        <v>1400000</v>
      </c>
      <c r="N159" s="1006">
        <v>1280000</v>
      </c>
      <c r="O159" s="361">
        <v>0</v>
      </c>
      <c r="P159" s="418">
        <v>0</v>
      </c>
      <c r="Q159" s="418">
        <v>0</v>
      </c>
      <c r="R159" s="421">
        <v>0</v>
      </c>
      <c r="S159" s="418">
        <v>0</v>
      </c>
      <c r="T159" s="421">
        <v>0</v>
      </c>
      <c r="U159" s="421">
        <f t="shared" si="49"/>
        <v>0</v>
      </c>
      <c r="V159" s="634">
        <f t="shared" si="60"/>
        <v>1280000</v>
      </c>
      <c r="W159" s="634">
        <f t="shared" si="50"/>
        <v>1280000</v>
      </c>
      <c r="X159" s="634">
        <f t="shared" si="51"/>
        <v>1280000</v>
      </c>
    </row>
    <row r="160" spans="2:24" s="363" customFormat="1" ht="12.75">
      <c r="B160" s="357"/>
      <c r="C160" s="364"/>
      <c r="D160" s="359"/>
      <c r="E160" s="364"/>
      <c r="F160" s="375">
        <v>110</v>
      </c>
      <c r="G160" s="442">
        <v>463</v>
      </c>
      <c r="H160" s="1227" t="s">
        <v>106</v>
      </c>
      <c r="I160" s="1228"/>
      <c r="J160" s="1229"/>
      <c r="K160" s="979">
        <v>300000</v>
      </c>
      <c r="L160" s="979">
        <v>65971.96</v>
      </c>
      <c r="M160" s="979">
        <v>300000</v>
      </c>
      <c r="N160" s="979">
        <v>100000</v>
      </c>
      <c r="O160" s="361">
        <v>0</v>
      </c>
      <c r="P160" s="418">
        <v>0</v>
      </c>
      <c r="Q160" s="418">
        <v>0</v>
      </c>
      <c r="R160" s="421">
        <v>0</v>
      </c>
      <c r="S160" s="418">
        <v>0</v>
      </c>
      <c r="T160" s="421">
        <v>0</v>
      </c>
      <c r="U160" s="421">
        <f t="shared" si="49"/>
        <v>0</v>
      </c>
      <c r="V160" s="634">
        <f t="shared" si="60"/>
        <v>100000</v>
      </c>
      <c r="W160" s="634">
        <f t="shared" si="50"/>
        <v>100000</v>
      </c>
      <c r="X160" s="634">
        <f t="shared" si="51"/>
        <v>100000</v>
      </c>
    </row>
    <row r="161" spans="2:24" s="363" customFormat="1" ht="12.75">
      <c r="B161" s="357"/>
      <c r="C161" s="364"/>
      <c r="D161" s="359"/>
      <c r="E161" s="364"/>
      <c r="F161" s="375">
        <v>111</v>
      </c>
      <c r="G161" s="442">
        <v>463</v>
      </c>
      <c r="H161" s="1165" t="s">
        <v>224</v>
      </c>
      <c r="I161" s="1166"/>
      <c r="J161" s="1167"/>
      <c r="K161" s="788">
        <v>1000000</v>
      </c>
      <c r="L161" s="788">
        <v>588240</v>
      </c>
      <c r="M161" s="788">
        <v>1000000</v>
      </c>
      <c r="N161" s="788">
        <v>500000</v>
      </c>
      <c r="O161" s="361">
        <v>0</v>
      </c>
      <c r="P161" s="418">
        <v>0</v>
      </c>
      <c r="Q161" s="418">
        <v>0</v>
      </c>
      <c r="R161" s="421">
        <v>0</v>
      </c>
      <c r="S161" s="418">
        <v>0</v>
      </c>
      <c r="T161" s="421">
        <v>0</v>
      </c>
      <c r="U161" s="421">
        <f t="shared" si="49"/>
        <v>0</v>
      </c>
      <c r="V161" s="634">
        <f t="shared" si="60"/>
        <v>500000</v>
      </c>
      <c r="W161" s="634">
        <f t="shared" si="50"/>
        <v>500000</v>
      </c>
      <c r="X161" s="634">
        <f t="shared" si="51"/>
        <v>500000</v>
      </c>
    </row>
    <row r="162" spans="2:24" s="363" customFormat="1" ht="12.75">
      <c r="B162" s="357"/>
      <c r="C162" s="364"/>
      <c r="D162" s="359"/>
      <c r="E162" s="364"/>
      <c r="F162" s="375">
        <v>112</v>
      </c>
      <c r="G162" s="442">
        <v>463</v>
      </c>
      <c r="H162" s="387" t="s">
        <v>107</v>
      </c>
      <c r="I162" s="443"/>
      <c r="J162" s="444"/>
      <c r="K162" s="979">
        <v>300000</v>
      </c>
      <c r="L162" s="979">
        <v>114258</v>
      </c>
      <c r="M162" s="979">
        <v>300000</v>
      </c>
      <c r="N162" s="979">
        <v>200000</v>
      </c>
      <c r="O162" s="361">
        <v>0</v>
      </c>
      <c r="P162" s="418">
        <v>0</v>
      </c>
      <c r="Q162" s="418">
        <v>0</v>
      </c>
      <c r="R162" s="421">
        <v>0</v>
      </c>
      <c r="S162" s="418">
        <v>0</v>
      </c>
      <c r="T162" s="421">
        <v>0</v>
      </c>
      <c r="U162" s="421">
        <f t="shared" si="49"/>
        <v>0</v>
      </c>
      <c r="V162" s="634">
        <f t="shared" si="60"/>
        <v>200000</v>
      </c>
      <c r="W162" s="634">
        <f t="shared" si="50"/>
        <v>200000</v>
      </c>
      <c r="X162" s="634">
        <f t="shared" si="51"/>
        <v>200000</v>
      </c>
    </row>
    <row r="163" spans="2:24" ht="13.5" customHeight="1">
      <c r="B163" s="287"/>
      <c r="C163" s="288"/>
      <c r="D163" s="436"/>
      <c r="E163" s="353" t="s">
        <v>295</v>
      </c>
      <c r="F163" s="436"/>
      <c r="G163" s="437"/>
      <c r="H163" s="1168" t="s">
        <v>1224</v>
      </c>
      <c r="I163" s="1169"/>
      <c r="J163" s="1170"/>
      <c r="K163" s="981">
        <f>K164</f>
        <v>12313641</v>
      </c>
      <c r="L163" s="981">
        <f>L164</f>
        <v>5307385.77</v>
      </c>
      <c r="M163" s="981">
        <f>M164</f>
        <v>12313641</v>
      </c>
      <c r="N163" s="981">
        <f>N164</f>
        <v>12313641</v>
      </c>
      <c r="O163" s="293">
        <f aca="true" t="shared" si="61" ref="O163:T163">O164</f>
        <v>0</v>
      </c>
      <c r="P163" s="293">
        <f t="shared" si="61"/>
        <v>0</v>
      </c>
      <c r="Q163" s="293">
        <f t="shared" si="61"/>
        <v>0</v>
      </c>
      <c r="R163" s="293">
        <f t="shared" si="61"/>
        <v>0</v>
      </c>
      <c r="S163" s="293">
        <f t="shared" si="61"/>
        <v>0</v>
      </c>
      <c r="T163" s="293">
        <f t="shared" si="61"/>
        <v>0</v>
      </c>
      <c r="U163" s="341">
        <f t="shared" si="49"/>
        <v>0</v>
      </c>
      <c r="V163" s="682">
        <f>SUM(N163:T163)</f>
        <v>12313641</v>
      </c>
      <c r="W163" s="682">
        <f t="shared" si="50"/>
        <v>12313641</v>
      </c>
      <c r="X163" s="682">
        <f t="shared" si="51"/>
        <v>12313641</v>
      </c>
    </row>
    <row r="164" spans="2:24" ht="12.75">
      <c r="B164" s="438"/>
      <c r="C164" s="439"/>
      <c r="D164" s="56">
        <v>912</v>
      </c>
      <c r="E164" s="58"/>
      <c r="F164" s="440"/>
      <c r="G164" s="441"/>
      <c r="H164" s="1162" t="s">
        <v>97</v>
      </c>
      <c r="I164" s="1163"/>
      <c r="J164" s="1164"/>
      <c r="K164" s="183">
        <f>SUM(K165:K177)</f>
        <v>12313641</v>
      </c>
      <c r="L164" s="183">
        <f>SUM(L165:L177)</f>
        <v>5307385.77</v>
      </c>
      <c r="M164" s="183">
        <f>SUM(M165:M177)</f>
        <v>12313641</v>
      </c>
      <c r="N164" s="183">
        <f>SUM(N165:N177)</f>
        <v>12313641</v>
      </c>
      <c r="O164" s="69">
        <f aca="true" t="shared" si="62" ref="O164:T164">SUM(O165:O177)</f>
        <v>0</v>
      </c>
      <c r="P164" s="69">
        <f t="shared" si="62"/>
        <v>0</v>
      </c>
      <c r="Q164" s="69">
        <f t="shared" si="62"/>
        <v>0</v>
      </c>
      <c r="R164" s="69">
        <f t="shared" si="62"/>
        <v>0</v>
      </c>
      <c r="S164" s="69">
        <f t="shared" si="62"/>
        <v>0</v>
      </c>
      <c r="T164" s="69">
        <f t="shared" si="62"/>
        <v>0</v>
      </c>
      <c r="U164" s="180">
        <f t="shared" si="49"/>
        <v>0</v>
      </c>
      <c r="V164" s="896">
        <f>SUM(N164:T164)</f>
        <v>12313641</v>
      </c>
      <c r="W164" s="896">
        <f t="shared" si="50"/>
        <v>12313641</v>
      </c>
      <c r="X164" s="896">
        <f t="shared" si="51"/>
        <v>12313641</v>
      </c>
    </row>
    <row r="165" spans="2:24" s="363" customFormat="1" ht="12.75">
      <c r="B165" s="357"/>
      <c r="C165" s="364"/>
      <c r="D165" s="359"/>
      <c r="E165" s="364"/>
      <c r="F165" s="375">
        <v>113</v>
      </c>
      <c r="G165" s="442">
        <v>463</v>
      </c>
      <c r="H165" s="355" t="s">
        <v>1457</v>
      </c>
      <c r="I165" s="450"/>
      <c r="J165" s="451"/>
      <c r="K165" s="788">
        <v>78000</v>
      </c>
      <c r="L165" s="788">
        <v>0</v>
      </c>
      <c r="M165" s="788">
        <v>78000</v>
      </c>
      <c r="N165" s="788">
        <v>78000</v>
      </c>
      <c r="O165" s="361">
        <v>0</v>
      </c>
      <c r="P165" s="418">
        <v>0</v>
      </c>
      <c r="Q165" s="418">
        <v>0</v>
      </c>
      <c r="R165" s="421">
        <v>0</v>
      </c>
      <c r="S165" s="418">
        <v>0</v>
      </c>
      <c r="T165" s="421">
        <v>0</v>
      </c>
      <c r="U165" s="421">
        <f t="shared" si="49"/>
        <v>0</v>
      </c>
      <c r="V165" s="634">
        <f aca="true" t="shared" si="63" ref="V165:V175">SUM(N165:T165)</f>
        <v>78000</v>
      </c>
      <c r="W165" s="634">
        <f t="shared" si="50"/>
        <v>78000</v>
      </c>
      <c r="X165" s="634">
        <f t="shared" si="51"/>
        <v>78000</v>
      </c>
    </row>
    <row r="166" spans="2:24" s="526" customFormat="1" ht="12.75">
      <c r="B166" s="527"/>
      <c r="C166" s="460"/>
      <c r="D166" s="528"/>
      <c r="E166" s="460"/>
      <c r="F166" s="375">
        <v>114</v>
      </c>
      <c r="G166" s="442">
        <v>463</v>
      </c>
      <c r="H166" s="1165" t="s">
        <v>99</v>
      </c>
      <c r="I166" s="1166"/>
      <c r="J166" s="1167"/>
      <c r="K166" s="788">
        <v>2094000</v>
      </c>
      <c r="L166" s="788">
        <v>1320814.02</v>
      </c>
      <c r="M166" s="788">
        <v>2094000</v>
      </c>
      <c r="N166" s="788">
        <v>2094000</v>
      </c>
      <c r="O166" s="361">
        <v>0</v>
      </c>
      <c r="P166" s="529">
        <v>0</v>
      </c>
      <c r="Q166" s="529">
        <v>0</v>
      </c>
      <c r="R166" s="423">
        <v>0</v>
      </c>
      <c r="S166" s="418">
        <v>0</v>
      </c>
      <c r="T166" s="423">
        <v>0</v>
      </c>
      <c r="U166" s="423">
        <f t="shared" si="49"/>
        <v>0</v>
      </c>
      <c r="V166" s="902">
        <f t="shared" si="63"/>
        <v>2094000</v>
      </c>
      <c r="W166" s="902">
        <f t="shared" si="50"/>
        <v>2094000</v>
      </c>
      <c r="X166" s="902">
        <f t="shared" si="51"/>
        <v>2094000</v>
      </c>
    </row>
    <row r="167" spans="2:24" s="363" customFormat="1" ht="12.75">
      <c r="B167" s="357"/>
      <c r="C167" s="364"/>
      <c r="D167" s="359"/>
      <c r="E167" s="364"/>
      <c r="F167" s="375">
        <v>115</v>
      </c>
      <c r="G167" s="442">
        <v>463</v>
      </c>
      <c r="H167" s="355" t="s">
        <v>204</v>
      </c>
      <c r="I167" s="450"/>
      <c r="J167" s="451"/>
      <c r="K167" s="788">
        <v>244200</v>
      </c>
      <c r="L167" s="788">
        <v>196933.78</v>
      </c>
      <c r="M167" s="788">
        <v>197200</v>
      </c>
      <c r="N167" s="788">
        <v>500000</v>
      </c>
      <c r="O167" s="361">
        <v>0</v>
      </c>
      <c r="P167" s="418">
        <v>0</v>
      </c>
      <c r="Q167" s="418">
        <v>0</v>
      </c>
      <c r="R167" s="421">
        <v>0</v>
      </c>
      <c r="S167" s="418">
        <v>0</v>
      </c>
      <c r="T167" s="421">
        <v>0</v>
      </c>
      <c r="U167" s="421">
        <f t="shared" si="49"/>
        <v>0</v>
      </c>
      <c r="V167" s="634">
        <f t="shared" si="63"/>
        <v>500000</v>
      </c>
      <c r="W167" s="634">
        <f t="shared" si="50"/>
        <v>500000</v>
      </c>
      <c r="X167" s="634">
        <f t="shared" si="51"/>
        <v>500000</v>
      </c>
    </row>
    <row r="168" spans="2:24" s="363" customFormat="1" ht="12.75">
      <c r="B168" s="357"/>
      <c r="C168" s="364"/>
      <c r="D168" s="359"/>
      <c r="E168" s="364"/>
      <c r="F168" s="375">
        <v>116</v>
      </c>
      <c r="G168" s="442">
        <v>463</v>
      </c>
      <c r="H168" s="355" t="s">
        <v>100</v>
      </c>
      <c r="I168" s="450"/>
      <c r="J168" s="453"/>
      <c r="K168" s="994">
        <v>2227841</v>
      </c>
      <c r="L168" s="994">
        <v>761808.7299999995</v>
      </c>
      <c r="M168" s="994">
        <v>2232841</v>
      </c>
      <c r="N168" s="994">
        <v>2227841</v>
      </c>
      <c r="O168" s="361">
        <v>0</v>
      </c>
      <c r="P168" s="418">
        <v>0</v>
      </c>
      <c r="Q168" s="418">
        <v>0</v>
      </c>
      <c r="R168" s="421">
        <v>0</v>
      </c>
      <c r="S168" s="418">
        <v>0</v>
      </c>
      <c r="T168" s="421">
        <v>0</v>
      </c>
      <c r="U168" s="421">
        <f t="shared" si="49"/>
        <v>0</v>
      </c>
      <c r="V168" s="634">
        <f t="shared" si="63"/>
        <v>2227841</v>
      </c>
      <c r="W168" s="634">
        <f t="shared" si="50"/>
        <v>2227841</v>
      </c>
      <c r="X168" s="634">
        <f t="shared" si="51"/>
        <v>2227841</v>
      </c>
    </row>
    <row r="169" spans="2:24" s="363" customFormat="1" ht="12.75">
      <c r="B169" s="357"/>
      <c r="C169" s="364"/>
      <c r="D169" s="359"/>
      <c r="E169" s="364"/>
      <c r="F169" s="375">
        <v>117</v>
      </c>
      <c r="G169" s="442">
        <v>463</v>
      </c>
      <c r="H169" s="1165" t="s">
        <v>101</v>
      </c>
      <c r="I169" s="1166"/>
      <c r="J169" s="1167"/>
      <c r="K169" s="788">
        <v>2442500</v>
      </c>
      <c r="L169" s="788">
        <v>786593.19</v>
      </c>
      <c r="M169" s="788">
        <v>1742500</v>
      </c>
      <c r="N169" s="788">
        <v>2442500</v>
      </c>
      <c r="O169" s="361">
        <v>0</v>
      </c>
      <c r="P169" s="418">
        <v>0</v>
      </c>
      <c r="Q169" s="418">
        <v>0</v>
      </c>
      <c r="R169" s="421">
        <v>0</v>
      </c>
      <c r="S169" s="418">
        <v>0</v>
      </c>
      <c r="T169" s="421">
        <v>0</v>
      </c>
      <c r="U169" s="421">
        <f t="shared" si="49"/>
        <v>0</v>
      </c>
      <c r="V169" s="634">
        <f t="shared" si="63"/>
        <v>2442500</v>
      </c>
      <c r="W169" s="634">
        <f t="shared" si="50"/>
        <v>2442500</v>
      </c>
      <c r="X169" s="634">
        <f t="shared" si="51"/>
        <v>2442500</v>
      </c>
    </row>
    <row r="170" spans="2:24" s="363" customFormat="1" ht="12.75">
      <c r="B170" s="357"/>
      <c r="C170" s="364"/>
      <c r="D170" s="359"/>
      <c r="E170" s="364"/>
      <c r="F170" s="375">
        <v>118</v>
      </c>
      <c r="G170" s="442">
        <v>463</v>
      </c>
      <c r="H170" s="1165" t="s">
        <v>102</v>
      </c>
      <c r="I170" s="1166"/>
      <c r="J170" s="1167"/>
      <c r="K170" s="788">
        <v>443000</v>
      </c>
      <c r="L170" s="788">
        <v>124160.4</v>
      </c>
      <c r="M170" s="788">
        <v>443000</v>
      </c>
      <c r="N170" s="788">
        <v>443000</v>
      </c>
      <c r="O170" s="361">
        <v>0</v>
      </c>
      <c r="P170" s="418">
        <v>0</v>
      </c>
      <c r="Q170" s="418">
        <v>0</v>
      </c>
      <c r="R170" s="421">
        <v>0</v>
      </c>
      <c r="S170" s="418">
        <v>0</v>
      </c>
      <c r="T170" s="421">
        <v>0</v>
      </c>
      <c r="U170" s="421">
        <f t="shared" si="49"/>
        <v>0</v>
      </c>
      <c r="V170" s="634">
        <f t="shared" si="63"/>
        <v>443000</v>
      </c>
      <c r="W170" s="634">
        <f t="shared" si="50"/>
        <v>443000</v>
      </c>
      <c r="X170" s="634">
        <f t="shared" si="51"/>
        <v>443000</v>
      </c>
    </row>
    <row r="171" spans="2:24" s="363" customFormat="1" ht="12.75">
      <c r="B171" s="357"/>
      <c r="C171" s="364"/>
      <c r="D171" s="359"/>
      <c r="E171" s="364"/>
      <c r="F171" s="375">
        <v>119</v>
      </c>
      <c r="G171" s="442">
        <v>463</v>
      </c>
      <c r="H171" s="1165" t="s">
        <v>103</v>
      </c>
      <c r="I171" s="1166"/>
      <c r="J171" s="1167"/>
      <c r="K171" s="788">
        <v>210000</v>
      </c>
      <c r="L171" s="788">
        <v>119287.6</v>
      </c>
      <c r="M171" s="788">
        <v>210000</v>
      </c>
      <c r="N171" s="788">
        <v>210000</v>
      </c>
      <c r="O171" s="361">
        <v>0</v>
      </c>
      <c r="P171" s="418">
        <v>0</v>
      </c>
      <c r="Q171" s="418">
        <v>0</v>
      </c>
      <c r="R171" s="421">
        <v>0</v>
      </c>
      <c r="S171" s="418">
        <v>0</v>
      </c>
      <c r="T171" s="421">
        <v>0</v>
      </c>
      <c r="U171" s="421">
        <f t="shared" si="49"/>
        <v>0</v>
      </c>
      <c r="V171" s="634">
        <f t="shared" si="63"/>
        <v>210000</v>
      </c>
      <c r="W171" s="634">
        <f t="shared" si="50"/>
        <v>210000</v>
      </c>
      <c r="X171" s="634">
        <f t="shared" si="51"/>
        <v>210000</v>
      </c>
    </row>
    <row r="172" spans="2:24" s="363" customFormat="1" ht="12.75">
      <c r="B172" s="357"/>
      <c r="C172" s="364"/>
      <c r="D172" s="359"/>
      <c r="E172" s="364"/>
      <c r="F172" s="375">
        <v>120</v>
      </c>
      <c r="G172" s="442">
        <v>463</v>
      </c>
      <c r="H172" s="1165" t="s">
        <v>104</v>
      </c>
      <c r="I172" s="1166"/>
      <c r="J172" s="1167"/>
      <c r="K172" s="788">
        <v>1925000</v>
      </c>
      <c r="L172" s="788">
        <v>1319510.66</v>
      </c>
      <c r="M172" s="788">
        <v>2137000</v>
      </c>
      <c r="N172" s="788">
        <v>1669200</v>
      </c>
      <c r="O172" s="361">
        <v>0</v>
      </c>
      <c r="P172" s="418">
        <v>0</v>
      </c>
      <c r="Q172" s="418">
        <v>0</v>
      </c>
      <c r="R172" s="421">
        <v>0</v>
      </c>
      <c r="S172" s="418">
        <v>0</v>
      </c>
      <c r="T172" s="421">
        <v>0</v>
      </c>
      <c r="U172" s="421">
        <f t="shared" si="49"/>
        <v>0</v>
      </c>
      <c r="V172" s="634">
        <f t="shared" si="63"/>
        <v>1669200</v>
      </c>
      <c r="W172" s="634">
        <f t="shared" si="50"/>
        <v>1669200</v>
      </c>
      <c r="X172" s="634">
        <f t="shared" si="51"/>
        <v>1669200</v>
      </c>
    </row>
    <row r="173" spans="2:24" s="363" customFormat="1" ht="12.75">
      <c r="B173" s="357"/>
      <c r="C173" s="364"/>
      <c r="D173" s="359"/>
      <c r="E173" s="364"/>
      <c r="F173" s="375">
        <v>121</v>
      </c>
      <c r="G173" s="442">
        <v>463</v>
      </c>
      <c r="H173" s="1182" t="s">
        <v>105</v>
      </c>
      <c r="I173" s="1183"/>
      <c r="J173" s="1184"/>
      <c r="K173" s="788">
        <v>931100</v>
      </c>
      <c r="L173" s="788">
        <v>448202.24000000005</v>
      </c>
      <c r="M173" s="788">
        <v>1121100</v>
      </c>
      <c r="N173" s="788">
        <v>931100</v>
      </c>
      <c r="O173" s="361">
        <v>0</v>
      </c>
      <c r="P173" s="418">
        <v>0</v>
      </c>
      <c r="Q173" s="418">
        <v>0</v>
      </c>
      <c r="R173" s="421">
        <v>0</v>
      </c>
      <c r="S173" s="418">
        <v>0</v>
      </c>
      <c r="T173" s="421">
        <v>0</v>
      </c>
      <c r="U173" s="421">
        <f t="shared" si="49"/>
        <v>0</v>
      </c>
      <c r="V173" s="634">
        <f t="shared" si="63"/>
        <v>931100</v>
      </c>
      <c r="W173" s="634">
        <f t="shared" si="50"/>
        <v>931100</v>
      </c>
      <c r="X173" s="634">
        <f t="shared" si="51"/>
        <v>931100</v>
      </c>
    </row>
    <row r="174" spans="2:24" s="363" customFormat="1" ht="12.75">
      <c r="B174" s="357"/>
      <c r="C174" s="364"/>
      <c r="D174" s="359"/>
      <c r="E174" s="364"/>
      <c r="F174" s="375">
        <v>122</v>
      </c>
      <c r="G174" s="442">
        <v>463</v>
      </c>
      <c r="H174" s="1165" t="s">
        <v>106</v>
      </c>
      <c r="I174" s="1166"/>
      <c r="J174" s="1167"/>
      <c r="K174" s="788">
        <v>49000</v>
      </c>
      <c r="L174" s="788">
        <v>37058.75</v>
      </c>
      <c r="M174" s="788">
        <v>49000</v>
      </c>
      <c r="N174" s="788">
        <v>49000</v>
      </c>
      <c r="O174" s="361">
        <v>0</v>
      </c>
      <c r="P174" s="418">
        <v>0</v>
      </c>
      <c r="Q174" s="418">
        <v>0</v>
      </c>
      <c r="R174" s="421">
        <v>0</v>
      </c>
      <c r="S174" s="418">
        <v>0</v>
      </c>
      <c r="T174" s="421">
        <v>0</v>
      </c>
      <c r="U174" s="421">
        <f t="shared" si="49"/>
        <v>0</v>
      </c>
      <c r="V174" s="634">
        <f t="shared" si="63"/>
        <v>49000</v>
      </c>
      <c r="W174" s="634">
        <f t="shared" si="50"/>
        <v>49000</v>
      </c>
      <c r="X174" s="634">
        <f t="shared" si="51"/>
        <v>49000</v>
      </c>
    </row>
    <row r="175" spans="2:24" s="363" customFormat="1" ht="12.75">
      <c r="B175" s="357"/>
      <c r="C175" s="364"/>
      <c r="D175" s="359"/>
      <c r="E175" s="364"/>
      <c r="F175" s="375">
        <v>123</v>
      </c>
      <c r="G175" s="442">
        <v>463</v>
      </c>
      <c r="H175" s="1182" t="s">
        <v>1456</v>
      </c>
      <c r="I175" s="1183"/>
      <c r="J175" s="1184"/>
      <c r="K175" s="788">
        <v>400000</v>
      </c>
      <c r="L175" s="788">
        <v>36000</v>
      </c>
      <c r="M175" s="788">
        <v>400000</v>
      </c>
      <c r="N175" s="788">
        <v>400000</v>
      </c>
      <c r="O175" s="361">
        <v>0</v>
      </c>
      <c r="P175" s="547">
        <v>0</v>
      </c>
      <c r="Q175" s="421">
        <v>0</v>
      </c>
      <c r="R175" s="421">
        <v>0</v>
      </c>
      <c r="S175" s="418">
        <v>0</v>
      </c>
      <c r="T175" s="421">
        <v>0</v>
      </c>
      <c r="U175" s="421">
        <f t="shared" si="49"/>
        <v>0</v>
      </c>
      <c r="V175" s="634">
        <f t="shared" si="63"/>
        <v>400000</v>
      </c>
      <c r="W175" s="634">
        <f t="shared" si="50"/>
        <v>400000</v>
      </c>
      <c r="X175" s="634">
        <f t="shared" si="51"/>
        <v>400000</v>
      </c>
    </row>
    <row r="176" spans="2:24" s="363" customFormat="1" ht="12.75">
      <c r="B176" s="357"/>
      <c r="C176" s="364"/>
      <c r="D176" s="359"/>
      <c r="E176" s="364"/>
      <c r="F176" s="375">
        <v>124</v>
      </c>
      <c r="G176" s="442">
        <v>463</v>
      </c>
      <c r="H176" s="1182" t="s">
        <v>107</v>
      </c>
      <c r="I176" s="1183"/>
      <c r="J176" s="1184"/>
      <c r="K176" s="788">
        <v>1089000</v>
      </c>
      <c r="L176" s="788">
        <v>157016.4</v>
      </c>
      <c r="M176" s="788">
        <v>1429000</v>
      </c>
      <c r="N176" s="788">
        <v>1089000</v>
      </c>
      <c r="O176" s="361">
        <v>0</v>
      </c>
      <c r="P176" s="418">
        <v>0</v>
      </c>
      <c r="Q176" s="418">
        <v>0</v>
      </c>
      <c r="R176" s="421">
        <v>0</v>
      </c>
      <c r="S176" s="418">
        <v>0</v>
      </c>
      <c r="T176" s="421">
        <v>0</v>
      </c>
      <c r="U176" s="421">
        <f t="shared" si="49"/>
        <v>0</v>
      </c>
      <c r="V176" s="634">
        <f>SUM(N176:T176)</f>
        <v>1089000</v>
      </c>
      <c r="W176" s="634">
        <f t="shared" si="50"/>
        <v>1089000</v>
      </c>
      <c r="X176" s="634">
        <f t="shared" si="51"/>
        <v>1089000</v>
      </c>
    </row>
    <row r="177" spans="2:24" s="363" customFormat="1" ht="12.75">
      <c r="B177" s="376"/>
      <c r="C177" s="369"/>
      <c r="D177" s="370"/>
      <c r="E177" s="369"/>
      <c r="F177" s="375">
        <v>125</v>
      </c>
      <c r="G177" s="785">
        <v>463</v>
      </c>
      <c r="H177" s="760" t="s">
        <v>1387</v>
      </c>
      <c r="I177" s="761"/>
      <c r="J177" s="776"/>
      <c r="K177" s="379">
        <v>180000</v>
      </c>
      <c r="L177" s="379">
        <v>0</v>
      </c>
      <c r="M177" s="379">
        <v>180000</v>
      </c>
      <c r="N177" s="379">
        <v>180000</v>
      </c>
      <c r="O177" s="361">
        <v>0</v>
      </c>
      <c r="P177" s="361">
        <v>0</v>
      </c>
      <c r="Q177" s="361">
        <v>0</v>
      </c>
      <c r="R177" s="361">
        <v>0</v>
      </c>
      <c r="S177" s="361">
        <v>0</v>
      </c>
      <c r="T177" s="361">
        <v>0</v>
      </c>
      <c r="U177" s="430">
        <f t="shared" si="49"/>
        <v>0</v>
      </c>
      <c r="V177" s="634">
        <f>SUM(N177:T177)</f>
        <v>180000</v>
      </c>
      <c r="W177" s="634">
        <f t="shared" si="50"/>
        <v>180000</v>
      </c>
      <c r="X177" s="634">
        <f t="shared" si="51"/>
        <v>180000</v>
      </c>
    </row>
    <row r="178" spans="2:24" ht="13.5" customHeight="1">
      <c r="B178" s="287"/>
      <c r="C178" s="288"/>
      <c r="D178" s="436"/>
      <c r="E178" s="353" t="s">
        <v>295</v>
      </c>
      <c r="F178" s="436"/>
      <c r="G178" s="437"/>
      <c r="H178" s="1168" t="s">
        <v>1225</v>
      </c>
      <c r="I178" s="1169"/>
      <c r="J178" s="1170"/>
      <c r="K178" s="981">
        <f>K179</f>
        <v>6188600</v>
      </c>
      <c r="L178" s="981">
        <f>L179</f>
        <v>2936731.829999999</v>
      </c>
      <c r="M178" s="981">
        <f>M179</f>
        <v>6188600</v>
      </c>
      <c r="N178" s="981">
        <f>N179</f>
        <v>6188600</v>
      </c>
      <c r="O178" s="293">
        <f aca="true" t="shared" si="64" ref="O178:T178">O179</f>
        <v>0</v>
      </c>
      <c r="P178" s="293">
        <f t="shared" si="64"/>
        <v>0</v>
      </c>
      <c r="Q178" s="293">
        <f t="shared" si="64"/>
        <v>0</v>
      </c>
      <c r="R178" s="293">
        <f t="shared" si="64"/>
        <v>0</v>
      </c>
      <c r="S178" s="293">
        <f t="shared" si="64"/>
        <v>0</v>
      </c>
      <c r="T178" s="293">
        <f t="shared" si="64"/>
        <v>0</v>
      </c>
      <c r="U178" s="341">
        <f t="shared" si="49"/>
        <v>0</v>
      </c>
      <c r="V178" s="682">
        <f>SUM(N178:T178)</f>
        <v>6188600</v>
      </c>
      <c r="W178" s="682">
        <f t="shared" si="50"/>
        <v>6188600</v>
      </c>
      <c r="X178" s="682">
        <f t="shared" si="51"/>
        <v>6188600</v>
      </c>
    </row>
    <row r="179" spans="2:24" ht="12.75">
      <c r="B179" s="438"/>
      <c r="C179" s="439"/>
      <c r="D179" s="56">
        <v>912</v>
      </c>
      <c r="E179" s="58"/>
      <c r="F179" s="440"/>
      <c r="G179" s="441"/>
      <c r="H179" s="74" t="s">
        <v>97</v>
      </c>
      <c r="I179" s="75"/>
      <c r="J179" s="741"/>
      <c r="K179" s="183">
        <f>SUM(K180:K192)</f>
        <v>6188600</v>
      </c>
      <c r="L179" s="183">
        <f>SUM(L180:L192)</f>
        <v>2936731.829999999</v>
      </c>
      <c r="M179" s="183">
        <f>SUM(M180:M192)</f>
        <v>6188600</v>
      </c>
      <c r="N179" s="183">
        <f>SUM(N180:N192)</f>
        <v>6188600</v>
      </c>
      <c r="O179" s="183">
        <f aca="true" t="shared" si="65" ref="O179:T179">SUM(O180:O192)</f>
        <v>0</v>
      </c>
      <c r="P179" s="183">
        <f t="shared" si="65"/>
        <v>0</v>
      </c>
      <c r="Q179" s="183">
        <f t="shared" si="65"/>
        <v>0</v>
      </c>
      <c r="R179" s="183">
        <f t="shared" si="65"/>
        <v>0</v>
      </c>
      <c r="S179" s="183">
        <f t="shared" si="65"/>
        <v>0</v>
      </c>
      <c r="T179" s="183">
        <f t="shared" si="65"/>
        <v>0</v>
      </c>
      <c r="U179" s="346">
        <f t="shared" si="49"/>
        <v>0</v>
      </c>
      <c r="V179" s="896">
        <f>SUM(N179:T179)</f>
        <v>6188600</v>
      </c>
      <c r="W179" s="896">
        <f t="shared" si="50"/>
        <v>6188600</v>
      </c>
      <c r="X179" s="896">
        <f t="shared" si="51"/>
        <v>6188600</v>
      </c>
    </row>
    <row r="180" spans="2:24" s="363" customFormat="1" ht="12.75">
      <c r="B180" s="357"/>
      <c r="C180" s="364"/>
      <c r="D180" s="359"/>
      <c r="E180" s="364"/>
      <c r="F180" s="375">
        <v>126</v>
      </c>
      <c r="G180" s="442">
        <v>463</v>
      </c>
      <c r="H180" s="387" t="s">
        <v>98</v>
      </c>
      <c r="I180" s="443"/>
      <c r="J180" s="461"/>
      <c r="K180" s="1006">
        <v>170000</v>
      </c>
      <c r="L180" s="1006">
        <v>96750.05999999998</v>
      </c>
      <c r="M180" s="1006">
        <v>170000</v>
      </c>
      <c r="N180" s="1006">
        <v>170000</v>
      </c>
      <c r="O180" s="361">
        <v>0</v>
      </c>
      <c r="P180" s="418">
        <v>0</v>
      </c>
      <c r="Q180" s="418">
        <v>0</v>
      </c>
      <c r="R180" s="421">
        <v>0</v>
      </c>
      <c r="S180" s="418">
        <v>0</v>
      </c>
      <c r="T180" s="421">
        <v>0</v>
      </c>
      <c r="U180" s="421">
        <f t="shared" si="49"/>
        <v>0</v>
      </c>
      <c r="V180" s="634">
        <f>SUM(N180:T180)</f>
        <v>170000</v>
      </c>
      <c r="W180" s="634">
        <f t="shared" si="50"/>
        <v>170000</v>
      </c>
      <c r="X180" s="465">
        <f t="shared" si="51"/>
        <v>170000</v>
      </c>
    </row>
    <row r="181" spans="2:24" s="363" customFormat="1" ht="12.75">
      <c r="B181" s="357"/>
      <c r="C181" s="364"/>
      <c r="D181" s="359"/>
      <c r="E181" s="364"/>
      <c r="F181" s="375">
        <v>127</v>
      </c>
      <c r="G181" s="442">
        <v>463</v>
      </c>
      <c r="H181" s="1227" t="s">
        <v>99</v>
      </c>
      <c r="I181" s="1228"/>
      <c r="J181" s="1229"/>
      <c r="K181" s="979">
        <v>995000</v>
      </c>
      <c r="L181" s="979">
        <v>626055.21</v>
      </c>
      <c r="M181" s="979">
        <v>995000</v>
      </c>
      <c r="N181" s="979">
        <v>1105000</v>
      </c>
      <c r="O181" s="361">
        <v>0</v>
      </c>
      <c r="P181" s="418">
        <v>0</v>
      </c>
      <c r="Q181" s="418">
        <v>0</v>
      </c>
      <c r="R181" s="421">
        <v>0</v>
      </c>
      <c r="S181" s="418">
        <v>0</v>
      </c>
      <c r="T181" s="421">
        <v>0</v>
      </c>
      <c r="U181" s="421">
        <f t="shared" si="49"/>
        <v>0</v>
      </c>
      <c r="V181" s="634">
        <f aca="true" t="shared" si="66" ref="V181:V188">SUM(N181:T181)</f>
        <v>1105000</v>
      </c>
      <c r="W181" s="634">
        <f t="shared" si="50"/>
        <v>1105000</v>
      </c>
      <c r="X181" s="465">
        <f t="shared" si="51"/>
        <v>1105000</v>
      </c>
    </row>
    <row r="182" spans="2:24" s="363" customFormat="1" ht="12.75">
      <c r="B182" s="357"/>
      <c r="C182" s="364"/>
      <c r="D182" s="359"/>
      <c r="E182" s="364"/>
      <c r="F182" s="375">
        <v>128</v>
      </c>
      <c r="G182" s="442">
        <v>463</v>
      </c>
      <c r="H182" s="387" t="s">
        <v>204</v>
      </c>
      <c r="I182" s="443"/>
      <c r="J182" s="444"/>
      <c r="K182" s="979">
        <v>196000</v>
      </c>
      <c r="L182" s="979">
        <v>195001.66999999998</v>
      </c>
      <c r="M182" s="979">
        <v>196000</v>
      </c>
      <c r="N182" s="979">
        <v>330000</v>
      </c>
      <c r="O182" s="361">
        <v>0</v>
      </c>
      <c r="P182" s="418">
        <v>0</v>
      </c>
      <c r="Q182" s="418">
        <v>0</v>
      </c>
      <c r="R182" s="421">
        <v>0</v>
      </c>
      <c r="S182" s="418">
        <v>0</v>
      </c>
      <c r="T182" s="421">
        <v>0</v>
      </c>
      <c r="U182" s="421">
        <f t="shared" si="49"/>
        <v>0</v>
      </c>
      <c r="V182" s="634">
        <f t="shared" si="66"/>
        <v>330000</v>
      </c>
      <c r="W182" s="634">
        <f t="shared" si="50"/>
        <v>330000</v>
      </c>
      <c r="X182" s="465">
        <f t="shared" si="51"/>
        <v>330000</v>
      </c>
    </row>
    <row r="183" spans="2:24" s="363" customFormat="1" ht="12.75">
      <c r="B183" s="357"/>
      <c r="C183" s="364"/>
      <c r="D183" s="359"/>
      <c r="E183" s="364"/>
      <c r="F183" s="375">
        <v>129</v>
      </c>
      <c r="G183" s="442">
        <v>463</v>
      </c>
      <c r="H183" s="1179" t="s">
        <v>100</v>
      </c>
      <c r="I183" s="1180"/>
      <c r="J183" s="1181"/>
      <c r="K183" s="979">
        <v>2468000</v>
      </c>
      <c r="L183" s="979">
        <v>1220555.9199999995</v>
      </c>
      <c r="M183" s="979">
        <v>2468000</v>
      </c>
      <c r="N183" s="979">
        <v>2468000</v>
      </c>
      <c r="O183" s="361">
        <v>0</v>
      </c>
      <c r="P183" s="418">
        <v>0</v>
      </c>
      <c r="Q183" s="418">
        <v>0</v>
      </c>
      <c r="R183" s="421">
        <v>0</v>
      </c>
      <c r="S183" s="418">
        <v>0</v>
      </c>
      <c r="T183" s="421">
        <v>0</v>
      </c>
      <c r="U183" s="421">
        <f t="shared" si="49"/>
        <v>0</v>
      </c>
      <c r="V183" s="634">
        <f t="shared" si="66"/>
        <v>2468000</v>
      </c>
      <c r="W183" s="634">
        <f t="shared" si="50"/>
        <v>2468000</v>
      </c>
      <c r="X183" s="465">
        <f t="shared" si="51"/>
        <v>2468000</v>
      </c>
    </row>
    <row r="184" spans="2:24" s="363" customFormat="1" ht="12.75">
      <c r="B184" s="357"/>
      <c r="C184" s="364"/>
      <c r="D184" s="359"/>
      <c r="E184" s="364"/>
      <c r="F184" s="375">
        <v>130</v>
      </c>
      <c r="G184" s="442">
        <v>463</v>
      </c>
      <c r="H184" s="374" t="s">
        <v>101</v>
      </c>
      <c r="I184" s="445"/>
      <c r="J184" s="446"/>
      <c r="K184" s="979">
        <v>135000</v>
      </c>
      <c r="L184" s="979">
        <v>62200</v>
      </c>
      <c r="M184" s="979">
        <v>135000</v>
      </c>
      <c r="N184" s="979">
        <v>135000</v>
      </c>
      <c r="O184" s="361">
        <v>0</v>
      </c>
      <c r="P184" s="418">
        <v>0</v>
      </c>
      <c r="Q184" s="418">
        <v>0</v>
      </c>
      <c r="R184" s="421">
        <v>0</v>
      </c>
      <c r="S184" s="418">
        <v>0</v>
      </c>
      <c r="T184" s="421">
        <v>0</v>
      </c>
      <c r="U184" s="421">
        <f t="shared" si="49"/>
        <v>0</v>
      </c>
      <c r="V184" s="634">
        <f t="shared" si="66"/>
        <v>135000</v>
      </c>
      <c r="W184" s="634">
        <f t="shared" si="50"/>
        <v>135000</v>
      </c>
      <c r="X184" s="465">
        <f t="shared" si="51"/>
        <v>135000</v>
      </c>
    </row>
    <row r="185" spans="2:24" s="363" customFormat="1" ht="12.75">
      <c r="B185" s="357"/>
      <c r="C185" s="364"/>
      <c r="D185" s="359"/>
      <c r="E185" s="364"/>
      <c r="F185" s="375">
        <v>131</v>
      </c>
      <c r="G185" s="442">
        <v>463</v>
      </c>
      <c r="H185" s="387" t="s">
        <v>102</v>
      </c>
      <c r="I185" s="443"/>
      <c r="J185" s="444"/>
      <c r="K185" s="979">
        <v>170000</v>
      </c>
      <c r="L185" s="979">
        <v>40137.979999999996</v>
      </c>
      <c r="M185" s="979">
        <v>170000</v>
      </c>
      <c r="N185" s="979">
        <v>166000</v>
      </c>
      <c r="O185" s="361">
        <v>0</v>
      </c>
      <c r="P185" s="418">
        <v>0</v>
      </c>
      <c r="Q185" s="418">
        <v>0</v>
      </c>
      <c r="R185" s="418">
        <v>0</v>
      </c>
      <c r="S185" s="418">
        <v>0</v>
      </c>
      <c r="T185" s="418">
        <v>0</v>
      </c>
      <c r="U185" s="421">
        <f t="shared" si="49"/>
        <v>0</v>
      </c>
      <c r="V185" s="634">
        <f t="shared" si="66"/>
        <v>166000</v>
      </c>
      <c r="W185" s="634">
        <f t="shared" si="50"/>
        <v>166000</v>
      </c>
      <c r="X185" s="465">
        <f t="shared" si="51"/>
        <v>166000</v>
      </c>
    </row>
    <row r="186" spans="2:24" s="363" customFormat="1" ht="12.75">
      <c r="B186" s="357"/>
      <c r="C186" s="364"/>
      <c r="D186" s="359"/>
      <c r="E186" s="364"/>
      <c r="F186" s="375">
        <v>132</v>
      </c>
      <c r="G186" s="442">
        <v>463</v>
      </c>
      <c r="H186" s="1227" t="s">
        <v>103</v>
      </c>
      <c r="I186" s="1228"/>
      <c r="J186" s="1229"/>
      <c r="K186" s="979">
        <v>140000</v>
      </c>
      <c r="L186" s="979">
        <v>102240</v>
      </c>
      <c r="M186" s="979">
        <v>140000</v>
      </c>
      <c r="N186" s="979">
        <v>140000</v>
      </c>
      <c r="O186" s="361">
        <v>0</v>
      </c>
      <c r="P186" s="418">
        <v>0</v>
      </c>
      <c r="Q186" s="418">
        <v>0</v>
      </c>
      <c r="R186" s="421">
        <v>0</v>
      </c>
      <c r="S186" s="418">
        <v>0</v>
      </c>
      <c r="T186" s="421">
        <v>0</v>
      </c>
      <c r="U186" s="421">
        <f t="shared" si="49"/>
        <v>0</v>
      </c>
      <c r="V186" s="634">
        <f t="shared" si="66"/>
        <v>140000</v>
      </c>
      <c r="W186" s="634">
        <f t="shared" si="50"/>
        <v>140000</v>
      </c>
      <c r="X186" s="465">
        <f t="shared" si="51"/>
        <v>140000</v>
      </c>
    </row>
    <row r="187" spans="2:24" s="363" customFormat="1" ht="12.75">
      <c r="B187" s="357"/>
      <c r="C187" s="364"/>
      <c r="D187" s="359"/>
      <c r="E187" s="364"/>
      <c r="F187" s="375">
        <v>133</v>
      </c>
      <c r="G187" s="442">
        <v>463</v>
      </c>
      <c r="H187" s="1227" t="s">
        <v>104</v>
      </c>
      <c r="I187" s="1228"/>
      <c r="J187" s="1229"/>
      <c r="K187" s="979">
        <v>200000</v>
      </c>
      <c r="L187" s="979">
        <v>101392.70999999999</v>
      </c>
      <c r="M187" s="979">
        <v>200000</v>
      </c>
      <c r="N187" s="979">
        <v>200000</v>
      </c>
      <c r="O187" s="361">
        <v>0</v>
      </c>
      <c r="P187" s="418">
        <v>0</v>
      </c>
      <c r="Q187" s="418">
        <v>0</v>
      </c>
      <c r="R187" s="421">
        <v>0</v>
      </c>
      <c r="S187" s="418">
        <v>0</v>
      </c>
      <c r="T187" s="421">
        <v>0</v>
      </c>
      <c r="U187" s="421">
        <f t="shared" si="49"/>
        <v>0</v>
      </c>
      <c r="V187" s="634">
        <f t="shared" si="66"/>
        <v>200000</v>
      </c>
      <c r="W187" s="634">
        <f t="shared" si="50"/>
        <v>200000</v>
      </c>
      <c r="X187" s="465">
        <f t="shared" si="51"/>
        <v>200000</v>
      </c>
    </row>
    <row r="188" spans="2:24" s="363" customFormat="1" ht="12.75">
      <c r="B188" s="357"/>
      <c r="C188" s="364"/>
      <c r="D188" s="359"/>
      <c r="E188" s="364"/>
      <c r="F188" s="375">
        <v>134</v>
      </c>
      <c r="G188" s="442">
        <v>463</v>
      </c>
      <c r="H188" s="1227" t="s">
        <v>105</v>
      </c>
      <c r="I188" s="1228"/>
      <c r="J188" s="461"/>
      <c r="K188" s="1006">
        <v>650000</v>
      </c>
      <c r="L188" s="1006">
        <v>453408.27999999997</v>
      </c>
      <c r="M188" s="1006">
        <v>650000</v>
      </c>
      <c r="N188" s="1006">
        <v>650000</v>
      </c>
      <c r="O188" s="361">
        <v>0</v>
      </c>
      <c r="P188" s="418">
        <v>0</v>
      </c>
      <c r="Q188" s="418">
        <v>0</v>
      </c>
      <c r="R188" s="421">
        <v>0</v>
      </c>
      <c r="S188" s="418">
        <v>0</v>
      </c>
      <c r="T188" s="421">
        <v>0</v>
      </c>
      <c r="U188" s="421">
        <f t="shared" si="49"/>
        <v>0</v>
      </c>
      <c r="V188" s="634">
        <f t="shared" si="66"/>
        <v>650000</v>
      </c>
      <c r="W188" s="634">
        <f t="shared" si="50"/>
        <v>650000</v>
      </c>
      <c r="X188" s="465">
        <f t="shared" si="51"/>
        <v>650000</v>
      </c>
    </row>
    <row r="189" spans="2:24" s="363" customFormat="1" ht="12.75">
      <c r="B189" s="357"/>
      <c r="C189" s="364"/>
      <c r="D189" s="359"/>
      <c r="E189" s="364"/>
      <c r="F189" s="375">
        <v>135</v>
      </c>
      <c r="G189" s="546">
        <v>463</v>
      </c>
      <c r="H189" s="1349" t="s">
        <v>106</v>
      </c>
      <c r="I189" s="1316"/>
      <c r="J189" s="1317"/>
      <c r="K189" s="980">
        <v>160000</v>
      </c>
      <c r="L189" s="980">
        <v>22690</v>
      </c>
      <c r="M189" s="980">
        <v>160000</v>
      </c>
      <c r="N189" s="980">
        <v>50000</v>
      </c>
      <c r="O189" s="759">
        <v>0</v>
      </c>
      <c r="P189" s="547">
        <v>0</v>
      </c>
      <c r="Q189" s="547">
        <v>0</v>
      </c>
      <c r="R189" s="459">
        <v>0</v>
      </c>
      <c r="S189" s="547">
        <v>0</v>
      </c>
      <c r="T189" s="459">
        <v>0</v>
      </c>
      <c r="U189" s="459">
        <f t="shared" si="49"/>
        <v>0</v>
      </c>
      <c r="V189" s="634">
        <f aca="true" t="shared" si="67" ref="V189:V195">SUM(N189:T189)</f>
        <v>50000</v>
      </c>
      <c r="W189" s="634">
        <f t="shared" si="50"/>
        <v>50000</v>
      </c>
      <c r="X189" s="465">
        <f t="shared" si="51"/>
        <v>50000</v>
      </c>
    </row>
    <row r="190" spans="2:24" s="363" customFormat="1" ht="12.75">
      <c r="B190" s="376"/>
      <c r="C190" s="369"/>
      <c r="D190" s="370"/>
      <c r="E190" s="369"/>
      <c r="F190" s="440">
        <v>136</v>
      </c>
      <c r="G190" s="787">
        <v>463</v>
      </c>
      <c r="H190" s="1238" t="s">
        <v>1364</v>
      </c>
      <c r="I190" s="1239"/>
      <c r="J190" s="1348"/>
      <c r="K190" s="1007">
        <v>540000</v>
      </c>
      <c r="L190" s="1007">
        <v>0</v>
      </c>
      <c r="M190" s="1007">
        <v>540000</v>
      </c>
      <c r="N190" s="1007">
        <v>410000</v>
      </c>
      <c r="O190" s="651">
        <v>0</v>
      </c>
      <c r="P190" s="465">
        <v>0</v>
      </c>
      <c r="Q190" s="465">
        <v>0</v>
      </c>
      <c r="R190" s="853">
        <v>0</v>
      </c>
      <c r="S190" s="850">
        <v>0</v>
      </c>
      <c r="T190" s="851">
        <v>0</v>
      </c>
      <c r="U190" s="852">
        <f t="shared" si="49"/>
        <v>0</v>
      </c>
      <c r="V190" s="634">
        <f t="shared" si="67"/>
        <v>410000</v>
      </c>
      <c r="W190" s="634">
        <f t="shared" si="50"/>
        <v>410000</v>
      </c>
      <c r="X190" s="465">
        <f t="shared" si="51"/>
        <v>410000</v>
      </c>
    </row>
    <row r="191" spans="2:24" s="363" customFormat="1" ht="12.75">
      <c r="B191" s="376"/>
      <c r="C191" s="369"/>
      <c r="D191" s="370"/>
      <c r="E191" s="369"/>
      <c r="F191" s="440">
        <v>137</v>
      </c>
      <c r="G191" s="786">
        <v>463</v>
      </c>
      <c r="H191" s="839" t="s">
        <v>1481</v>
      </c>
      <c r="I191" s="840"/>
      <c r="J191" s="841"/>
      <c r="K191" s="1007">
        <v>119000</v>
      </c>
      <c r="L191" s="1007">
        <v>16300</v>
      </c>
      <c r="M191" s="1007">
        <v>119000</v>
      </c>
      <c r="N191" s="1007">
        <v>119000</v>
      </c>
      <c r="O191" s="651">
        <v>0</v>
      </c>
      <c r="P191" s="465">
        <v>0</v>
      </c>
      <c r="Q191" s="465">
        <v>0</v>
      </c>
      <c r="R191" s="465">
        <v>0</v>
      </c>
      <c r="S191" s="465">
        <v>0</v>
      </c>
      <c r="T191" s="465">
        <v>0</v>
      </c>
      <c r="U191" s="849">
        <f t="shared" si="49"/>
        <v>0</v>
      </c>
      <c r="V191" s="634">
        <f t="shared" si="67"/>
        <v>119000</v>
      </c>
      <c r="W191" s="634">
        <f t="shared" si="50"/>
        <v>119000</v>
      </c>
      <c r="X191" s="465">
        <f t="shared" si="51"/>
        <v>119000</v>
      </c>
    </row>
    <row r="192" spans="2:24" s="363" customFormat="1" ht="12.75">
      <c r="B192" s="376"/>
      <c r="C192" s="369"/>
      <c r="D192" s="370"/>
      <c r="E192" s="369"/>
      <c r="F192" s="440">
        <v>138</v>
      </c>
      <c r="G192" s="786">
        <v>463</v>
      </c>
      <c r="H192" s="1238" t="s">
        <v>1477</v>
      </c>
      <c r="I192" s="1239"/>
      <c r="J192" s="1348"/>
      <c r="K192" s="1007">
        <v>245600</v>
      </c>
      <c r="L192" s="1007">
        <v>0</v>
      </c>
      <c r="M192" s="1007">
        <v>245600</v>
      </c>
      <c r="N192" s="1007">
        <v>245600</v>
      </c>
      <c r="O192" s="847">
        <v>0</v>
      </c>
      <c r="P192" s="848">
        <v>0</v>
      </c>
      <c r="Q192" s="848">
        <v>0</v>
      </c>
      <c r="R192" s="465">
        <v>0</v>
      </c>
      <c r="S192" s="465">
        <v>0</v>
      </c>
      <c r="T192" s="465">
        <v>0</v>
      </c>
      <c r="U192" s="430">
        <f t="shared" si="49"/>
        <v>0</v>
      </c>
      <c r="V192" s="634">
        <f t="shared" si="67"/>
        <v>245600</v>
      </c>
      <c r="W192" s="634">
        <f t="shared" si="50"/>
        <v>245600</v>
      </c>
      <c r="X192" s="465">
        <f t="shared" si="51"/>
        <v>245600</v>
      </c>
    </row>
    <row r="193" spans="2:24" ht="12.75">
      <c r="B193" s="287"/>
      <c r="C193" s="288"/>
      <c r="D193" s="436"/>
      <c r="E193" s="636" t="s">
        <v>296</v>
      </c>
      <c r="F193" s="436"/>
      <c r="G193" s="437"/>
      <c r="H193" s="1188" t="s">
        <v>1279</v>
      </c>
      <c r="I193" s="1189"/>
      <c r="J193" s="1190"/>
      <c r="K193" s="1004">
        <f aca="true" t="shared" si="68" ref="K193:T194">K194</f>
        <v>5437550</v>
      </c>
      <c r="L193" s="1004">
        <f t="shared" si="68"/>
        <v>4149594.7199999993</v>
      </c>
      <c r="M193" s="1004">
        <f t="shared" si="68"/>
        <v>5437550</v>
      </c>
      <c r="N193" s="1004">
        <f t="shared" si="68"/>
        <v>5437550</v>
      </c>
      <c r="O193" s="289">
        <f t="shared" si="68"/>
        <v>0</v>
      </c>
      <c r="P193" s="289">
        <f t="shared" si="68"/>
        <v>0</v>
      </c>
      <c r="Q193" s="289">
        <f t="shared" si="68"/>
        <v>0</v>
      </c>
      <c r="R193" s="289">
        <f t="shared" si="68"/>
        <v>0</v>
      </c>
      <c r="S193" s="289">
        <f t="shared" si="68"/>
        <v>0</v>
      </c>
      <c r="T193" s="289">
        <f t="shared" si="68"/>
        <v>0</v>
      </c>
      <c r="U193" s="340">
        <f t="shared" si="49"/>
        <v>0</v>
      </c>
      <c r="V193" s="682">
        <f t="shared" si="67"/>
        <v>5437550</v>
      </c>
      <c r="W193" s="682">
        <f t="shared" si="50"/>
        <v>5437550</v>
      </c>
      <c r="X193" s="682">
        <f t="shared" si="51"/>
        <v>5437550</v>
      </c>
    </row>
    <row r="194" spans="2:24" ht="13.5" customHeight="1">
      <c r="B194" s="287"/>
      <c r="C194" s="288"/>
      <c r="D194" s="436"/>
      <c r="E194" s="353" t="s">
        <v>299</v>
      </c>
      <c r="F194" s="436"/>
      <c r="G194" s="437"/>
      <c r="H194" s="1168" t="s">
        <v>1226</v>
      </c>
      <c r="I194" s="1169"/>
      <c r="J194" s="1170"/>
      <c r="K194" s="981">
        <f t="shared" si="68"/>
        <v>5437550</v>
      </c>
      <c r="L194" s="981">
        <f t="shared" si="68"/>
        <v>4149594.7199999993</v>
      </c>
      <c r="M194" s="981">
        <f t="shared" si="68"/>
        <v>5437550</v>
      </c>
      <c r="N194" s="981">
        <f t="shared" si="68"/>
        <v>5437550</v>
      </c>
      <c r="O194" s="293">
        <f t="shared" si="68"/>
        <v>0</v>
      </c>
      <c r="P194" s="293">
        <f t="shared" si="68"/>
        <v>0</v>
      </c>
      <c r="Q194" s="293">
        <f t="shared" si="68"/>
        <v>0</v>
      </c>
      <c r="R194" s="293">
        <f t="shared" si="68"/>
        <v>0</v>
      </c>
      <c r="S194" s="293">
        <f t="shared" si="68"/>
        <v>0</v>
      </c>
      <c r="T194" s="293">
        <f t="shared" si="68"/>
        <v>0</v>
      </c>
      <c r="U194" s="341">
        <f t="shared" si="49"/>
        <v>0</v>
      </c>
      <c r="V194" s="682">
        <f t="shared" si="67"/>
        <v>5437550</v>
      </c>
      <c r="W194" s="682">
        <f t="shared" si="50"/>
        <v>5437550</v>
      </c>
      <c r="X194" s="682">
        <f t="shared" si="51"/>
        <v>5437550</v>
      </c>
    </row>
    <row r="195" spans="2:24" ht="12.75">
      <c r="B195" s="438"/>
      <c r="C195" s="439"/>
      <c r="D195" s="56">
        <v>920</v>
      </c>
      <c r="E195" s="58"/>
      <c r="F195" s="440"/>
      <c r="G195" s="441"/>
      <c r="H195" s="1162" t="s">
        <v>108</v>
      </c>
      <c r="I195" s="1163"/>
      <c r="J195" s="1164"/>
      <c r="K195" s="183">
        <f>SUM(K196:K206)</f>
        <v>5437550</v>
      </c>
      <c r="L195" s="183">
        <f>SUM(L196:L206)</f>
        <v>4149594.7199999993</v>
      </c>
      <c r="M195" s="183">
        <f>SUM(M196:M206)</f>
        <v>5437550</v>
      </c>
      <c r="N195" s="183">
        <f>SUM(N196:N206)</f>
        <v>5437550</v>
      </c>
      <c r="O195" s="69">
        <f aca="true" t="shared" si="69" ref="O195:T195">SUM(O196:O206)</f>
        <v>0</v>
      </c>
      <c r="P195" s="69">
        <f t="shared" si="69"/>
        <v>0</v>
      </c>
      <c r="Q195" s="69">
        <f t="shared" si="69"/>
        <v>0</v>
      </c>
      <c r="R195" s="69">
        <f t="shared" si="69"/>
        <v>0</v>
      </c>
      <c r="S195" s="69">
        <f t="shared" si="69"/>
        <v>0</v>
      </c>
      <c r="T195" s="69">
        <f t="shared" si="69"/>
        <v>0</v>
      </c>
      <c r="U195" s="344">
        <f t="shared" si="49"/>
        <v>0</v>
      </c>
      <c r="V195" s="896">
        <f t="shared" si="67"/>
        <v>5437550</v>
      </c>
      <c r="W195" s="896">
        <f t="shared" si="50"/>
        <v>5437550</v>
      </c>
      <c r="X195" s="896">
        <f t="shared" si="51"/>
        <v>5437550</v>
      </c>
    </row>
    <row r="196" spans="2:24" ht="12.75">
      <c r="B196" s="438"/>
      <c r="C196" s="439"/>
      <c r="D196" s="54"/>
      <c r="E196" s="58"/>
      <c r="F196" s="440">
        <v>139</v>
      </c>
      <c r="G196" s="456">
        <v>463</v>
      </c>
      <c r="H196" s="1227" t="s">
        <v>223</v>
      </c>
      <c r="I196" s="1228"/>
      <c r="J196" s="1229"/>
      <c r="K196" s="979">
        <v>30000</v>
      </c>
      <c r="L196" s="979">
        <v>20000</v>
      </c>
      <c r="M196" s="979">
        <v>30000</v>
      </c>
      <c r="N196" s="979">
        <v>30000</v>
      </c>
      <c r="O196" s="361">
        <v>0</v>
      </c>
      <c r="P196" s="411">
        <v>0</v>
      </c>
      <c r="Q196" s="411">
        <v>0</v>
      </c>
      <c r="R196" s="424">
        <v>0</v>
      </c>
      <c r="S196" s="418">
        <v>0</v>
      </c>
      <c r="T196" s="424">
        <v>0</v>
      </c>
      <c r="U196" s="424">
        <f t="shared" si="49"/>
        <v>0</v>
      </c>
      <c r="V196" s="634">
        <f aca="true" t="shared" si="70" ref="V196:V209">SUM(N196:T196)</f>
        <v>30000</v>
      </c>
      <c r="W196" s="634">
        <f t="shared" si="50"/>
        <v>30000</v>
      </c>
      <c r="X196" s="634">
        <f t="shared" si="51"/>
        <v>30000</v>
      </c>
    </row>
    <row r="197" spans="2:24" s="363" customFormat="1" ht="12.75">
      <c r="B197" s="357"/>
      <c r="C197" s="364"/>
      <c r="D197" s="359"/>
      <c r="E197" s="364"/>
      <c r="F197" s="440">
        <v>140</v>
      </c>
      <c r="G197" s="442">
        <v>463</v>
      </c>
      <c r="H197" s="1227" t="s">
        <v>109</v>
      </c>
      <c r="I197" s="1228"/>
      <c r="J197" s="1229"/>
      <c r="K197" s="979">
        <v>1190000</v>
      </c>
      <c r="L197" s="979">
        <v>961854.8</v>
      </c>
      <c r="M197" s="979">
        <v>1190000</v>
      </c>
      <c r="N197" s="979">
        <v>1215000</v>
      </c>
      <c r="O197" s="361">
        <v>0</v>
      </c>
      <c r="P197" s="418">
        <v>0</v>
      </c>
      <c r="Q197" s="418">
        <v>0</v>
      </c>
      <c r="R197" s="421">
        <v>0</v>
      </c>
      <c r="S197" s="418">
        <v>0</v>
      </c>
      <c r="T197" s="421">
        <v>0</v>
      </c>
      <c r="U197" s="421">
        <f t="shared" si="49"/>
        <v>0</v>
      </c>
      <c r="V197" s="634">
        <f t="shared" si="70"/>
        <v>1215000</v>
      </c>
      <c r="W197" s="634">
        <f t="shared" si="50"/>
        <v>1215000</v>
      </c>
      <c r="X197" s="634">
        <f t="shared" si="51"/>
        <v>1215000</v>
      </c>
    </row>
    <row r="198" spans="2:24" s="363" customFormat="1" ht="12.75">
      <c r="B198" s="357"/>
      <c r="C198" s="364"/>
      <c r="D198" s="359"/>
      <c r="E198" s="364"/>
      <c r="F198" s="440">
        <v>141</v>
      </c>
      <c r="G198" s="442">
        <v>463</v>
      </c>
      <c r="H198" s="387" t="s">
        <v>204</v>
      </c>
      <c r="I198" s="443"/>
      <c r="J198" s="444"/>
      <c r="K198" s="979">
        <v>280000</v>
      </c>
      <c r="L198" s="979">
        <v>279916.72</v>
      </c>
      <c r="M198" s="979">
        <v>280000</v>
      </c>
      <c r="N198" s="979">
        <v>434000</v>
      </c>
      <c r="O198" s="361">
        <v>0</v>
      </c>
      <c r="P198" s="418">
        <v>0</v>
      </c>
      <c r="Q198" s="418">
        <v>0</v>
      </c>
      <c r="R198" s="421">
        <v>0</v>
      </c>
      <c r="S198" s="418">
        <v>0</v>
      </c>
      <c r="T198" s="421">
        <v>0</v>
      </c>
      <c r="U198" s="421">
        <f t="shared" si="49"/>
        <v>0</v>
      </c>
      <c r="V198" s="634">
        <f t="shared" si="70"/>
        <v>434000</v>
      </c>
      <c r="W198" s="634">
        <f t="shared" si="50"/>
        <v>434000</v>
      </c>
      <c r="X198" s="634">
        <f t="shared" si="51"/>
        <v>434000</v>
      </c>
    </row>
    <row r="199" spans="2:24" s="363" customFormat="1" ht="12.75">
      <c r="B199" s="357"/>
      <c r="C199" s="364"/>
      <c r="D199" s="359"/>
      <c r="E199" s="364"/>
      <c r="F199" s="440">
        <v>142</v>
      </c>
      <c r="G199" s="442">
        <v>463</v>
      </c>
      <c r="H199" s="1227" t="s">
        <v>100</v>
      </c>
      <c r="I199" s="1228"/>
      <c r="J199" s="1229"/>
      <c r="K199" s="979">
        <v>2097568</v>
      </c>
      <c r="L199" s="979">
        <v>1413402.6799999997</v>
      </c>
      <c r="M199" s="979">
        <v>2097568</v>
      </c>
      <c r="N199" s="979">
        <v>1912000</v>
      </c>
      <c r="O199" s="361">
        <v>0</v>
      </c>
      <c r="P199" s="418">
        <v>0</v>
      </c>
      <c r="Q199" s="418">
        <v>0</v>
      </c>
      <c r="R199" s="421">
        <v>0</v>
      </c>
      <c r="S199" s="418">
        <v>0</v>
      </c>
      <c r="T199" s="421">
        <v>0</v>
      </c>
      <c r="U199" s="421">
        <f t="shared" si="49"/>
        <v>0</v>
      </c>
      <c r="V199" s="634">
        <f t="shared" si="70"/>
        <v>1912000</v>
      </c>
      <c r="W199" s="634">
        <f t="shared" si="50"/>
        <v>1912000</v>
      </c>
      <c r="X199" s="634">
        <f t="shared" si="51"/>
        <v>1912000</v>
      </c>
    </row>
    <row r="200" spans="2:24" s="363" customFormat="1" ht="12.75">
      <c r="B200" s="357"/>
      <c r="C200" s="364"/>
      <c r="D200" s="359"/>
      <c r="E200" s="364"/>
      <c r="F200" s="440">
        <v>143</v>
      </c>
      <c r="G200" s="442">
        <v>463</v>
      </c>
      <c r="H200" s="1227" t="s">
        <v>101</v>
      </c>
      <c r="I200" s="1228"/>
      <c r="J200" s="1229"/>
      <c r="K200" s="979">
        <v>70000</v>
      </c>
      <c r="L200" s="979">
        <v>56000</v>
      </c>
      <c r="M200" s="979">
        <v>70000</v>
      </c>
      <c r="N200" s="979">
        <v>70000</v>
      </c>
      <c r="O200" s="361">
        <v>0</v>
      </c>
      <c r="P200" s="418">
        <v>0</v>
      </c>
      <c r="Q200" s="418">
        <v>0</v>
      </c>
      <c r="R200" s="421">
        <v>0</v>
      </c>
      <c r="S200" s="418">
        <v>0</v>
      </c>
      <c r="T200" s="421">
        <v>0</v>
      </c>
      <c r="U200" s="421">
        <f aca="true" t="shared" si="71" ref="U200:U269">SUM(O200:T200)</f>
        <v>0</v>
      </c>
      <c r="V200" s="634">
        <f t="shared" si="70"/>
        <v>70000</v>
      </c>
      <c r="W200" s="634">
        <f t="shared" si="50"/>
        <v>70000</v>
      </c>
      <c r="X200" s="634">
        <f t="shared" si="51"/>
        <v>70000</v>
      </c>
    </row>
    <row r="201" spans="2:24" s="363" customFormat="1" ht="12.75">
      <c r="B201" s="357"/>
      <c r="C201" s="364"/>
      <c r="D201" s="359"/>
      <c r="E201" s="364"/>
      <c r="F201" s="440">
        <v>144</v>
      </c>
      <c r="G201" s="442">
        <v>463</v>
      </c>
      <c r="H201" s="1227" t="s">
        <v>102</v>
      </c>
      <c r="I201" s="1228"/>
      <c r="J201" s="1229"/>
      <c r="K201" s="979">
        <v>206550</v>
      </c>
      <c r="L201" s="979">
        <v>154753.8</v>
      </c>
      <c r="M201" s="979">
        <v>206550</v>
      </c>
      <c r="N201" s="979">
        <v>206550</v>
      </c>
      <c r="O201" s="361">
        <v>0</v>
      </c>
      <c r="P201" s="418">
        <v>0</v>
      </c>
      <c r="Q201" s="418">
        <v>0</v>
      </c>
      <c r="R201" s="421">
        <v>0</v>
      </c>
      <c r="S201" s="418">
        <v>0</v>
      </c>
      <c r="T201" s="421">
        <v>0</v>
      </c>
      <c r="U201" s="421">
        <f t="shared" si="71"/>
        <v>0</v>
      </c>
      <c r="V201" s="634">
        <f t="shared" si="70"/>
        <v>206550</v>
      </c>
      <c r="W201" s="634">
        <f aca="true" t="shared" si="72" ref="W201:W266">V201</f>
        <v>206550</v>
      </c>
      <c r="X201" s="634">
        <f aca="true" t="shared" si="73" ref="X201:X266">V201</f>
        <v>206550</v>
      </c>
    </row>
    <row r="202" spans="2:24" s="363" customFormat="1" ht="12.75">
      <c r="B202" s="357"/>
      <c r="C202" s="364"/>
      <c r="D202" s="359"/>
      <c r="E202" s="364"/>
      <c r="F202" s="440">
        <v>145</v>
      </c>
      <c r="G202" s="442">
        <v>463</v>
      </c>
      <c r="H202" s="387" t="s">
        <v>103</v>
      </c>
      <c r="I202" s="443"/>
      <c r="J202" s="444"/>
      <c r="K202" s="979">
        <v>50000</v>
      </c>
      <c r="L202" s="979">
        <v>36000</v>
      </c>
      <c r="M202" s="979">
        <v>50000</v>
      </c>
      <c r="N202" s="979">
        <v>50000</v>
      </c>
      <c r="O202" s="361">
        <v>0</v>
      </c>
      <c r="P202" s="418">
        <v>0</v>
      </c>
      <c r="Q202" s="418">
        <v>0</v>
      </c>
      <c r="R202" s="421">
        <v>0</v>
      </c>
      <c r="S202" s="418">
        <v>0</v>
      </c>
      <c r="T202" s="421">
        <v>0</v>
      </c>
      <c r="U202" s="421">
        <f t="shared" si="71"/>
        <v>0</v>
      </c>
      <c r="V202" s="634">
        <f t="shared" si="70"/>
        <v>50000</v>
      </c>
      <c r="W202" s="634">
        <f t="shared" si="72"/>
        <v>50000</v>
      </c>
      <c r="X202" s="634">
        <f t="shared" si="73"/>
        <v>50000</v>
      </c>
    </row>
    <row r="203" spans="2:24" s="363" customFormat="1" ht="12.75">
      <c r="B203" s="357"/>
      <c r="C203" s="364"/>
      <c r="D203" s="359"/>
      <c r="E203" s="364"/>
      <c r="F203" s="440">
        <v>146</v>
      </c>
      <c r="G203" s="442">
        <v>463</v>
      </c>
      <c r="H203" s="1227" t="s">
        <v>104</v>
      </c>
      <c r="I203" s="1228"/>
      <c r="J203" s="1229"/>
      <c r="K203" s="979">
        <v>493432</v>
      </c>
      <c r="L203" s="979">
        <v>384164.44</v>
      </c>
      <c r="M203" s="979">
        <v>493432</v>
      </c>
      <c r="N203" s="979">
        <v>500000</v>
      </c>
      <c r="O203" s="361">
        <v>0</v>
      </c>
      <c r="P203" s="418">
        <v>0</v>
      </c>
      <c r="Q203" s="418">
        <v>0</v>
      </c>
      <c r="R203" s="421">
        <v>0</v>
      </c>
      <c r="S203" s="418">
        <v>0</v>
      </c>
      <c r="T203" s="421">
        <v>0</v>
      </c>
      <c r="U203" s="421">
        <f t="shared" si="71"/>
        <v>0</v>
      </c>
      <c r="V203" s="634">
        <f t="shared" si="70"/>
        <v>500000</v>
      </c>
      <c r="W203" s="634">
        <f t="shared" si="72"/>
        <v>500000</v>
      </c>
      <c r="X203" s="634">
        <f t="shared" si="73"/>
        <v>500000</v>
      </c>
    </row>
    <row r="204" spans="2:24" s="363" customFormat="1" ht="12.75">
      <c r="B204" s="357"/>
      <c r="C204" s="364"/>
      <c r="D204" s="359"/>
      <c r="E204" s="364"/>
      <c r="F204" s="375">
        <v>147</v>
      </c>
      <c r="G204" s="442">
        <v>463</v>
      </c>
      <c r="H204" s="1227" t="s">
        <v>105</v>
      </c>
      <c r="I204" s="1228"/>
      <c r="J204" s="1229"/>
      <c r="K204" s="979">
        <v>940000</v>
      </c>
      <c r="L204" s="979">
        <v>804115.4600000001</v>
      </c>
      <c r="M204" s="979">
        <v>940000</v>
      </c>
      <c r="N204" s="979">
        <v>940000</v>
      </c>
      <c r="O204" s="361">
        <v>0</v>
      </c>
      <c r="P204" s="418">
        <v>0</v>
      </c>
      <c r="Q204" s="418">
        <v>0</v>
      </c>
      <c r="R204" s="421">
        <v>0</v>
      </c>
      <c r="S204" s="418">
        <v>0</v>
      </c>
      <c r="T204" s="421">
        <v>0</v>
      </c>
      <c r="U204" s="421">
        <f t="shared" si="71"/>
        <v>0</v>
      </c>
      <c r="V204" s="634">
        <f t="shared" si="70"/>
        <v>940000</v>
      </c>
      <c r="W204" s="634">
        <f t="shared" si="72"/>
        <v>940000</v>
      </c>
      <c r="X204" s="634">
        <f t="shared" si="73"/>
        <v>940000</v>
      </c>
    </row>
    <row r="205" spans="2:24" s="363" customFormat="1" ht="12.75">
      <c r="B205" s="357"/>
      <c r="C205" s="364"/>
      <c r="D205" s="359"/>
      <c r="E205" s="364"/>
      <c r="F205" s="375">
        <v>148</v>
      </c>
      <c r="G205" s="442">
        <v>463</v>
      </c>
      <c r="H205" s="1227" t="s">
        <v>106</v>
      </c>
      <c r="I205" s="1228"/>
      <c r="J205" s="1229"/>
      <c r="K205" s="979">
        <v>15000</v>
      </c>
      <c r="L205" s="979">
        <v>3947.8199999999997</v>
      </c>
      <c r="M205" s="979">
        <v>15000</v>
      </c>
      <c r="N205" s="979">
        <v>15000</v>
      </c>
      <c r="O205" s="361">
        <v>0</v>
      </c>
      <c r="P205" s="418">
        <v>0</v>
      </c>
      <c r="Q205" s="418">
        <v>0</v>
      </c>
      <c r="R205" s="421">
        <v>0</v>
      </c>
      <c r="S205" s="418">
        <v>0</v>
      </c>
      <c r="T205" s="421">
        <v>0</v>
      </c>
      <c r="U205" s="421">
        <f t="shared" si="71"/>
        <v>0</v>
      </c>
      <c r="V205" s="634">
        <f t="shared" si="70"/>
        <v>15000</v>
      </c>
      <c r="W205" s="634">
        <f t="shared" si="72"/>
        <v>15000</v>
      </c>
      <c r="X205" s="634">
        <f t="shared" si="73"/>
        <v>15000</v>
      </c>
    </row>
    <row r="206" spans="2:24" s="363" customFormat="1" ht="12.75">
      <c r="B206" s="357"/>
      <c r="C206" s="364"/>
      <c r="D206" s="359"/>
      <c r="E206" s="364"/>
      <c r="F206" s="375">
        <v>149</v>
      </c>
      <c r="G206" s="442">
        <v>463</v>
      </c>
      <c r="H206" s="387" t="s">
        <v>107</v>
      </c>
      <c r="I206" s="443"/>
      <c r="J206" s="444"/>
      <c r="K206" s="979">
        <v>65000</v>
      </c>
      <c r="L206" s="979">
        <v>35439</v>
      </c>
      <c r="M206" s="979">
        <v>65000</v>
      </c>
      <c r="N206" s="979">
        <v>65000</v>
      </c>
      <c r="O206" s="361">
        <v>0</v>
      </c>
      <c r="P206" s="418">
        <v>0</v>
      </c>
      <c r="Q206" s="418">
        <v>0</v>
      </c>
      <c r="R206" s="421">
        <v>0</v>
      </c>
      <c r="S206" s="418">
        <v>0</v>
      </c>
      <c r="T206" s="421">
        <v>0</v>
      </c>
      <c r="U206" s="421">
        <f t="shared" si="71"/>
        <v>0</v>
      </c>
      <c r="V206" s="634">
        <f t="shared" si="70"/>
        <v>65000</v>
      </c>
      <c r="W206" s="634">
        <f t="shared" si="72"/>
        <v>65000</v>
      </c>
      <c r="X206" s="634">
        <f t="shared" si="73"/>
        <v>65000</v>
      </c>
    </row>
    <row r="207" spans="2:24" ht="12.75">
      <c r="B207" s="287"/>
      <c r="C207" s="288"/>
      <c r="D207" s="436"/>
      <c r="E207" s="636" t="s">
        <v>302</v>
      </c>
      <c r="F207" s="436"/>
      <c r="G207" s="437"/>
      <c r="H207" s="1188" t="s">
        <v>304</v>
      </c>
      <c r="I207" s="1189"/>
      <c r="J207" s="1190"/>
      <c r="K207" s="1004">
        <f aca="true" t="shared" si="74" ref="K207:T207">K208+K225+K234+K242</f>
        <v>42912000</v>
      </c>
      <c r="L207" s="1004">
        <f t="shared" si="74"/>
        <v>32671624.86</v>
      </c>
      <c r="M207" s="1004">
        <f t="shared" si="74"/>
        <v>43062000</v>
      </c>
      <c r="N207" s="1004">
        <f t="shared" si="74"/>
        <v>41536000</v>
      </c>
      <c r="O207" s="289">
        <f t="shared" si="74"/>
        <v>0</v>
      </c>
      <c r="P207" s="289">
        <f t="shared" si="74"/>
        <v>0</v>
      </c>
      <c r="Q207" s="289">
        <f t="shared" si="74"/>
        <v>0</v>
      </c>
      <c r="R207" s="289">
        <f t="shared" si="74"/>
        <v>0</v>
      </c>
      <c r="S207" s="289">
        <f t="shared" si="74"/>
        <v>0</v>
      </c>
      <c r="T207" s="289">
        <f t="shared" si="74"/>
        <v>0</v>
      </c>
      <c r="U207" s="340">
        <f t="shared" si="71"/>
        <v>0</v>
      </c>
      <c r="V207" s="682">
        <f t="shared" si="70"/>
        <v>41536000</v>
      </c>
      <c r="W207" s="682">
        <f t="shared" si="72"/>
        <v>41536000</v>
      </c>
      <c r="X207" s="682">
        <f t="shared" si="73"/>
        <v>41536000</v>
      </c>
    </row>
    <row r="208" spans="2:24" ht="28.5" customHeight="1">
      <c r="B208" s="287"/>
      <c r="C208" s="288"/>
      <c r="D208" s="436"/>
      <c r="E208" s="353" t="s">
        <v>303</v>
      </c>
      <c r="F208" s="436"/>
      <c r="G208" s="437"/>
      <c r="H208" s="1168" t="s">
        <v>1346</v>
      </c>
      <c r="I208" s="1169"/>
      <c r="J208" s="1170"/>
      <c r="K208" s="981">
        <f aca="true" t="shared" si="75" ref="K208:T208">K209</f>
        <v>5544000</v>
      </c>
      <c r="L208" s="981">
        <f t="shared" si="75"/>
        <v>4071509.3899999997</v>
      </c>
      <c r="M208" s="981">
        <f t="shared" si="75"/>
        <v>5944000</v>
      </c>
      <c r="N208" s="981">
        <f t="shared" si="75"/>
        <v>6689000</v>
      </c>
      <c r="O208" s="293">
        <f t="shared" si="75"/>
        <v>0</v>
      </c>
      <c r="P208" s="293">
        <f t="shared" si="75"/>
        <v>0</v>
      </c>
      <c r="Q208" s="293">
        <f t="shared" si="75"/>
        <v>0</v>
      </c>
      <c r="R208" s="293">
        <f t="shared" si="75"/>
        <v>0</v>
      </c>
      <c r="S208" s="293">
        <f t="shared" si="75"/>
        <v>0</v>
      </c>
      <c r="T208" s="293">
        <f t="shared" si="75"/>
        <v>0</v>
      </c>
      <c r="U208" s="341">
        <f t="shared" si="71"/>
        <v>0</v>
      </c>
      <c r="V208" s="682">
        <f t="shared" si="70"/>
        <v>6689000</v>
      </c>
      <c r="W208" s="682">
        <f t="shared" si="72"/>
        <v>6689000</v>
      </c>
      <c r="X208" s="682">
        <f t="shared" si="73"/>
        <v>6689000</v>
      </c>
    </row>
    <row r="209" spans="2:24" ht="12.75">
      <c r="B209" s="438"/>
      <c r="C209" s="439"/>
      <c r="D209" s="182" t="s">
        <v>21</v>
      </c>
      <c r="E209" s="58"/>
      <c r="F209" s="440"/>
      <c r="G209" s="441"/>
      <c r="H209" s="1162" t="s">
        <v>111</v>
      </c>
      <c r="I209" s="1163"/>
      <c r="J209" s="1164"/>
      <c r="K209" s="183">
        <f>SUM(K210:K224)</f>
        <v>5544000</v>
      </c>
      <c r="L209" s="183">
        <f>SUM(L210:L224)</f>
        <v>4071509.3899999997</v>
      </c>
      <c r="M209" s="183">
        <f>SUM(M210:M224)</f>
        <v>5944000</v>
      </c>
      <c r="N209" s="183">
        <f>SUM(N210:N224)</f>
        <v>6689000</v>
      </c>
      <c r="O209" s="66">
        <f aca="true" t="shared" si="76" ref="O209:T209">SUM(O210:O224)</f>
        <v>0</v>
      </c>
      <c r="P209" s="66">
        <f t="shared" si="76"/>
        <v>0</v>
      </c>
      <c r="Q209" s="66">
        <f t="shared" si="76"/>
        <v>0</v>
      </c>
      <c r="R209" s="66">
        <f t="shared" si="76"/>
        <v>0</v>
      </c>
      <c r="S209" s="66">
        <f t="shared" si="76"/>
        <v>0</v>
      </c>
      <c r="T209" s="66">
        <f t="shared" si="76"/>
        <v>0</v>
      </c>
      <c r="U209" s="345">
        <f t="shared" si="71"/>
        <v>0</v>
      </c>
      <c r="V209" s="896">
        <f t="shared" si="70"/>
        <v>6689000</v>
      </c>
      <c r="W209" s="896">
        <f t="shared" si="72"/>
        <v>6689000</v>
      </c>
      <c r="X209" s="896">
        <f t="shared" si="73"/>
        <v>6689000</v>
      </c>
    </row>
    <row r="210" spans="2:24" s="363" customFormat="1" ht="12.75">
      <c r="B210" s="357"/>
      <c r="C210" s="364"/>
      <c r="D210" s="359"/>
      <c r="E210" s="364"/>
      <c r="F210" s="375">
        <v>150</v>
      </c>
      <c r="G210" s="452">
        <v>463</v>
      </c>
      <c r="H210" s="1165" t="s">
        <v>112</v>
      </c>
      <c r="I210" s="1166"/>
      <c r="J210" s="1167"/>
      <c r="K210" s="788">
        <v>992000</v>
      </c>
      <c r="L210" s="788">
        <v>816954.01</v>
      </c>
      <c r="M210" s="788">
        <v>1333500</v>
      </c>
      <c r="N210" s="788">
        <v>1095000</v>
      </c>
      <c r="O210" s="361">
        <v>0</v>
      </c>
      <c r="P210" s="418">
        <v>0</v>
      </c>
      <c r="Q210" s="418">
        <v>0</v>
      </c>
      <c r="R210" s="421">
        <v>0</v>
      </c>
      <c r="S210" s="418">
        <v>0</v>
      </c>
      <c r="T210" s="421">
        <v>0</v>
      </c>
      <c r="U210" s="421">
        <f t="shared" si="71"/>
        <v>0</v>
      </c>
      <c r="V210" s="634">
        <f aca="true" t="shared" si="77" ref="V210:V224">SUM(N210:T210)</f>
        <v>1095000</v>
      </c>
      <c r="W210" s="634">
        <f t="shared" si="72"/>
        <v>1095000</v>
      </c>
      <c r="X210" s="634">
        <f t="shared" si="73"/>
        <v>1095000</v>
      </c>
    </row>
    <row r="211" spans="2:24" s="363" customFormat="1" ht="12.75">
      <c r="B211" s="357"/>
      <c r="C211" s="364"/>
      <c r="D211" s="359"/>
      <c r="E211" s="364"/>
      <c r="F211" s="375">
        <v>151</v>
      </c>
      <c r="G211" s="452">
        <v>463</v>
      </c>
      <c r="H211" s="1165" t="s">
        <v>113</v>
      </c>
      <c r="I211" s="1166"/>
      <c r="J211" s="1167"/>
      <c r="K211" s="788">
        <v>170500</v>
      </c>
      <c r="L211" s="788">
        <v>140107.61000000002</v>
      </c>
      <c r="M211" s="788">
        <v>229000</v>
      </c>
      <c r="N211" s="788">
        <v>188000</v>
      </c>
      <c r="O211" s="361">
        <v>0</v>
      </c>
      <c r="P211" s="418">
        <v>0</v>
      </c>
      <c r="Q211" s="418">
        <v>0</v>
      </c>
      <c r="R211" s="421">
        <v>0</v>
      </c>
      <c r="S211" s="418">
        <v>0</v>
      </c>
      <c r="T211" s="421">
        <v>0</v>
      </c>
      <c r="U211" s="421">
        <f t="shared" si="71"/>
        <v>0</v>
      </c>
      <c r="V211" s="634">
        <f t="shared" si="77"/>
        <v>188000</v>
      </c>
      <c r="W211" s="634">
        <f t="shared" si="72"/>
        <v>188000</v>
      </c>
      <c r="X211" s="634">
        <f t="shared" si="73"/>
        <v>188000</v>
      </c>
    </row>
    <row r="212" spans="2:24" s="363" customFormat="1" ht="12.75">
      <c r="B212" s="357"/>
      <c r="C212" s="364"/>
      <c r="D212" s="359"/>
      <c r="E212" s="364"/>
      <c r="F212" s="375">
        <v>152</v>
      </c>
      <c r="G212" s="452">
        <v>463</v>
      </c>
      <c r="H212" s="355" t="s">
        <v>223</v>
      </c>
      <c r="I212" s="450"/>
      <c r="J212" s="451"/>
      <c r="K212" s="788"/>
      <c r="L212" s="788"/>
      <c r="M212" s="788"/>
      <c r="N212" s="788">
        <v>1000</v>
      </c>
      <c r="O212" s="361">
        <v>0</v>
      </c>
      <c r="P212" s="418">
        <v>0</v>
      </c>
      <c r="Q212" s="418">
        <v>0</v>
      </c>
      <c r="R212" s="421">
        <v>0</v>
      </c>
      <c r="S212" s="418">
        <v>0</v>
      </c>
      <c r="T212" s="421">
        <v>0</v>
      </c>
      <c r="U212" s="421"/>
      <c r="V212" s="634">
        <f>SUM(N212:U212)</f>
        <v>1000</v>
      </c>
      <c r="W212" s="634">
        <f>SUM(O212:V212)</f>
        <v>1000</v>
      </c>
      <c r="X212" s="634">
        <f>V212</f>
        <v>1000</v>
      </c>
    </row>
    <row r="213" spans="2:24" s="363" customFormat="1" ht="12" customHeight="1">
      <c r="B213" s="357"/>
      <c r="C213" s="364"/>
      <c r="D213" s="359"/>
      <c r="E213" s="364"/>
      <c r="F213" s="375">
        <v>153</v>
      </c>
      <c r="G213" s="452">
        <v>463</v>
      </c>
      <c r="H213" s="1165" t="s">
        <v>99</v>
      </c>
      <c r="I213" s="1166"/>
      <c r="J213" s="1167"/>
      <c r="K213" s="788">
        <v>370000</v>
      </c>
      <c r="L213" s="788">
        <v>217516.51</v>
      </c>
      <c r="M213" s="788">
        <v>370000</v>
      </c>
      <c r="N213" s="788">
        <v>330000</v>
      </c>
      <c r="O213" s="361">
        <v>0</v>
      </c>
      <c r="P213" s="418">
        <v>0</v>
      </c>
      <c r="Q213" s="418">
        <v>0</v>
      </c>
      <c r="R213" s="421">
        <v>0</v>
      </c>
      <c r="S213" s="418">
        <v>0</v>
      </c>
      <c r="T213" s="421">
        <v>0</v>
      </c>
      <c r="U213" s="421">
        <f t="shared" si="71"/>
        <v>0</v>
      </c>
      <c r="V213" s="634">
        <f t="shared" si="77"/>
        <v>330000</v>
      </c>
      <c r="W213" s="634">
        <f t="shared" si="72"/>
        <v>330000</v>
      </c>
      <c r="X213" s="634">
        <f t="shared" si="73"/>
        <v>330000</v>
      </c>
    </row>
    <row r="214" spans="2:24" s="363" customFormat="1" ht="12.75" customHeight="1">
      <c r="B214" s="357"/>
      <c r="C214" s="364"/>
      <c r="D214" s="359"/>
      <c r="E214" s="364"/>
      <c r="F214" s="375">
        <v>154</v>
      </c>
      <c r="G214" s="452">
        <v>463</v>
      </c>
      <c r="H214" s="1182" t="s">
        <v>100</v>
      </c>
      <c r="I214" s="1183"/>
      <c r="J214" s="1184"/>
      <c r="K214" s="788">
        <v>99000</v>
      </c>
      <c r="L214" s="788">
        <v>91219</v>
      </c>
      <c r="M214" s="788">
        <v>99000</v>
      </c>
      <c r="N214" s="788">
        <v>208000</v>
      </c>
      <c r="O214" s="361">
        <v>0</v>
      </c>
      <c r="P214" s="418">
        <v>0</v>
      </c>
      <c r="Q214" s="418">
        <v>0</v>
      </c>
      <c r="R214" s="421">
        <v>0</v>
      </c>
      <c r="S214" s="418">
        <v>0</v>
      </c>
      <c r="T214" s="421">
        <v>0</v>
      </c>
      <c r="U214" s="421">
        <f t="shared" si="71"/>
        <v>0</v>
      </c>
      <c r="V214" s="634">
        <f t="shared" si="77"/>
        <v>208000</v>
      </c>
      <c r="W214" s="634">
        <f t="shared" si="72"/>
        <v>208000</v>
      </c>
      <c r="X214" s="634">
        <f t="shared" si="73"/>
        <v>208000</v>
      </c>
    </row>
    <row r="215" spans="2:24" s="363" customFormat="1" ht="12.75" customHeight="1">
      <c r="B215" s="357"/>
      <c r="C215" s="364"/>
      <c r="D215" s="359"/>
      <c r="E215" s="364"/>
      <c r="F215" s="375">
        <v>155</v>
      </c>
      <c r="G215" s="452">
        <v>463</v>
      </c>
      <c r="H215" s="1182" t="s">
        <v>213</v>
      </c>
      <c r="I215" s="1183"/>
      <c r="J215" s="1184"/>
      <c r="K215" s="788">
        <v>55000</v>
      </c>
      <c r="L215" s="788">
        <v>18358.28</v>
      </c>
      <c r="M215" s="788">
        <v>55000</v>
      </c>
      <c r="N215" s="788">
        <v>70000</v>
      </c>
      <c r="O215" s="361">
        <v>0</v>
      </c>
      <c r="P215" s="418">
        <v>0</v>
      </c>
      <c r="Q215" s="418">
        <v>0</v>
      </c>
      <c r="R215" s="421">
        <v>0</v>
      </c>
      <c r="S215" s="418">
        <v>0</v>
      </c>
      <c r="T215" s="421">
        <v>0</v>
      </c>
      <c r="U215" s="421">
        <f t="shared" si="71"/>
        <v>0</v>
      </c>
      <c r="V215" s="634">
        <f t="shared" si="77"/>
        <v>70000</v>
      </c>
      <c r="W215" s="634">
        <f t="shared" si="72"/>
        <v>70000</v>
      </c>
      <c r="X215" s="634">
        <f t="shared" si="73"/>
        <v>70000</v>
      </c>
    </row>
    <row r="216" spans="2:24" s="363" customFormat="1" ht="12.75">
      <c r="B216" s="357"/>
      <c r="C216" s="364"/>
      <c r="D216" s="359"/>
      <c r="E216" s="364"/>
      <c r="F216" s="375">
        <v>156</v>
      </c>
      <c r="G216" s="452">
        <v>463</v>
      </c>
      <c r="H216" s="1165" t="s">
        <v>102</v>
      </c>
      <c r="I216" s="1166"/>
      <c r="J216" s="1167"/>
      <c r="K216" s="788">
        <v>2000000</v>
      </c>
      <c r="L216" s="788">
        <v>1511544.27</v>
      </c>
      <c r="M216" s="788">
        <v>2000000</v>
      </c>
      <c r="N216" s="788">
        <v>2815000</v>
      </c>
      <c r="O216" s="361">
        <v>0</v>
      </c>
      <c r="P216" s="418">
        <v>0</v>
      </c>
      <c r="Q216" s="418">
        <v>0</v>
      </c>
      <c r="R216" s="421">
        <v>0</v>
      </c>
      <c r="S216" s="418">
        <v>0</v>
      </c>
      <c r="T216" s="421">
        <v>0</v>
      </c>
      <c r="U216" s="421">
        <f t="shared" si="71"/>
        <v>0</v>
      </c>
      <c r="V216" s="634">
        <f t="shared" si="77"/>
        <v>2815000</v>
      </c>
      <c r="W216" s="634">
        <f t="shared" si="72"/>
        <v>2815000</v>
      </c>
      <c r="X216" s="634">
        <f t="shared" si="73"/>
        <v>2815000</v>
      </c>
    </row>
    <row r="217" spans="2:24" s="363" customFormat="1" ht="12.75">
      <c r="B217" s="357"/>
      <c r="C217" s="364"/>
      <c r="D217" s="359"/>
      <c r="E217" s="364"/>
      <c r="F217" s="375">
        <v>157</v>
      </c>
      <c r="G217" s="452">
        <v>463</v>
      </c>
      <c r="H217" s="1165" t="s">
        <v>104</v>
      </c>
      <c r="I217" s="1166"/>
      <c r="J217" s="1167"/>
      <c r="K217" s="788">
        <v>95500</v>
      </c>
      <c r="L217" s="788">
        <v>45333</v>
      </c>
      <c r="M217" s="788">
        <v>95500</v>
      </c>
      <c r="N217" s="788">
        <v>80000</v>
      </c>
      <c r="O217" s="361">
        <v>0</v>
      </c>
      <c r="P217" s="418">
        <v>0</v>
      </c>
      <c r="Q217" s="418">
        <v>0</v>
      </c>
      <c r="R217" s="421">
        <v>0</v>
      </c>
      <c r="S217" s="418">
        <v>0</v>
      </c>
      <c r="T217" s="421">
        <v>0</v>
      </c>
      <c r="U217" s="421">
        <f t="shared" si="71"/>
        <v>0</v>
      </c>
      <c r="V217" s="634">
        <f t="shared" si="77"/>
        <v>80000</v>
      </c>
      <c r="W217" s="634">
        <f t="shared" si="72"/>
        <v>80000</v>
      </c>
      <c r="X217" s="634">
        <f t="shared" si="73"/>
        <v>80000</v>
      </c>
    </row>
    <row r="218" spans="2:24" s="363" customFormat="1" ht="12.75">
      <c r="B218" s="357"/>
      <c r="C218" s="364"/>
      <c r="D218" s="359"/>
      <c r="E218" s="364"/>
      <c r="F218" s="375">
        <v>158</v>
      </c>
      <c r="G218" s="452">
        <v>463</v>
      </c>
      <c r="H218" s="1182" t="s">
        <v>105</v>
      </c>
      <c r="I218" s="1183"/>
      <c r="J218" s="1184"/>
      <c r="K218" s="788">
        <v>300000</v>
      </c>
      <c r="L218" s="788">
        <v>144626.89999999997</v>
      </c>
      <c r="M218" s="788">
        <v>300000</v>
      </c>
      <c r="N218" s="788">
        <v>275000</v>
      </c>
      <c r="O218" s="361">
        <v>0</v>
      </c>
      <c r="P218" s="418">
        <v>0</v>
      </c>
      <c r="Q218" s="418">
        <v>0</v>
      </c>
      <c r="R218" s="421">
        <v>0</v>
      </c>
      <c r="S218" s="418">
        <v>0</v>
      </c>
      <c r="T218" s="421">
        <v>0</v>
      </c>
      <c r="U218" s="421">
        <f t="shared" si="71"/>
        <v>0</v>
      </c>
      <c r="V218" s="634">
        <f t="shared" si="77"/>
        <v>275000</v>
      </c>
      <c r="W218" s="634">
        <f t="shared" si="72"/>
        <v>275000</v>
      </c>
      <c r="X218" s="634">
        <f t="shared" si="73"/>
        <v>275000</v>
      </c>
    </row>
    <row r="219" spans="2:24" s="363" customFormat="1" ht="12.75">
      <c r="B219" s="357"/>
      <c r="C219" s="364"/>
      <c r="D219" s="359"/>
      <c r="E219" s="364"/>
      <c r="F219" s="375">
        <v>159</v>
      </c>
      <c r="G219" s="452">
        <v>463</v>
      </c>
      <c r="H219" s="409" t="s">
        <v>1171</v>
      </c>
      <c r="I219" s="447"/>
      <c r="J219" s="448"/>
      <c r="K219" s="788">
        <v>110000</v>
      </c>
      <c r="L219" s="788">
        <v>81179.67999999998</v>
      </c>
      <c r="M219" s="788">
        <v>110000</v>
      </c>
      <c r="N219" s="788">
        <v>10000</v>
      </c>
      <c r="O219" s="361">
        <v>0</v>
      </c>
      <c r="P219" s="418">
        <v>0</v>
      </c>
      <c r="Q219" s="418">
        <v>0</v>
      </c>
      <c r="R219" s="421">
        <v>0</v>
      </c>
      <c r="S219" s="418">
        <v>0</v>
      </c>
      <c r="T219" s="421">
        <v>0</v>
      </c>
      <c r="U219" s="421">
        <f t="shared" si="71"/>
        <v>0</v>
      </c>
      <c r="V219" s="634">
        <f t="shared" si="77"/>
        <v>10000</v>
      </c>
      <c r="W219" s="634">
        <f t="shared" si="72"/>
        <v>10000</v>
      </c>
      <c r="X219" s="634">
        <f t="shared" si="73"/>
        <v>10000</v>
      </c>
    </row>
    <row r="220" spans="2:24" s="363" customFormat="1" ht="12.75">
      <c r="B220" s="357"/>
      <c r="C220" s="364"/>
      <c r="D220" s="359"/>
      <c r="E220" s="364"/>
      <c r="F220" s="375">
        <v>160</v>
      </c>
      <c r="G220" s="452">
        <v>463</v>
      </c>
      <c r="H220" s="1165" t="s">
        <v>1455</v>
      </c>
      <c r="I220" s="1166"/>
      <c r="J220" s="1167"/>
      <c r="K220" s="788">
        <v>370000</v>
      </c>
      <c r="L220" s="788">
        <v>265564.14</v>
      </c>
      <c r="M220" s="788">
        <v>370000</v>
      </c>
      <c r="N220" s="788">
        <v>400000</v>
      </c>
      <c r="O220" s="361">
        <v>0</v>
      </c>
      <c r="P220" s="418">
        <v>0</v>
      </c>
      <c r="Q220" s="418">
        <v>0</v>
      </c>
      <c r="R220" s="421">
        <v>0</v>
      </c>
      <c r="S220" s="418">
        <v>0</v>
      </c>
      <c r="T220" s="421">
        <v>0</v>
      </c>
      <c r="U220" s="421">
        <f t="shared" si="71"/>
        <v>0</v>
      </c>
      <c r="V220" s="634">
        <f t="shared" si="77"/>
        <v>400000</v>
      </c>
      <c r="W220" s="634">
        <f t="shared" si="72"/>
        <v>400000</v>
      </c>
      <c r="X220" s="634">
        <f t="shared" si="73"/>
        <v>400000</v>
      </c>
    </row>
    <row r="221" spans="2:24" s="363" customFormat="1" ht="12.75">
      <c r="B221" s="357"/>
      <c r="C221" s="364"/>
      <c r="D221" s="359"/>
      <c r="E221" s="364"/>
      <c r="F221" s="375">
        <v>161</v>
      </c>
      <c r="G221" s="452">
        <v>463</v>
      </c>
      <c r="H221" s="1165" t="s">
        <v>1467</v>
      </c>
      <c r="I221" s="1166"/>
      <c r="J221" s="1167"/>
      <c r="K221" s="788">
        <v>60000</v>
      </c>
      <c r="L221" s="788">
        <v>0</v>
      </c>
      <c r="M221" s="788">
        <v>60000</v>
      </c>
      <c r="N221" s="788">
        <v>60000</v>
      </c>
      <c r="O221" s="361">
        <v>0</v>
      </c>
      <c r="P221" s="418">
        <v>0</v>
      </c>
      <c r="Q221" s="418">
        <v>0</v>
      </c>
      <c r="R221" s="421">
        <v>0</v>
      </c>
      <c r="S221" s="418">
        <v>0</v>
      </c>
      <c r="T221" s="421">
        <v>0</v>
      </c>
      <c r="U221" s="421">
        <f t="shared" si="71"/>
        <v>0</v>
      </c>
      <c r="V221" s="634">
        <f t="shared" si="77"/>
        <v>60000</v>
      </c>
      <c r="W221" s="634">
        <f t="shared" si="72"/>
        <v>60000</v>
      </c>
      <c r="X221" s="634">
        <f t="shared" si="73"/>
        <v>60000</v>
      </c>
    </row>
    <row r="222" spans="2:24" s="363" customFormat="1" ht="12.75">
      <c r="B222" s="357"/>
      <c r="C222" s="364"/>
      <c r="D222" s="359"/>
      <c r="E222" s="364"/>
      <c r="F222" s="375">
        <v>162</v>
      </c>
      <c r="G222" s="452">
        <v>463</v>
      </c>
      <c r="H222" s="1165" t="s">
        <v>1468</v>
      </c>
      <c r="I222" s="1166"/>
      <c r="J222" s="1167"/>
      <c r="K222" s="788">
        <v>900000</v>
      </c>
      <c r="L222" s="788">
        <v>726770.99</v>
      </c>
      <c r="M222" s="788">
        <v>900000</v>
      </c>
      <c r="N222" s="788">
        <v>1000000</v>
      </c>
      <c r="O222" s="361">
        <v>0</v>
      </c>
      <c r="P222" s="418">
        <v>0</v>
      </c>
      <c r="Q222" s="418">
        <v>0</v>
      </c>
      <c r="R222" s="421">
        <v>0</v>
      </c>
      <c r="S222" s="418">
        <v>0</v>
      </c>
      <c r="T222" s="421">
        <v>0</v>
      </c>
      <c r="U222" s="421">
        <f t="shared" si="71"/>
        <v>0</v>
      </c>
      <c r="V222" s="634">
        <f t="shared" si="77"/>
        <v>1000000</v>
      </c>
      <c r="W222" s="634">
        <f t="shared" si="72"/>
        <v>1000000</v>
      </c>
      <c r="X222" s="634">
        <f t="shared" si="73"/>
        <v>1000000</v>
      </c>
    </row>
    <row r="223" spans="2:24" s="363" customFormat="1" ht="12.75">
      <c r="B223" s="357"/>
      <c r="C223" s="364"/>
      <c r="D223" s="359"/>
      <c r="E223" s="364"/>
      <c r="F223" s="375">
        <v>163</v>
      </c>
      <c r="G223" s="452">
        <v>463</v>
      </c>
      <c r="H223" s="1165" t="s">
        <v>106</v>
      </c>
      <c r="I223" s="1166"/>
      <c r="J223" s="1167"/>
      <c r="K223" s="788">
        <v>22000</v>
      </c>
      <c r="L223" s="788">
        <v>12335</v>
      </c>
      <c r="M223" s="788">
        <v>22000</v>
      </c>
      <c r="N223" s="788">
        <v>37000</v>
      </c>
      <c r="O223" s="361">
        <v>0</v>
      </c>
      <c r="P223" s="418">
        <v>0</v>
      </c>
      <c r="Q223" s="418">
        <v>0</v>
      </c>
      <c r="R223" s="421">
        <v>0</v>
      </c>
      <c r="S223" s="418">
        <v>0</v>
      </c>
      <c r="T223" s="421">
        <v>0</v>
      </c>
      <c r="U223" s="421">
        <f t="shared" si="71"/>
        <v>0</v>
      </c>
      <c r="V223" s="634">
        <f t="shared" si="77"/>
        <v>37000</v>
      </c>
      <c r="W223" s="634">
        <f t="shared" si="72"/>
        <v>37000</v>
      </c>
      <c r="X223" s="634">
        <f t="shared" si="73"/>
        <v>37000</v>
      </c>
    </row>
    <row r="224" spans="2:24" s="363" customFormat="1" ht="12.75">
      <c r="B224" s="357"/>
      <c r="C224" s="364"/>
      <c r="D224" s="359"/>
      <c r="E224" s="364"/>
      <c r="F224" s="375">
        <v>164</v>
      </c>
      <c r="G224" s="452">
        <v>463</v>
      </c>
      <c r="H224" s="1219" t="s">
        <v>107</v>
      </c>
      <c r="I224" s="1201"/>
      <c r="J224" s="1220"/>
      <c r="K224" s="1008">
        <v>0</v>
      </c>
      <c r="L224" s="1008">
        <v>0</v>
      </c>
      <c r="M224" s="1008">
        <v>0</v>
      </c>
      <c r="N224" s="1008">
        <v>120000</v>
      </c>
      <c r="O224" s="361">
        <v>0</v>
      </c>
      <c r="P224" s="418">
        <v>0</v>
      </c>
      <c r="Q224" s="418">
        <v>0</v>
      </c>
      <c r="R224" s="421">
        <v>0</v>
      </c>
      <c r="S224" s="418">
        <v>0</v>
      </c>
      <c r="T224" s="421">
        <v>0</v>
      </c>
      <c r="U224" s="424">
        <f t="shared" si="71"/>
        <v>0</v>
      </c>
      <c r="V224" s="634">
        <f t="shared" si="77"/>
        <v>120000</v>
      </c>
      <c r="W224" s="634">
        <f t="shared" si="72"/>
        <v>120000</v>
      </c>
      <c r="X224" s="634">
        <f t="shared" si="73"/>
        <v>120000</v>
      </c>
    </row>
    <row r="225" spans="2:24" ht="26.25" customHeight="1">
      <c r="B225" s="287"/>
      <c r="C225" s="288"/>
      <c r="D225" s="436"/>
      <c r="E225" s="353" t="s">
        <v>860</v>
      </c>
      <c r="F225" s="436"/>
      <c r="G225" s="437"/>
      <c r="H225" s="1168" t="s">
        <v>1349</v>
      </c>
      <c r="I225" s="1169"/>
      <c r="J225" s="1170"/>
      <c r="K225" s="981">
        <f aca="true" t="shared" si="78" ref="K225:T225">K226</f>
        <v>22398000</v>
      </c>
      <c r="L225" s="1158">
        <f t="shared" si="78"/>
        <v>18345754.47</v>
      </c>
      <c r="M225" s="1159">
        <f t="shared" si="78"/>
        <v>21998000</v>
      </c>
      <c r="N225" s="1159">
        <f t="shared" si="78"/>
        <v>17877000</v>
      </c>
      <c r="O225" s="293">
        <f t="shared" si="78"/>
        <v>0</v>
      </c>
      <c r="P225" s="293">
        <f t="shared" si="78"/>
        <v>0</v>
      </c>
      <c r="Q225" s="293">
        <f t="shared" si="78"/>
        <v>0</v>
      </c>
      <c r="R225" s="293">
        <f t="shared" si="78"/>
        <v>0</v>
      </c>
      <c r="S225" s="293">
        <f t="shared" si="78"/>
        <v>0</v>
      </c>
      <c r="T225" s="341">
        <f t="shared" si="78"/>
        <v>0</v>
      </c>
      <c r="U225" s="341">
        <f t="shared" si="71"/>
        <v>0</v>
      </c>
      <c r="V225" s="904">
        <f>SUM(N225:T225)</f>
        <v>17877000</v>
      </c>
      <c r="W225" s="904">
        <f t="shared" si="72"/>
        <v>17877000</v>
      </c>
      <c r="X225" s="904">
        <f t="shared" si="73"/>
        <v>17877000</v>
      </c>
    </row>
    <row r="226" spans="2:24" s="23" customFormat="1" ht="12.75">
      <c r="B226" s="565"/>
      <c r="C226" s="566"/>
      <c r="D226" s="182" t="s">
        <v>21</v>
      </c>
      <c r="E226" s="58"/>
      <c r="F226" s="567"/>
      <c r="G226" s="568"/>
      <c r="H226" s="74" t="s">
        <v>111</v>
      </c>
      <c r="I226" s="75"/>
      <c r="J226" s="741"/>
      <c r="K226" s="183">
        <f>SUM(K227:K233)</f>
        <v>22398000</v>
      </c>
      <c r="L226" s="183">
        <f>SUM(L227:L233)</f>
        <v>18345754.47</v>
      </c>
      <c r="M226" s="793">
        <f>SUM(M227:M233)</f>
        <v>21998000</v>
      </c>
      <c r="N226" s="793">
        <f>SUM(N227:N233)</f>
        <v>17877000</v>
      </c>
      <c r="O226" s="569">
        <f aca="true" t="shared" si="79" ref="O226:T226">SUM(O227:O233)</f>
        <v>0</v>
      </c>
      <c r="P226" s="569">
        <f t="shared" si="79"/>
        <v>0</v>
      </c>
      <c r="Q226" s="569">
        <f t="shared" si="79"/>
        <v>0</v>
      </c>
      <c r="R226" s="569">
        <f t="shared" si="79"/>
        <v>0</v>
      </c>
      <c r="S226" s="569">
        <f t="shared" si="79"/>
        <v>0</v>
      </c>
      <c r="T226" s="569">
        <f t="shared" si="79"/>
        <v>0</v>
      </c>
      <c r="U226" s="884">
        <f t="shared" si="71"/>
        <v>0</v>
      </c>
      <c r="V226" s="896">
        <f>SUM(N226:T226)</f>
        <v>17877000</v>
      </c>
      <c r="W226" s="896">
        <f t="shared" si="72"/>
        <v>17877000</v>
      </c>
      <c r="X226" s="896">
        <f t="shared" si="73"/>
        <v>17877000</v>
      </c>
    </row>
    <row r="227" spans="2:24" s="363" customFormat="1" ht="12.75">
      <c r="B227" s="357"/>
      <c r="C227" s="364"/>
      <c r="D227" s="359"/>
      <c r="E227" s="364"/>
      <c r="F227" s="375">
        <v>165</v>
      </c>
      <c r="G227" s="452">
        <v>463</v>
      </c>
      <c r="H227" s="1182" t="s">
        <v>1416</v>
      </c>
      <c r="I227" s="1183"/>
      <c r="J227" s="1184"/>
      <c r="K227" s="788">
        <v>695000</v>
      </c>
      <c r="L227" s="788">
        <v>381073.7799999999</v>
      </c>
      <c r="M227" s="788">
        <v>695000</v>
      </c>
      <c r="N227" s="788">
        <v>698000</v>
      </c>
      <c r="O227" s="361">
        <v>0</v>
      </c>
      <c r="P227" s="418">
        <v>0</v>
      </c>
      <c r="Q227" s="418">
        <v>0</v>
      </c>
      <c r="R227" s="418">
        <v>0</v>
      </c>
      <c r="S227" s="418">
        <v>0</v>
      </c>
      <c r="T227" s="421">
        <v>0</v>
      </c>
      <c r="U227" s="424">
        <f t="shared" si="71"/>
        <v>0</v>
      </c>
      <c r="V227" s="634">
        <f aca="true" t="shared" si="80" ref="V227:V233">SUM(N227:T227)</f>
        <v>698000</v>
      </c>
      <c r="W227" s="634">
        <f t="shared" si="72"/>
        <v>698000</v>
      </c>
      <c r="X227" s="634">
        <f t="shared" si="73"/>
        <v>698000</v>
      </c>
    </row>
    <row r="228" spans="2:24" s="526" customFormat="1" ht="12.75">
      <c r="B228" s="527"/>
      <c r="C228" s="460"/>
      <c r="D228" s="528"/>
      <c r="E228" s="460"/>
      <c r="F228" s="375">
        <v>166</v>
      </c>
      <c r="G228" s="442">
        <v>463</v>
      </c>
      <c r="H228" s="1182" t="s">
        <v>1417</v>
      </c>
      <c r="I228" s="1183"/>
      <c r="J228" s="1184"/>
      <c r="K228" s="788">
        <v>20487000</v>
      </c>
      <c r="L228" s="788">
        <v>17272812.759999998</v>
      </c>
      <c r="M228" s="788">
        <v>20087000</v>
      </c>
      <c r="N228" s="788">
        <v>15902000</v>
      </c>
      <c r="O228" s="361">
        <v>0</v>
      </c>
      <c r="P228" s="529">
        <v>0</v>
      </c>
      <c r="Q228" s="418">
        <v>0</v>
      </c>
      <c r="R228" s="418">
        <v>0</v>
      </c>
      <c r="S228" s="418">
        <v>0</v>
      </c>
      <c r="T228" s="423">
        <v>0</v>
      </c>
      <c r="U228" s="530">
        <f t="shared" si="71"/>
        <v>0</v>
      </c>
      <c r="V228" s="902">
        <f t="shared" si="80"/>
        <v>15902000</v>
      </c>
      <c r="W228" s="902">
        <f t="shared" si="72"/>
        <v>15902000</v>
      </c>
      <c r="X228" s="902">
        <f t="shared" si="73"/>
        <v>15902000</v>
      </c>
    </row>
    <row r="229" spans="2:24" s="526" customFormat="1" ht="12.75">
      <c r="B229" s="527"/>
      <c r="C229" s="460"/>
      <c r="D229" s="528"/>
      <c r="E229" s="460"/>
      <c r="F229" s="375">
        <v>167</v>
      </c>
      <c r="G229" s="442">
        <v>463</v>
      </c>
      <c r="H229" s="409" t="s">
        <v>103</v>
      </c>
      <c r="I229" s="447"/>
      <c r="J229" s="448"/>
      <c r="K229" s="788"/>
      <c r="L229" s="788"/>
      <c r="M229" s="788">
        <v>0</v>
      </c>
      <c r="N229" s="788">
        <v>120000</v>
      </c>
      <c r="O229" s="361">
        <v>0</v>
      </c>
      <c r="P229" s="529">
        <v>0</v>
      </c>
      <c r="Q229" s="418">
        <v>0</v>
      </c>
      <c r="R229" s="547">
        <v>0</v>
      </c>
      <c r="S229" s="547">
        <v>0</v>
      </c>
      <c r="T229" s="1160">
        <v>0</v>
      </c>
      <c r="U229" s="1161"/>
      <c r="V229" s="902">
        <f>SUM(N229:U229)</f>
        <v>120000</v>
      </c>
      <c r="W229" s="902">
        <f>SUM(O229:V229)</f>
        <v>120000</v>
      </c>
      <c r="X229" s="902">
        <f>V229</f>
        <v>120000</v>
      </c>
    </row>
    <row r="230" spans="2:24" s="363" customFormat="1" ht="12.75">
      <c r="B230" s="357"/>
      <c r="C230" s="364"/>
      <c r="D230" s="359"/>
      <c r="E230" s="364"/>
      <c r="F230" s="369" t="s">
        <v>1484</v>
      </c>
      <c r="G230" s="452">
        <v>463</v>
      </c>
      <c r="H230" s="1182" t="s">
        <v>1418</v>
      </c>
      <c r="I230" s="1183"/>
      <c r="J230" s="1184"/>
      <c r="K230" s="788">
        <v>80000</v>
      </c>
      <c r="L230" s="788">
        <v>20640</v>
      </c>
      <c r="M230" s="788">
        <v>80000</v>
      </c>
      <c r="N230" s="788">
        <v>80000</v>
      </c>
      <c r="O230" s="361">
        <v>0</v>
      </c>
      <c r="P230" s="418">
        <v>0</v>
      </c>
      <c r="Q230" s="418">
        <v>0</v>
      </c>
      <c r="R230" s="547">
        <v>0</v>
      </c>
      <c r="S230" s="547">
        <v>0</v>
      </c>
      <c r="T230" s="547">
        <v>0</v>
      </c>
      <c r="U230" s="459">
        <f t="shared" si="71"/>
        <v>0</v>
      </c>
      <c r="V230" s="634">
        <f t="shared" si="80"/>
        <v>80000</v>
      </c>
      <c r="W230" s="634">
        <f t="shared" si="72"/>
        <v>80000</v>
      </c>
      <c r="X230" s="634">
        <f t="shared" si="73"/>
        <v>80000</v>
      </c>
    </row>
    <row r="231" spans="2:24" s="363" customFormat="1" ht="12.75">
      <c r="B231" s="357"/>
      <c r="C231" s="364"/>
      <c r="D231" s="584"/>
      <c r="E231" s="493"/>
      <c r="F231" s="369" t="s">
        <v>1485</v>
      </c>
      <c r="G231" s="550">
        <v>463</v>
      </c>
      <c r="H231" s="1182" t="s">
        <v>1419</v>
      </c>
      <c r="I231" s="1183"/>
      <c r="J231" s="1184"/>
      <c r="K231" s="788">
        <v>1000000</v>
      </c>
      <c r="L231" s="788">
        <v>557827.9299999999</v>
      </c>
      <c r="M231" s="788">
        <v>1000000</v>
      </c>
      <c r="N231" s="788">
        <v>980000</v>
      </c>
      <c r="O231" s="361">
        <v>0</v>
      </c>
      <c r="P231" s="418">
        <v>0</v>
      </c>
      <c r="Q231" s="421">
        <v>0</v>
      </c>
      <c r="R231" s="465">
        <v>0</v>
      </c>
      <c r="S231" s="465">
        <v>0</v>
      </c>
      <c r="T231" s="465">
        <v>0</v>
      </c>
      <c r="U231" s="770">
        <f t="shared" si="71"/>
        <v>0</v>
      </c>
      <c r="V231" s="634">
        <f t="shared" si="80"/>
        <v>980000</v>
      </c>
      <c r="W231" s="634">
        <f t="shared" si="72"/>
        <v>980000</v>
      </c>
      <c r="X231" s="634">
        <f t="shared" si="73"/>
        <v>980000</v>
      </c>
    </row>
    <row r="232" spans="2:24" s="363" customFormat="1" ht="12.75">
      <c r="B232" s="357"/>
      <c r="C232" s="609"/>
      <c r="D232" s="548"/>
      <c r="E232" s="495"/>
      <c r="F232" s="369" t="s">
        <v>461</v>
      </c>
      <c r="G232" s="492">
        <v>463</v>
      </c>
      <c r="H232" s="1200" t="s">
        <v>1420</v>
      </c>
      <c r="I232" s="1201"/>
      <c r="J232" s="1220"/>
      <c r="K232" s="1008">
        <v>16000</v>
      </c>
      <c r="L232" s="1008">
        <v>0</v>
      </c>
      <c r="M232" s="1008">
        <v>16000</v>
      </c>
      <c r="N232" s="1008">
        <v>17000</v>
      </c>
      <c r="O232" s="361">
        <v>0</v>
      </c>
      <c r="P232" s="418">
        <v>0</v>
      </c>
      <c r="Q232" s="421">
        <v>0</v>
      </c>
      <c r="R232" s="465">
        <v>0</v>
      </c>
      <c r="S232" s="465">
        <v>0</v>
      </c>
      <c r="T232" s="465">
        <v>0</v>
      </c>
      <c r="U232" s="770">
        <f t="shared" si="71"/>
        <v>0</v>
      </c>
      <c r="V232" s="634">
        <f t="shared" si="80"/>
        <v>17000</v>
      </c>
      <c r="W232" s="634">
        <f t="shared" si="72"/>
        <v>17000</v>
      </c>
      <c r="X232" s="634">
        <f t="shared" si="73"/>
        <v>17000</v>
      </c>
    </row>
    <row r="233" spans="2:24" s="363" customFormat="1" ht="12.75">
      <c r="B233" s="376"/>
      <c r="C233" s="542"/>
      <c r="D233" s="548"/>
      <c r="E233" s="495"/>
      <c r="F233" s="369" t="s">
        <v>1486</v>
      </c>
      <c r="G233" s="541">
        <v>463</v>
      </c>
      <c r="H233" s="1238" t="s">
        <v>1421</v>
      </c>
      <c r="I233" s="1239"/>
      <c r="J233" s="1239"/>
      <c r="K233" s="1007">
        <v>120000</v>
      </c>
      <c r="L233" s="1007">
        <v>113400</v>
      </c>
      <c r="M233" s="1007">
        <v>120000</v>
      </c>
      <c r="N233" s="1007">
        <v>80000</v>
      </c>
      <c r="O233" s="361">
        <v>0</v>
      </c>
      <c r="P233" s="412">
        <v>0</v>
      </c>
      <c r="Q233" s="430">
        <v>0</v>
      </c>
      <c r="R233" s="465">
        <v>0</v>
      </c>
      <c r="S233" s="465">
        <v>0</v>
      </c>
      <c r="T233" s="465">
        <v>0</v>
      </c>
      <c r="U233" s="770">
        <f t="shared" si="71"/>
        <v>0</v>
      </c>
      <c r="V233" s="634">
        <f t="shared" si="80"/>
        <v>80000</v>
      </c>
      <c r="W233" s="634">
        <f t="shared" si="72"/>
        <v>80000</v>
      </c>
      <c r="X233" s="634">
        <f t="shared" si="73"/>
        <v>80000</v>
      </c>
    </row>
    <row r="234" spans="2:24" ht="12.75" customHeight="1">
      <c r="B234" s="287"/>
      <c r="C234" s="678"/>
      <c r="D234" s="564"/>
      <c r="E234" s="561" t="s">
        <v>312</v>
      </c>
      <c r="F234" s="754"/>
      <c r="G234" s="562"/>
      <c r="H234" s="1168" t="s">
        <v>1366</v>
      </c>
      <c r="I234" s="1169"/>
      <c r="J234" s="1170"/>
      <c r="K234" s="981">
        <f aca="true" t="shared" si="81" ref="K234:T234">K235</f>
        <v>13100000</v>
      </c>
      <c r="L234" s="981">
        <f t="shared" si="81"/>
        <v>9040861</v>
      </c>
      <c r="M234" s="981">
        <f t="shared" si="81"/>
        <v>13100000</v>
      </c>
      <c r="N234" s="981">
        <f t="shared" si="81"/>
        <v>14950000</v>
      </c>
      <c r="O234" s="289">
        <f t="shared" si="81"/>
        <v>0</v>
      </c>
      <c r="P234" s="289">
        <f t="shared" si="81"/>
        <v>0</v>
      </c>
      <c r="Q234" s="340">
        <f t="shared" si="81"/>
        <v>0</v>
      </c>
      <c r="R234" s="644">
        <f t="shared" si="81"/>
        <v>0</v>
      </c>
      <c r="S234" s="644">
        <f t="shared" si="81"/>
        <v>0</v>
      </c>
      <c r="T234" s="644">
        <f t="shared" si="81"/>
        <v>0</v>
      </c>
      <c r="U234" s="883">
        <f t="shared" si="71"/>
        <v>0</v>
      </c>
      <c r="V234" s="682">
        <f aca="true" t="shared" si="82" ref="V234:V247">SUM(N234:T234)</f>
        <v>14950000</v>
      </c>
      <c r="W234" s="682">
        <f t="shared" si="72"/>
        <v>14950000</v>
      </c>
      <c r="X234" s="682">
        <f t="shared" si="73"/>
        <v>14950000</v>
      </c>
    </row>
    <row r="235" spans="2:24" s="363" customFormat="1" ht="12.75">
      <c r="B235" s="357"/>
      <c r="C235" s="609"/>
      <c r="D235" s="557" t="s">
        <v>22</v>
      </c>
      <c r="E235" s="557"/>
      <c r="F235" s="548"/>
      <c r="G235" s="679"/>
      <c r="H235" s="1162" t="s">
        <v>94</v>
      </c>
      <c r="I235" s="1163"/>
      <c r="J235" s="453"/>
      <c r="K235" s="994">
        <f>SUM(K236:K241)</f>
        <v>13100000</v>
      </c>
      <c r="L235" s="994">
        <f>SUM(L236:L241)</f>
        <v>9040861</v>
      </c>
      <c r="M235" s="994">
        <f>SUM(M236:M241)</f>
        <v>13100000</v>
      </c>
      <c r="N235" s="994">
        <f>SUM(N236:N241)</f>
        <v>14950000</v>
      </c>
      <c r="O235" s="66">
        <f aca="true" t="shared" si="83" ref="O235:T235">SUM(O236:O241)</f>
        <v>0</v>
      </c>
      <c r="P235" s="66">
        <f t="shared" si="83"/>
        <v>0</v>
      </c>
      <c r="Q235" s="345">
        <f t="shared" si="83"/>
        <v>0</v>
      </c>
      <c r="R235" s="683">
        <f t="shared" si="83"/>
        <v>0</v>
      </c>
      <c r="S235" s="683">
        <f t="shared" si="83"/>
        <v>0</v>
      </c>
      <c r="T235" s="683">
        <f t="shared" si="83"/>
        <v>0</v>
      </c>
      <c r="U235" s="885">
        <f t="shared" si="71"/>
        <v>0</v>
      </c>
      <c r="V235" s="382">
        <f t="shared" si="82"/>
        <v>14950000</v>
      </c>
      <c r="W235" s="382">
        <f t="shared" si="72"/>
        <v>14950000</v>
      </c>
      <c r="X235" s="382">
        <f t="shared" si="73"/>
        <v>14950000</v>
      </c>
    </row>
    <row r="236" spans="2:24" s="363" customFormat="1" ht="12.75">
      <c r="B236" s="357"/>
      <c r="C236" s="364"/>
      <c r="D236" s="370"/>
      <c r="E236" s="369"/>
      <c r="F236" s="369" t="s">
        <v>1487</v>
      </c>
      <c r="G236" s="452">
        <v>472</v>
      </c>
      <c r="H236" s="355" t="s">
        <v>1469</v>
      </c>
      <c r="I236" s="450"/>
      <c r="J236" s="451"/>
      <c r="K236" s="788">
        <v>6000000</v>
      </c>
      <c r="L236" s="788">
        <v>3975271.000000001</v>
      </c>
      <c r="M236" s="788">
        <v>6000000</v>
      </c>
      <c r="N236" s="788">
        <v>6000000</v>
      </c>
      <c r="O236" s="361">
        <v>0</v>
      </c>
      <c r="P236" s="418">
        <v>0</v>
      </c>
      <c r="Q236" s="421">
        <v>0</v>
      </c>
      <c r="R236" s="465">
        <v>0</v>
      </c>
      <c r="S236" s="465">
        <v>0</v>
      </c>
      <c r="T236" s="465">
        <v>0</v>
      </c>
      <c r="U236" s="650">
        <f t="shared" si="71"/>
        <v>0</v>
      </c>
      <c r="V236" s="634">
        <f t="shared" si="82"/>
        <v>6000000</v>
      </c>
      <c r="W236" s="634">
        <f t="shared" si="72"/>
        <v>6000000</v>
      </c>
      <c r="X236" s="634">
        <f t="shared" si="73"/>
        <v>6000000</v>
      </c>
    </row>
    <row r="237" spans="2:24" s="363" customFormat="1" ht="12.75">
      <c r="B237" s="357"/>
      <c r="C237" s="364"/>
      <c r="D237" s="370"/>
      <c r="E237" s="369"/>
      <c r="F237" s="369" t="s">
        <v>1488</v>
      </c>
      <c r="G237" s="452">
        <v>472</v>
      </c>
      <c r="H237" s="1182" t="s">
        <v>1451</v>
      </c>
      <c r="I237" s="1183"/>
      <c r="J237" s="1183"/>
      <c r="K237" s="366">
        <v>800000</v>
      </c>
      <c r="L237" s="366">
        <v>613390</v>
      </c>
      <c r="M237" s="366">
        <v>800000</v>
      </c>
      <c r="N237" s="366">
        <v>800000</v>
      </c>
      <c r="O237" s="361">
        <v>0</v>
      </c>
      <c r="P237" s="418">
        <v>0</v>
      </c>
      <c r="Q237" s="421">
        <v>0</v>
      </c>
      <c r="R237" s="465">
        <v>0</v>
      </c>
      <c r="S237" s="465">
        <v>0</v>
      </c>
      <c r="T237" s="465">
        <v>0</v>
      </c>
      <c r="U237" s="650">
        <f t="shared" si="71"/>
        <v>0</v>
      </c>
      <c r="V237" s="634">
        <f t="shared" si="82"/>
        <v>800000</v>
      </c>
      <c r="W237" s="634">
        <f t="shared" si="72"/>
        <v>800000</v>
      </c>
      <c r="X237" s="465">
        <f t="shared" si="73"/>
        <v>800000</v>
      </c>
    </row>
    <row r="238" spans="2:24" s="363" customFormat="1" ht="12.75">
      <c r="B238" s="357"/>
      <c r="C238" s="364"/>
      <c r="D238" s="370"/>
      <c r="E238" s="369"/>
      <c r="F238" s="375">
        <v>174</v>
      </c>
      <c r="G238" s="452">
        <v>472</v>
      </c>
      <c r="H238" s="1182" t="s">
        <v>1452</v>
      </c>
      <c r="I238" s="1183"/>
      <c r="J238" s="1183"/>
      <c r="K238" s="366">
        <v>400000</v>
      </c>
      <c r="L238" s="366">
        <v>160000</v>
      </c>
      <c r="M238" s="366">
        <v>400000</v>
      </c>
      <c r="N238" s="366">
        <v>2000000</v>
      </c>
      <c r="O238" s="361">
        <v>0</v>
      </c>
      <c r="P238" s="418">
        <v>0</v>
      </c>
      <c r="Q238" s="421">
        <v>0</v>
      </c>
      <c r="R238" s="465">
        <v>0</v>
      </c>
      <c r="S238" s="465">
        <v>0</v>
      </c>
      <c r="T238" s="465">
        <v>0</v>
      </c>
      <c r="U238" s="650">
        <f t="shared" si="71"/>
        <v>0</v>
      </c>
      <c r="V238" s="634">
        <f t="shared" si="82"/>
        <v>2000000</v>
      </c>
      <c r="W238" s="634">
        <f t="shared" si="72"/>
        <v>2000000</v>
      </c>
      <c r="X238" s="465">
        <f t="shared" si="73"/>
        <v>2000000</v>
      </c>
    </row>
    <row r="239" spans="2:24" s="363" customFormat="1" ht="12.75">
      <c r="B239" s="357"/>
      <c r="C239" s="364"/>
      <c r="D239" s="370"/>
      <c r="E239" s="369"/>
      <c r="F239" s="375">
        <v>175</v>
      </c>
      <c r="G239" s="452">
        <v>472</v>
      </c>
      <c r="H239" s="1182" t="s">
        <v>1535</v>
      </c>
      <c r="I239" s="1183"/>
      <c r="J239" s="1183"/>
      <c r="K239" s="366">
        <v>200000</v>
      </c>
      <c r="L239" s="366">
        <v>0</v>
      </c>
      <c r="M239" s="366">
        <v>200000</v>
      </c>
      <c r="N239" s="366">
        <v>200000</v>
      </c>
      <c r="O239" s="361">
        <v>0</v>
      </c>
      <c r="P239" s="418">
        <v>0</v>
      </c>
      <c r="Q239" s="421">
        <v>0</v>
      </c>
      <c r="R239" s="465">
        <v>0</v>
      </c>
      <c r="S239" s="465">
        <v>0</v>
      </c>
      <c r="T239" s="465">
        <v>0</v>
      </c>
      <c r="U239" s="770">
        <f t="shared" si="71"/>
        <v>0</v>
      </c>
      <c r="V239" s="634">
        <f t="shared" si="82"/>
        <v>200000</v>
      </c>
      <c r="W239" s="634">
        <f t="shared" si="72"/>
        <v>200000</v>
      </c>
      <c r="X239" s="465">
        <f t="shared" si="73"/>
        <v>200000</v>
      </c>
    </row>
    <row r="240" spans="2:24" s="363" customFormat="1" ht="12.75">
      <c r="B240" s="357"/>
      <c r="C240" s="364"/>
      <c r="D240" s="370"/>
      <c r="E240" s="369"/>
      <c r="F240" s="531">
        <v>176</v>
      </c>
      <c r="G240" s="452">
        <v>472</v>
      </c>
      <c r="H240" s="1182" t="s">
        <v>1453</v>
      </c>
      <c r="I240" s="1183"/>
      <c r="J240" s="1183"/>
      <c r="K240" s="366">
        <v>100000</v>
      </c>
      <c r="L240" s="366">
        <v>0</v>
      </c>
      <c r="M240" s="366">
        <v>100000</v>
      </c>
      <c r="N240" s="366">
        <v>350000</v>
      </c>
      <c r="O240" s="361">
        <v>0</v>
      </c>
      <c r="P240" s="418">
        <v>0</v>
      </c>
      <c r="Q240" s="421">
        <v>0</v>
      </c>
      <c r="R240" s="465">
        <v>0</v>
      </c>
      <c r="S240" s="465">
        <v>0</v>
      </c>
      <c r="T240" s="465">
        <v>0</v>
      </c>
      <c r="U240" s="770">
        <f t="shared" si="71"/>
        <v>0</v>
      </c>
      <c r="V240" s="634">
        <f t="shared" si="82"/>
        <v>350000</v>
      </c>
      <c r="W240" s="634">
        <f t="shared" si="72"/>
        <v>350000</v>
      </c>
      <c r="X240" s="465">
        <f t="shared" si="73"/>
        <v>350000</v>
      </c>
    </row>
    <row r="241" spans="2:24" s="363" customFormat="1" ht="12.75">
      <c r="B241" s="357"/>
      <c r="C241" s="364"/>
      <c r="D241" s="359"/>
      <c r="E241" s="364"/>
      <c r="F241" s="531">
        <v>177</v>
      </c>
      <c r="G241" s="452">
        <v>472</v>
      </c>
      <c r="H241" s="1219" t="s">
        <v>1454</v>
      </c>
      <c r="I241" s="1201"/>
      <c r="J241" s="1220"/>
      <c r="K241" s="1008">
        <v>5600000</v>
      </c>
      <c r="L241" s="1008">
        <v>4292200</v>
      </c>
      <c r="M241" s="1008">
        <v>5600000</v>
      </c>
      <c r="N241" s="1008">
        <v>5600000</v>
      </c>
      <c r="O241" s="361">
        <v>0</v>
      </c>
      <c r="P241" s="418">
        <v>0</v>
      </c>
      <c r="Q241" s="421">
        <v>0</v>
      </c>
      <c r="R241" s="465">
        <v>0</v>
      </c>
      <c r="S241" s="465">
        <v>0</v>
      </c>
      <c r="T241" s="465">
        <v>0</v>
      </c>
      <c r="U241" s="770">
        <f t="shared" si="71"/>
        <v>0</v>
      </c>
      <c r="V241" s="634">
        <f t="shared" si="82"/>
        <v>5600000</v>
      </c>
      <c r="W241" s="634">
        <f t="shared" si="72"/>
        <v>5600000</v>
      </c>
      <c r="X241" s="465">
        <f t="shared" si="73"/>
        <v>5600000</v>
      </c>
    </row>
    <row r="242" spans="2:24" ht="12.75" customHeight="1">
      <c r="B242" s="287"/>
      <c r="C242" s="288"/>
      <c r="D242" s="436"/>
      <c r="E242" s="353" t="s">
        <v>310</v>
      </c>
      <c r="F242" s="436"/>
      <c r="G242" s="437"/>
      <c r="H242" s="1168" t="s">
        <v>1240</v>
      </c>
      <c r="I242" s="1169"/>
      <c r="J242" s="1170"/>
      <c r="K242" s="981">
        <f aca="true" t="shared" si="84" ref="K242:T242">K243</f>
        <v>1870000</v>
      </c>
      <c r="L242" s="981">
        <f t="shared" si="84"/>
        <v>1213500</v>
      </c>
      <c r="M242" s="981">
        <f t="shared" si="84"/>
        <v>2020000</v>
      </c>
      <c r="N242" s="981">
        <f t="shared" si="84"/>
        <v>2020000</v>
      </c>
      <c r="O242" s="293">
        <f t="shared" si="84"/>
        <v>0</v>
      </c>
      <c r="P242" s="293">
        <f t="shared" si="84"/>
        <v>0</v>
      </c>
      <c r="Q242" s="293">
        <f t="shared" si="84"/>
        <v>0</v>
      </c>
      <c r="R242" s="293">
        <f t="shared" si="84"/>
        <v>0</v>
      </c>
      <c r="S242" s="293">
        <f t="shared" si="84"/>
        <v>0</v>
      </c>
      <c r="T242" s="341">
        <f t="shared" si="84"/>
        <v>0</v>
      </c>
      <c r="U242" s="341">
        <f t="shared" si="71"/>
        <v>0</v>
      </c>
      <c r="V242" s="682">
        <f t="shared" si="82"/>
        <v>2020000</v>
      </c>
      <c r="W242" s="682">
        <f t="shared" si="72"/>
        <v>2020000</v>
      </c>
      <c r="X242" s="682">
        <f t="shared" si="73"/>
        <v>2020000</v>
      </c>
    </row>
    <row r="243" spans="2:24" s="363" customFormat="1" ht="12.75">
      <c r="B243" s="357"/>
      <c r="C243" s="364"/>
      <c r="D243" s="182" t="s">
        <v>21</v>
      </c>
      <c r="E243" s="182"/>
      <c r="F243" s="359"/>
      <c r="G243" s="360"/>
      <c r="H243" s="1162" t="s">
        <v>111</v>
      </c>
      <c r="I243" s="1163"/>
      <c r="J243" s="1164"/>
      <c r="K243" s="183">
        <f>SUM(K244:K245)</f>
        <v>1870000</v>
      </c>
      <c r="L243" s="183">
        <f>SUM(L244:L245)</f>
        <v>1213500</v>
      </c>
      <c r="M243" s="183">
        <f>SUM(M244:M245)</f>
        <v>2020000</v>
      </c>
      <c r="N243" s="183">
        <f>SUM(N244:N245)</f>
        <v>2020000</v>
      </c>
      <c r="O243" s="57">
        <f aca="true" t="shared" si="85" ref="O243:T243">SUM(O244:O245)</f>
        <v>0</v>
      </c>
      <c r="P243" s="57">
        <f t="shared" si="85"/>
        <v>0</v>
      </c>
      <c r="Q243" s="57">
        <f t="shared" si="85"/>
        <v>0</v>
      </c>
      <c r="R243" s="57">
        <f t="shared" si="85"/>
        <v>0</v>
      </c>
      <c r="S243" s="57">
        <f t="shared" si="85"/>
        <v>0</v>
      </c>
      <c r="T243" s="346">
        <f t="shared" si="85"/>
        <v>0</v>
      </c>
      <c r="U243" s="345">
        <f t="shared" si="71"/>
        <v>0</v>
      </c>
      <c r="V243" s="382">
        <f t="shared" si="82"/>
        <v>2020000</v>
      </c>
      <c r="W243" s="382">
        <f t="shared" si="72"/>
        <v>2020000</v>
      </c>
      <c r="X243" s="382">
        <f t="shared" si="73"/>
        <v>2020000</v>
      </c>
    </row>
    <row r="244" spans="2:24" s="363" customFormat="1" ht="12.75">
      <c r="B244" s="357"/>
      <c r="C244" s="364"/>
      <c r="D244" s="359"/>
      <c r="E244" s="364"/>
      <c r="F244" s="531">
        <v>178</v>
      </c>
      <c r="G244" s="452">
        <v>481</v>
      </c>
      <c r="H244" s="1165" t="s">
        <v>1449</v>
      </c>
      <c r="I244" s="1166"/>
      <c r="J244" s="1167"/>
      <c r="K244" s="788">
        <v>920000</v>
      </c>
      <c r="L244" s="788">
        <v>681000</v>
      </c>
      <c r="M244" s="788">
        <v>920000</v>
      </c>
      <c r="N244" s="788">
        <v>920000</v>
      </c>
      <c r="O244" s="361">
        <v>0</v>
      </c>
      <c r="P244" s="418">
        <v>0</v>
      </c>
      <c r="Q244" s="418">
        <v>0</v>
      </c>
      <c r="R244" s="421">
        <v>0</v>
      </c>
      <c r="S244" s="418">
        <v>0</v>
      </c>
      <c r="T244" s="421">
        <v>0</v>
      </c>
      <c r="U244" s="424">
        <f t="shared" si="71"/>
        <v>0</v>
      </c>
      <c r="V244" s="634">
        <f t="shared" si="82"/>
        <v>920000</v>
      </c>
      <c r="W244" s="634">
        <f t="shared" si="72"/>
        <v>920000</v>
      </c>
      <c r="X244" s="634">
        <f t="shared" si="73"/>
        <v>920000</v>
      </c>
    </row>
    <row r="245" spans="2:24" s="363" customFormat="1" ht="12.75">
      <c r="B245" s="357"/>
      <c r="C245" s="364"/>
      <c r="D245" s="359"/>
      <c r="E245" s="364"/>
      <c r="F245" s="375">
        <v>179</v>
      </c>
      <c r="G245" s="452">
        <v>472</v>
      </c>
      <c r="H245" s="1165" t="s">
        <v>1450</v>
      </c>
      <c r="I245" s="1166"/>
      <c r="J245" s="1167"/>
      <c r="K245" s="788">
        <v>950000</v>
      </c>
      <c r="L245" s="788">
        <v>532500</v>
      </c>
      <c r="M245" s="788">
        <v>1100000</v>
      </c>
      <c r="N245" s="788">
        <v>1100000</v>
      </c>
      <c r="O245" s="361">
        <v>0</v>
      </c>
      <c r="P245" s="418">
        <v>0</v>
      </c>
      <c r="Q245" s="418">
        <v>0</v>
      </c>
      <c r="R245" s="421">
        <v>0</v>
      </c>
      <c r="S245" s="418">
        <v>0</v>
      </c>
      <c r="T245" s="421">
        <v>0</v>
      </c>
      <c r="U245" s="424">
        <f t="shared" si="71"/>
        <v>0</v>
      </c>
      <c r="V245" s="634">
        <f t="shared" si="82"/>
        <v>1100000</v>
      </c>
      <c r="W245" s="634">
        <f t="shared" si="72"/>
        <v>1100000</v>
      </c>
      <c r="X245" s="634">
        <f t="shared" si="73"/>
        <v>1100000</v>
      </c>
    </row>
    <row r="246" spans="2:24" ht="12.75">
      <c r="B246" s="600"/>
      <c r="C246" s="601"/>
      <c r="D246" s="563"/>
      <c r="E246" s="639" t="s">
        <v>305</v>
      </c>
      <c r="F246" s="563"/>
      <c r="G246" s="437"/>
      <c r="H246" s="1188" t="s">
        <v>1241</v>
      </c>
      <c r="I246" s="1189"/>
      <c r="J246" s="1190"/>
      <c r="K246" s="1004">
        <f>K247+K260</f>
        <v>19024000</v>
      </c>
      <c r="L246" s="1004">
        <f>L247+L260</f>
        <v>8941579.67</v>
      </c>
      <c r="M246" s="1004">
        <f>M247+M260+M257</f>
        <v>19324000</v>
      </c>
      <c r="N246" s="1004">
        <f>N247+N260+N257</f>
        <v>23260897</v>
      </c>
      <c r="O246" s="289">
        <f aca="true" t="shared" si="86" ref="O246:T246">O247+O260</f>
        <v>0</v>
      </c>
      <c r="P246" s="289">
        <f t="shared" si="86"/>
        <v>0</v>
      </c>
      <c r="Q246" s="289">
        <f t="shared" si="86"/>
        <v>0</v>
      </c>
      <c r="R246" s="289">
        <f t="shared" si="86"/>
        <v>0</v>
      </c>
      <c r="S246" s="289">
        <f t="shared" si="86"/>
        <v>0</v>
      </c>
      <c r="T246" s="289">
        <f t="shared" si="86"/>
        <v>0</v>
      </c>
      <c r="U246" s="340">
        <f t="shared" si="71"/>
        <v>0</v>
      </c>
      <c r="V246" s="682">
        <f t="shared" si="82"/>
        <v>23260897</v>
      </c>
      <c r="W246" s="682">
        <f t="shared" si="72"/>
        <v>23260897</v>
      </c>
      <c r="X246" s="682">
        <f t="shared" si="73"/>
        <v>23260897</v>
      </c>
    </row>
    <row r="247" spans="2:24" ht="26.25" customHeight="1">
      <c r="B247" s="603"/>
      <c r="C247" s="604"/>
      <c r="D247" s="564" t="s">
        <v>1197</v>
      </c>
      <c r="E247" s="561" t="s">
        <v>306</v>
      </c>
      <c r="F247" s="564"/>
      <c r="G247" s="562"/>
      <c r="H247" s="1168" t="s">
        <v>1227</v>
      </c>
      <c r="I247" s="1211"/>
      <c r="J247" s="1212"/>
      <c r="K247" s="1009">
        <f aca="true" t="shared" si="87" ref="K247:T247">K248</f>
        <v>18824000</v>
      </c>
      <c r="L247" s="1009">
        <f t="shared" si="87"/>
        <v>8817587.75</v>
      </c>
      <c r="M247" s="1009">
        <f t="shared" si="87"/>
        <v>13324000</v>
      </c>
      <c r="N247" s="1009">
        <f t="shared" si="87"/>
        <v>16100897</v>
      </c>
      <c r="O247" s="293">
        <f t="shared" si="87"/>
        <v>0</v>
      </c>
      <c r="P247" s="293">
        <f t="shared" si="87"/>
        <v>0</v>
      </c>
      <c r="Q247" s="293">
        <f t="shared" si="87"/>
        <v>0</v>
      </c>
      <c r="R247" s="293">
        <f t="shared" si="87"/>
        <v>0</v>
      </c>
      <c r="S247" s="293">
        <f t="shared" si="87"/>
        <v>0</v>
      </c>
      <c r="T247" s="341">
        <f t="shared" si="87"/>
        <v>0</v>
      </c>
      <c r="U247" s="341">
        <f t="shared" si="71"/>
        <v>0</v>
      </c>
      <c r="V247" s="682">
        <f t="shared" si="82"/>
        <v>16100897</v>
      </c>
      <c r="W247" s="682">
        <f t="shared" si="72"/>
        <v>16100897</v>
      </c>
      <c r="X247" s="682">
        <f t="shared" si="73"/>
        <v>16100897</v>
      </c>
    </row>
    <row r="248" spans="2:24" s="23" customFormat="1" ht="12.75">
      <c r="B248" s="606"/>
      <c r="C248" s="607"/>
      <c r="D248" s="554" t="s">
        <v>550</v>
      </c>
      <c r="E248" s="533"/>
      <c r="F248" s="608"/>
      <c r="G248" s="568"/>
      <c r="H248" s="1162" t="s">
        <v>88</v>
      </c>
      <c r="I248" s="1163"/>
      <c r="J248" s="1164"/>
      <c r="K248" s="183">
        <f>SUM(K249:K256)</f>
        <v>18824000</v>
      </c>
      <c r="L248" s="183">
        <f>SUM(L249:L256)</f>
        <v>8817587.75</v>
      </c>
      <c r="M248" s="183">
        <f>SUM(M249:M256)</f>
        <v>13324000</v>
      </c>
      <c r="N248" s="183">
        <f>SUM(N249:N256)</f>
        <v>16100897</v>
      </c>
      <c r="O248" s="605">
        <f aca="true" t="shared" si="88" ref="O248:U248">SUM(O249:O256)</f>
        <v>0</v>
      </c>
      <c r="P248" s="605">
        <f t="shared" si="88"/>
        <v>0</v>
      </c>
      <c r="Q248" s="605">
        <f t="shared" si="88"/>
        <v>0</v>
      </c>
      <c r="R248" s="605">
        <f t="shared" si="88"/>
        <v>0</v>
      </c>
      <c r="S248" s="605">
        <f t="shared" si="88"/>
        <v>0</v>
      </c>
      <c r="T248" s="605">
        <f t="shared" si="88"/>
        <v>0</v>
      </c>
      <c r="U248" s="886">
        <f t="shared" si="88"/>
        <v>0</v>
      </c>
      <c r="V248" s="905">
        <f>N248</f>
        <v>16100897</v>
      </c>
      <c r="W248" s="905">
        <f t="shared" si="72"/>
        <v>16100897</v>
      </c>
      <c r="X248" s="905">
        <f t="shared" si="73"/>
        <v>16100897</v>
      </c>
    </row>
    <row r="249" spans="2:24" ht="12.75">
      <c r="B249" s="532"/>
      <c r="C249" s="602"/>
      <c r="D249" s="533"/>
      <c r="E249" s="533"/>
      <c r="F249" s="531">
        <v>180</v>
      </c>
      <c r="G249" s="441">
        <v>464</v>
      </c>
      <c r="H249" s="1227" t="s">
        <v>112</v>
      </c>
      <c r="I249" s="1228"/>
      <c r="J249" s="1229"/>
      <c r="K249" s="979">
        <v>4118650</v>
      </c>
      <c r="L249" s="979">
        <v>2661457.4499999997</v>
      </c>
      <c r="M249" s="979">
        <v>4118650</v>
      </c>
      <c r="N249" s="979">
        <v>2000000</v>
      </c>
      <c r="O249" s="361">
        <v>0</v>
      </c>
      <c r="P249" s="468">
        <v>0</v>
      </c>
      <c r="Q249" s="468">
        <v>0</v>
      </c>
      <c r="R249" s="468">
        <v>0</v>
      </c>
      <c r="S249" s="468">
        <v>0</v>
      </c>
      <c r="T249" s="468">
        <v>0</v>
      </c>
      <c r="U249" s="426">
        <f t="shared" si="71"/>
        <v>0</v>
      </c>
      <c r="V249" s="809">
        <f>SUM(N249:T249)</f>
        <v>2000000</v>
      </c>
      <c r="W249" s="809">
        <f t="shared" si="72"/>
        <v>2000000</v>
      </c>
      <c r="X249" s="809">
        <f t="shared" si="73"/>
        <v>2000000</v>
      </c>
    </row>
    <row r="250" spans="2:24" ht="12.75">
      <c r="B250" s="532"/>
      <c r="C250" s="602"/>
      <c r="D250" s="533"/>
      <c r="E250" s="533"/>
      <c r="F250" s="531">
        <v>181</v>
      </c>
      <c r="G250" s="441">
        <v>464</v>
      </c>
      <c r="H250" s="1227" t="s">
        <v>113</v>
      </c>
      <c r="I250" s="1228"/>
      <c r="J250" s="1229"/>
      <c r="K250" s="979">
        <v>703150</v>
      </c>
      <c r="L250" s="979">
        <v>544350.73</v>
      </c>
      <c r="M250" s="979">
        <v>703150</v>
      </c>
      <c r="N250" s="979">
        <v>320000</v>
      </c>
      <c r="O250" s="361">
        <v>0</v>
      </c>
      <c r="P250" s="468">
        <v>0</v>
      </c>
      <c r="Q250" s="468">
        <v>0</v>
      </c>
      <c r="R250" s="468">
        <v>0</v>
      </c>
      <c r="S250" s="468">
        <v>0</v>
      </c>
      <c r="T250" s="468">
        <v>0</v>
      </c>
      <c r="U250" s="426">
        <f t="shared" si="71"/>
        <v>0</v>
      </c>
      <c r="V250" s="809">
        <f>SUM(N250:T250)</f>
        <v>320000</v>
      </c>
      <c r="W250" s="809">
        <f t="shared" si="72"/>
        <v>320000</v>
      </c>
      <c r="X250" s="809">
        <f t="shared" si="73"/>
        <v>320000</v>
      </c>
    </row>
    <row r="251" spans="2:24" ht="12.75">
      <c r="B251" s="532"/>
      <c r="C251" s="602"/>
      <c r="D251" s="533"/>
      <c r="E251" s="533"/>
      <c r="F251" s="865">
        <v>183</v>
      </c>
      <c r="G251" s="441">
        <v>464</v>
      </c>
      <c r="H251" s="1179" t="s">
        <v>99</v>
      </c>
      <c r="I251" s="1180"/>
      <c r="J251" s="1181"/>
      <c r="K251" s="979">
        <v>140000</v>
      </c>
      <c r="L251" s="979">
        <v>40925.78</v>
      </c>
      <c r="M251" s="979">
        <v>140000</v>
      </c>
      <c r="N251" s="979">
        <v>240000</v>
      </c>
      <c r="O251" s="361">
        <v>0</v>
      </c>
      <c r="P251" s="468">
        <v>0</v>
      </c>
      <c r="Q251" s="468">
        <v>0</v>
      </c>
      <c r="R251" s="426">
        <v>0</v>
      </c>
      <c r="S251" s="468">
        <v>0</v>
      </c>
      <c r="T251" s="426">
        <v>0</v>
      </c>
      <c r="U251" s="469">
        <v>0</v>
      </c>
      <c r="V251" s="809">
        <v>0</v>
      </c>
      <c r="W251" s="809">
        <f t="shared" si="72"/>
        <v>0</v>
      </c>
      <c r="X251" s="809">
        <f t="shared" si="73"/>
        <v>0</v>
      </c>
    </row>
    <row r="252" spans="2:24" ht="12.75">
      <c r="B252" s="438"/>
      <c r="C252" s="439"/>
      <c r="D252" s="467"/>
      <c r="E252" s="467"/>
      <c r="F252" s="865">
        <v>184</v>
      </c>
      <c r="G252" s="360">
        <v>464</v>
      </c>
      <c r="H252" s="355" t="s">
        <v>102</v>
      </c>
      <c r="I252" s="450"/>
      <c r="J252" s="451"/>
      <c r="K252" s="788">
        <v>1200000</v>
      </c>
      <c r="L252" s="788">
        <v>860521.3100000002</v>
      </c>
      <c r="M252" s="788">
        <v>1500000</v>
      </c>
      <c r="N252" s="788">
        <v>4250000</v>
      </c>
      <c r="O252" s="361">
        <v>0</v>
      </c>
      <c r="P252" s="468">
        <v>0</v>
      </c>
      <c r="Q252" s="468">
        <v>0</v>
      </c>
      <c r="R252" s="426">
        <v>0</v>
      </c>
      <c r="S252" s="418">
        <v>0</v>
      </c>
      <c r="T252" s="426">
        <v>0</v>
      </c>
      <c r="U252" s="469">
        <f t="shared" si="71"/>
        <v>0</v>
      </c>
      <c r="V252" s="809">
        <f>SUM(N252:T252)</f>
        <v>4250000</v>
      </c>
      <c r="W252" s="809">
        <f t="shared" si="72"/>
        <v>4250000</v>
      </c>
      <c r="X252" s="809">
        <f t="shared" si="73"/>
        <v>4250000</v>
      </c>
    </row>
    <row r="253" spans="2:24" ht="12.75">
      <c r="B253" s="438"/>
      <c r="C253" s="439"/>
      <c r="D253" s="467"/>
      <c r="E253" s="467"/>
      <c r="F253" s="531">
        <v>185</v>
      </c>
      <c r="G253" s="360">
        <v>464</v>
      </c>
      <c r="H253" s="355" t="s">
        <v>104</v>
      </c>
      <c r="I253" s="450"/>
      <c r="J253" s="451"/>
      <c r="K253" s="1008">
        <v>350000</v>
      </c>
      <c r="L253" s="1008">
        <v>85709.48</v>
      </c>
      <c r="M253" s="1008">
        <v>350000</v>
      </c>
      <c r="N253" s="1008">
        <v>750000</v>
      </c>
      <c r="O253" s="361">
        <v>0</v>
      </c>
      <c r="P253" s="468">
        <v>0</v>
      </c>
      <c r="Q253" s="468">
        <v>0</v>
      </c>
      <c r="R253" s="426">
        <v>0</v>
      </c>
      <c r="S253" s="418">
        <v>0</v>
      </c>
      <c r="T253" s="426">
        <v>0</v>
      </c>
      <c r="U253" s="469">
        <f t="shared" si="71"/>
        <v>0</v>
      </c>
      <c r="V253" s="809">
        <f>SUM(N253:T253)</f>
        <v>750000</v>
      </c>
      <c r="W253" s="809">
        <f t="shared" si="72"/>
        <v>750000</v>
      </c>
      <c r="X253" s="809">
        <f t="shared" si="73"/>
        <v>750000</v>
      </c>
    </row>
    <row r="254" spans="2:24" ht="12.75">
      <c r="B254" s="438"/>
      <c r="C254" s="439"/>
      <c r="D254" s="467"/>
      <c r="E254" s="467"/>
      <c r="F254" s="865">
        <v>187</v>
      </c>
      <c r="G254" s="360">
        <v>464</v>
      </c>
      <c r="H254" s="355" t="s">
        <v>1422</v>
      </c>
      <c r="I254" s="450"/>
      <c r="J254" s="450"/>
      <c r="K254" s="989">
        <v>100000</v>
      </c>
      <c r="L254" s="989">
        <v>0</v>
      </c>
      <c r="M254" s="989">
        <v>100000</v>
      </c>
      <c r="N254" s="989">
        <v>200000</v>
      </c>
      <c r="O254" s="361">
        <v>0</v>
      </c>
      <c r="P254" s="468">
        <v>0</v>
      </c>
      <c r="Q254" s="468">
        <v>0</v>
      </c>
      <c r="R254" s="426">
        <v>0</v>
      </c>
      <c r="S254" s="418">
        <v>0</v>
      </c>
      <c r="T254" s="426">
        <v>0</v>
      </c>
      <c r="U254" s="469">
        <f t="shared" si="71"/>
        <v>0</v>
      </c>
      <c r="V254" s="809">
        <f>SUM(N254:T254)</f>
        <v>200000</v>
      </c>
      <c r="W254" s="809">
        <f t="shared" si="72"/>
        <v>200000</v>
      </c>
      <c r="X254" s="809">
        <f t="shared" si="73"/>
        <v>200000</v>
      </c>
    </row>
    <row r="255" spans="2:24" s="363" customFormat="1" ht="12.75">
      <c r="B255" s="862"/>
      <c r="C255" s="495"/>
      <c r="D255" s="548"/>
      <c r="E255" s="495"/>
      <c r="F255" s="865">
        <v>188</v>
      </c>
      <c r="G255" s="548">
        <v>464</v>
      </c>
      <c r="H255" s="1233" t="s">
        <v>107</v>
      </c>
      <c r="I255" s="1233"/>
      <c r="J255" s="870"/>
      <c r="K255" s="988">
        <v>6200000</v>
      </c>
      <c r="L255" s="988">
        <v>115526.04</v>
      </c>
      <c r="M255" s="988">
        <v>400000</v>
      </c>
      <c r="N255" s="988">
        <v>800000</v>
      </c>
      <c r="O255" s="361">
        <v>0</v>
      </c>
      <c r="P255" s="418">
        <v>0</v>
      </c>
      <c r="Q255" s="418">
        <v>0</v>
      </c>
      <c r="R255" s="421">
        <v>0</v>
      </c>
      <c r="S255" s="418">
        <v>0</v>
      </c>
      <c r="T255" s="421">
        <v>0</v>
      </c>
      <c r="U255" s="424">
        <f t="shared" si="71"/>
        <v>0</v>
      </c>
      <c r="V255" s="634">
        <f>SUM(N255:T255)</f>
        <v>800000</v>
      </c>
      <c r="W255" s="634">
        <f t="shared" si="72"/>
        <v>800000</v>
      </c>
      <c r="X255" s="634">
        <f t="shared" si="73"/>
        <v>800000</v>
      </c>
    </row>
    <row r="256" spans="2:24" s="363" customFormat="1" ht="12.75">
      <c r="B256" s="463"/>
      <c r="C256" s="495"/>
      <c r="D256" s="548"/>
      <c r="E256" s="495"/>
      <c r="F256" s="865">
        <v>189</v>
      </c>
      <c r="G256" s="1134">
        <v>464</v>
      </c>
      <c r="H256" s="1135" t="s">
        <v>1490</v>
      </c>
      <c r="I256" s="1135"/>
      <c r="J256" s="1136"/>
      <c r="K256" s="988">
        <v>6012200</v>
      </c>
      <c r="L256" s="988">
        <v>4509096.96</v>
      </c>
      <c r="M256" s="988">
        <v>6012200</v>
      </c>
      <c r="N256" s="988">
        <v>7540897</v>
      </c>
      <c r="O256" s="414">
        <v>0</v>
      </c>
      <c r="P256" s="412">
        <v>0</v>
      </c>
      <c r="Q256" s="412">
        <v>0</v>
      </c>
      <c r="R256" s="430">
        <v>0</v>
      </c>
      <c r="S256" s="412">
        <v>0</v>
      </c>
      <c r="T256" s="430">
        <v>0</v>
      </c>
      <c r="U256" s="430">
        <v>0</v>
      </c>
      <c r="V256" s="634">
        <f>SUM(N256:T256)</f>
        <v>7540897</v>
      </c>
      <c r="W256" s="634">
        <f t="shared" si="72"/>
        <v>7540897</v>
      </c>
      <c r="X256" s="634">
        <f t="shared" si="73"/>
        <v>7540897</v>
      </c>
    </row>
    <row r="257" spans="2:25" s="363" customFormat="1" ht="29.25" customHeight="1">
      <c r="B257" s="561"/>
      <c r="C257" s="1138"/>
      <c r="D257" s="1139"/>
      <c r="E257" s="1138" t="s">
        <v>1544</v>
      </c>
      <c r="F257" s="1139"/>
      <c r="G257" s="1140"/>
      <c r="H257" s="1240" t="s">
        <v>1545</v>
      </c>
      <c r="I257" s="1241"/>
      <c r="J257" s="1242"/>
      <c r="K257" s="1146">
        <v>0</v>
      </c>
      <c r="L257" s="1146">
        <v>0</v>
      </c>
      <c r="M257" s="1146">
        <f>M258</f>
        <v>5800000</v>
      </c>
      <c r="N257" s="1146">
        <f>N258</f>
        <v>6960000</v>
      </c>
      <c r="O257" s="1148">
        <v>0</v>
      </c>
      <c r="P257" s="1147">
        <v>0</v>
      </c>
      <c r="Q257" s="1147">
        <v>0</v>
      </c>
      <c r="R257" s="1149">
        <v>0</v>
      </c>
      <c r="S257" s="1147">
        <v>0</v>
      </c>
      <c r="T257" s="1149">
        <v>0</v>
      </c>
      <c r="U257" s="1149">
        <v>0</v>
      </c>
      <c r="V257" s="1150">
        <f>SUM(N257:U257)</f>
        <v>6960000</v>
      </c>
      <c r="W257" s="1156">
        <f t="shared" si="72"/>
        <v>6960000</v>
      </c>
      <c r="X257" s="1156">
        <f t="shared" si="73"/>
        <v>6960000</v>
      </c>
      <c r="Y257" s="410"/>
    </row>
    <row r="258" spans="2:24" s="363" customFormat="1" ht="15.75" customHeight="1">
      <c r="B258" s="1142"/>
      <c r="C258" s="1142"/>
      <c r="D258" s="1154">
        <v>740</v>
      </c>
      <c r="E258" s="1142"/>
      <c r="F258" s="865"/>
      <c r="G258" s="865"/>
      <c r="H258" s="1234" t="s">
        <v>88</v>
      </c>
      <c r="I258" s="1235"/>
      <c r="J258" s="1236"/>
      <c r="K258" s="1151">
        <v>0</v>
      </c>
      <c r="L258" s="1151">
        <v>0</v>
      </c>
      <c r="M258" s="1151">
        <f>M259</f>
        <v>5800000</v>
      </c>
      <c r="N258" s="1151">
        <f>N259</f>
        <v>6960000</v>
      </c>
      <c r="O258" s="905">
        <v>0</v>
      </c>
      <c r="P258" s="1152">
        <v>0</v>
      </c>
      <c r="Q258" s="1152">
        <v>0</v>
      </c>
      <c r="R258" s="1152">
        <v>0</v>
      </c>
      <c r="S258" s="1152">
        <v>0</v>
      </c>
      <c r="T258" s="1152">
        <v>0</v>
      </c>
      <c r="U258" s="1152">
        <v>0</v>
      </c>
      <c r="V258" s="1153">
        <f>SUM(N258:U258)</f>
        <v>6960000</v>
      </c>
      <c r="W258" s="1153">
        <f>SUM(O258:V258)</f>
        <v>6960000</v>
      </c>
      <c r="X258" s="1153">
        <f>V258</f>
        <v>6960000</v>
      </c>
    </row>
    <row r="259" spans="2:24" s="363" customFormat="1" ht="15.75" customHeight="1">
      <c r="B259" s="1142"/>
      <c r="C259" s="1137"/>
      <c r="D259" s="1133"/>
      <c r="E259" s="1137"/>
      <c r="F259" s="1133">
        <v>190</v>
      </c>
      <c r="G259" s="865">
        <v>512</v>
      </c>
      <c r="H259" s="1237" t="s">
        <v>1568</v>
      </c>
      <c r="I259" s="1235"/>
      <c r="J259" s="1236"/>
      <c r="K259" s="1143">
        <v>0</v>
      </c>
      <c r="L259" s="1143">
        <v>0</v>
      </c>
      <c r="M259" s="1143">
        <v>5800000</v>
      </c>
      <c r="N259" s="1143">
        <v>6960000</v>
      </c>
      <c r="O259" s="1145">
        <v>0</v>
      </c>
      <c r="P259" s="1144">
        <v>0</v>
      </c>
      <c r="Q259" s="1144">
        <v>0</v>
      </c>
      <c r="R259" s="1144">
        <v>0</v>
      </c>
      <c r="S259" s="1144">
        <v>0</v>
      </c>
      <c r="T259" s="1144">
        <v>0</v>
      </c>
      <c r="U259" s="1144">
        <v>0</v>
      </c>
      <c r="V259" s="902">
        <f>SUM(N259:U259)</f>
        <v>6960000</v>
      </c>
      <c r="W259" s="902">
        <f>SUM(O259:V259)</f>
        <v>6960000</v>
      </c>
      <c r="X259" s="1153">
        <f>V259</f>
        <v>6960000</v>
      </c>
    </row>
    <row r="260" spans="2:24" ht="15" customHeight="1">
      <c r="B260" s="603"/>
      <c r="C260" s="863"/>
      <c r="D260" s="754" t="s">
        <v>1197</v>
      </c>
      <c r="E260" s="864" t="s">
        <v>1243</v>
      </c>
      <c r="F260" s="754"/>
      <c r="G260" s="562"/>
      <c r="H260" s="1245" t="s">
        <v>1244</v>
      </c>
      <c r="I260" s="1246"/>
      <c r="J260" s="1246"/>
      <c r="K260" s="1010">
        <f aca="true" t="shared" si="89" ref="K260:T261">K261</f>
        <v>200000</v>
      </c>
      <c r="L260" s="1010">
        <f t="shared" si="89"/>
        <v>123991.92000000001</v>
      </c>
      <c r="M260" s="1010">
        <f t="shared" si="89"/>
        <v>200000</v>
      </c>
      <c r="N260" s="1010">
        <f t="shared" si="89"/>
        <v>200000</v>
      </c>
      <c r="O260" s="293">
        <f t="shared" si="89"/>
        <v>0</v>
      </c>
      <c r="P260" s="293">
        <f t="shared" si="89"/>
        <v>0</v>
      </c>
      <c r="Q260" s="293">
        <f t="shared" si="89"/>
        <v>0</v>
      </c>
      <c r="R260" s="293">
        <f t="shared" si="89"/>
        <v>0</v>
      </c>
      <c r="S260" s="293">
        <f t="shared" si="89"/>
        <v>0</v>
      </c>
      <c r="T260" s="341">
        <f t="shared" si="89"/>
        <v>0</v>
      </c>
      <c r="U260" s="341">
        <f t="shared" si="71"/>
        <v>0</v>
      </c>
      <c r="V260" s="1141">
        <f aca="true" t="shared" si="90" ref="V260:V276">SUM(N260:T260)</f>
        <v>200000</v>
      </c>
      <c r="W260" s="682">
        <f t="shared" si="72"/>
        <v>200000</v>
      </c>
      <c r="X260" s="682">
        <f t="shared" si="73"/>
        <v>200000</v>
      </c>
    </row>
    <row r="261" spans="2:24" ht="12.75">
      <c r="B261" s="438"/>
      <c r="C261" s="439"/>
      <c r="D261" s="56">
        <v>721</v>
      </c>
      <c r="E261" s="182"/>
      <c r="F261" s="359"/>
      <c r="G261" s="360"/>
      <c r="H261" s="74" t="s">
        <v>343</v>
      </c>
      <c r="I261" s="75"/>
      <c r="J261" s="457"/>
      <c r="K261" s="1011">
        <f t="shared" si="89"/>
        <v>200000</v>
      </c>
      <c r="L261" s="1011">
        <f t="shared" si="89"/>
        <v>123991.92000000001</v>
      </c>
      <c r="M261" s="1011">
        <f t="shared" si="89"/>
        <v>200000</v>
      </c>
      <c r="N261" s="1011">
        <f t="shared" si="89"/>
        <v>200000</v>
      </c>
      <c r="O261" s="69">
        <f aca="true" t="shared" si="91" ref="O261:T261">O262</f>
        <v>0</v>
      </c>
      <c r="P261" s="69">
        <f t="shared" si="91"/>
        <v>0</v>
      </c>
      <c r="Q261" s="69">
        <f t="shared" si="91"/>
        <v>0</v>
      </c>
      <c r="R261" s="69">
        <f t="shared" si="91"/>
        <v>0</v>
      </c>
      <c r="S261" s="69">
        <f t="shared" si="91"/>
        <v>0</v>
      </c>
      <c r="T261" s="69">
        <f t="shared" si="91"/>
        <v>0</v>
      </c>
      <c r="U261" s="344">
        <f t="shared" si="71"/>
        <v>0</v>
      </c>
      <c r="V261" s="896">
        <f t="shared" si="90"/>
        <v>200000</v>
      </c>
      <c r="W261" s="896">
        <f t="shared" si="72"/>
        <v>200000</v>
      </c>
      <c r="X261" s="896">
        <f t="shared" si="73"/>
        <v>200000</v>
      </c>
    </row>
    <row r="262" spans="2:24" s="363" customFormat="1" ht="12.75">
      <c r="B262" s="357"/>
      <c r="C262" s="364"/>
      <c r="D262" s="359"/>
      <c r="E262" s="364"/>
      <c r="F262" s="375">
        <v>191</v>
      </c>
      <c r="G262" s="452">
        <v>424</v>
      </c>
      <c r="H262" s="1227" t="s">
        <v>1423</v>
      </c>
      <c r="I262" s="1228"/>
      <c r="J262" s="1228"/>
      <c r="K262" s="1007">
        <v>200000</v>
      </c>
      <c r="L262" s="1007">
        <v>123991.92000000001</v>
      </c>
      <c r="M262" s="1007">
        <v>200000</v>
      </c>
      <c r="N262" s="1007">
        <v>200000</v>
      </c>
      <c r="O262" s="361">
        <v>0</v>
      </c>
      <c r="P262" s="418">
        <v>0</v>
      </c>
      <c r="Q262" s="418">
        <v>0</v>
      </c>
      <c r="R262" s="421">
        <v>0</v>
      </c>
      <c r="S262" s="421">
        <v>0</v>
      </c>
      <c r="T262" s="421">
        <v>0</v>
      </c>
      <c r="U262" s="421">
        <f t="shared" si="71"/>
        <v>0</v>
      </c>
      <c r="V262" s="634">
        <f t="shared" si="90"/>
        <v>200000</v>
      </c>
      <c r="W262" s="634">
        <f t="shared" si="72"/>
        <v>200000</v>
      </c>
      <c r="X262" s="634">
        <f t="shared" si="73"/>
        <v>200000</v>
      </c>
    </row>
    <row r="263" spans="2:24" ht="12.75">
      <c r="B263" s="287"/>
      <c r="C263" s="288"/>
      <c r="D263" s="436"/>
      <c r="E263" s="636" t="s">
        <v>317</v>
      </c>
      <c r="F263" s="436"/>
      <c r="G263" s="437"/>
      <c r="H263" s="1188" t="s">
        <v>1245</v>
      </c>
      <c r="I263" s="1189"/>
      <c r="J263" s="1190"/>
      <c r="K263" s="1004">
        <f>K264+K277</f>
        <v>17000000</v>
      </c>
      <c r="L263" s="1004">
        <f>L264+L277</f>
        <v>6395565.600000001</v>
      </c>
      <c r="M263" s="1004">
        <f>M264+M277</f>
        <v>17000000</v>
      </c>
      <c r="N263" s="1004">
        <f>N264+N277</f>
        <v>19000000</v>
      </c>
      <c r="O263" s="289">
        <f aca="true" t="shared" si="92" ref="O263:T263">O264+O277</f>
        <v>0</v>
      </c>
      <c r="P263" s="289">
        <f t="shared" si="92"/>
        <v>0</v>
      </c>
      <c r="Q263" s="289">
        <f t="shared" si="92"/>
        <v>0</v>
      </c>
      <c r="R263" s="289">
        <f t="shared" si="92"/>
        <v>43000000</v>
      </c>
      <c r="S263" s="289">
        <f t="shared" si="92"/>
        <v>0</v>
      </c>
      <c r="T263" s="289">
        <f t="shared" si="92"/>
        <v>0</v>
      </c>
      <c r="U263" s="340">
        <f t="shared" si="71"/>
        <v>43000000</v>
      </c>
      <c r="V263" s="682">
        <f t="shared" si="90"/>
        <v>62000000</v>
      </c>
      <c r="W263" s="682">
        <f t="shared" si="72"/>
        <v>62000000</v>
      </c>
      <c r="X263" s="682">
        <f t="shared" si="73"/>
        <v>62000000</v>
      </c>
    </row>
    <row r="264" spans="2:24" ht="26.25" customHeight="1">
      <c r="B264" s="287"/>
      <c r="C264" s="288"/>
      <c r="D264" s="436"/>
      <c r="E264" s="353" t="s">
        <v>318</v>
      </c>
      <c r="F264" s="436"/>
      <c r="G264" s="437"/>
      <c r="H264" s="1168" t="s">
        <v>1246</v>
      </c>
      <c r="I264" s="1169"/>
      <c r="J264" s="1170"/>
      <c r="K264" s="981">
        <f>K265</f>
        <v>14000000</v>
      </c>
      <c r="L264" s="981">
        <f>L265</f>
        <v>6394208.4</v>
      </c>
      <c r="M264" s="981">
        <f>M265</f>
        <v>14000000</v>
      </c>
      <c r="N264" s="981">
        <f>N265</f>
        <v>14500000</v>
      </c>
      <c r="O264" s="293">
        <f aca="true" t="shared" si="93" ref="O264:T264">O265</f>
        <v>0</v>
      </c>
      <c r="P264" s="293">
        <f t="shared" si="93"/>
        <v>0</v>
      </c>
      <c r="Q264" s="293">
        <f t="shared" si="93"/>
        <v>0</v>
      </c>
      <c r="R264" s="293">
        <f t="shared" si="93"/>
        <v>43000000</v>
      </c>
      <c r="S264" s="293">
        <f t="shared" si="93"/>
        <v>0</v>
      </c>
      <c r="T264" s="293">
        <f t="shared" si="93"/>
        <v>0</v>
      </c>
      <c r="U264" s="341">
        <f t="shared" si="71"/>
        <v>43000000</v>
      </c>
      <c r="V264" s="682">
        <f t="shared" si="90"/>
        <v>57500000</v>
      </c>
      <c r="W264" s="682">
        <f t="shared" si="72"/>
        <v>57500000</v>
      </c>
      <c r="X264" s="682">
        <f t="shared" si="73"/>
        <v>57500000</v>
      </c>
    </row>
    <row r="265" spans="2:24" ht="12.75">
      <c r="B265" s="438"/>
      <c r="C265" s="439"/>
      <c r="D265" s="56">
        <v>420</v>
      </c>
      <c r="E265" s="182"/>
      <c r="F265" s="359"/>
      <c r="G265" s="360"/>
      <c r="H265" s="74" t="s">
        <v>214</v>
      </c>
      <c r="I265" s="75"/>
      <c r="J265" s="453"/>
      <c r="K265" s="994">
        <f>SUM(K266:K276)</f>
        <v>14000000</v>
      </c>
      <c r="L265" s="994">
        <f>SUM(L266:L276)</f>
        <v>6394208.4</v>
      </c>
      <c r="M265" s="994">
        <f>SUM(M266:M276)</f>
        <v>14000000</v>
      </c>
      <c r="N265" s="994">
        <f>SUM(N266:N276)</f>
        <v>14500000</v>
      </c>
      <c r="O265" s="558">
        <f aca="true" t="shared" si="94" ref="O265:T265">SUM(O266:O276)</f>
        <v>0</v>
      </c>
      <c r="P265" s="558">
        <f t="shared" si="94"/>
        <v>0</v>
      </c>
      <c r="Q265" s="558">
        <f t="shared" si="94"/>
        <v>0</v>
      </c>
      <c r="R265" s="558">
        <f t="shared" si="94"/>
        <v>43000000</v>
      </c>
      <c r="S265" s="558">
        <f t="shared" si="94"/>
        <v>0</v>
      </c>
      <c r="T265" s="558">
        <f t="shared" si="94"/>
        <v>0</v>
      </c>
      <c r="U265" s="887">
        <f t="shared" si="71"/>
        <v>43000000</v>
      </c>
      <c r="V265" s="896">
        <f t="shared" si="90"/>
        <v>57500000</v>
      </c>
      <c r="W265" s="896">
        <f t="shared" si="72"/>
        <v>57500000</v>
      </c>
      <c r="X265" s="896">
        <f t="shared" si="73"/>
        <v>57500000</v>
      </c>
    </row>
    <row r="266" spans="2:24" s="526" customFormat="1" ht="12.75">
      <c r="B266" s="527"/>
      <c r="C266" s="460"/>
      <c r="D266" s="528"/>
      <c r="E266" s="460"/>
      <c r="F266" s="528">
        <v>192</v>
      </c>
      <c r="G266" s="442">
        <v>421</v>
      </c>
      <c r="H266" s="1216" t="s">
        <v>222</v>
      </c>
      <c r="I266" s="1217"/>
      <c r="J266" s="1218"/>
      <c r="K266" s="990">
        <v>300000</v>
      </c>
      <c r="L266" s="990">
        <v>22336.75</v>
      </c>
      <c r="M266" s="990">
        <v>300000</v>
      </c>
      <c r="N266" s="990">
        <v>300000</v>
      </c>
      <c r="O266" s="361">
        <v>0</v>
      </c>
      <c r="P266" s="529">
        <v>0</v>
      </c>
      <c r="Q266" s="529">
        <v>0</v>
      </c>
      <c r="R266" s="423">
        <v>0</v>
      </c>
      <c r="S266" s="421">
        <v>0</v>
      </c>
      <c r="T266" s="423">
        <v>0</v>
      </c>
      <c r="U266" s="423">
        <f t="shared" si="71"/>
        <v>0</v>
      </c>
      <c r="V266" s="902">
        <f t="shared" si="90"/>
        <v>300000</v>
      </c>
      <c r="W266" s="902">
        <f t="shared" si="72"/>
        <v>300000</v>
      </c>
      <c r="X266" s="902">
        <f t="shared" si="73"/>
        <v>300000</v>
      </c>
    </row>
    <row r="267" spans="2:24" s="363" customFormat="1" ht="12.75">
      <c r="B267" s="357"/>
      <c r="C267" s="364"/>
      <c r="D267" s="365"/>
      <c r="E267" s="358"/>
      <c r="F267" s="528">
        <v>193</v>
      </c>
      <c r="G267" s="360">
        <v>423</v>
      </c>
      <c r="H267" s="1182" t="s">
        <v>1424</v>
      </c>
      <c r="I267" s="1183"/>
      <c r="J267" s="1184"/>
      <c r="K267" s="788">
        <v>2500000</v>
      </c>
      <c r="L267" s="788">
        <v>2500000</v>
      </c>
      <c r="M267" s="788">
        <v>2500000</v>
      </c>
      <c r="N267" s="788">
        <v>3000000</v>
      </c>
      <c r="O267" s="361">
        <v>0</v>
      </c>
      <c r="P267" s="458">
        <v>0</v>
      </c>
      <c r="Q267" s="458">
        <v>0</v>
      </c>
      <c r="R267" s="425">
        <v>1000000</v>
      </c>
      <c r="S267" s="421">
        <v>0</v>
      </c>
      <c r="T267" s="425">
        <v>0</v>
      </c>
      <c r="U267" s="362">
        <f t="shared" si="71"/>
        <v>1000000</v>
      </c>
      <c r="V267" s="383">
        <f t="shared" si="90"/>
        <v>4000000</v>
      </c>
      <c r="W267" s="383">
        <f aca="true" t="shared" si="95" ref="W267:W329">V267</f>
        <v>4000000</v>
      </c>
      <c r="X267" s="383">
        <f aca="true" t="shared" si="96" ref="X267:X329">V267</f>
        <v>4000000</v>
      </c>
    </row>
    <row r="268" spans="2:24" s="363" customFormat="1" ht="12.75">
      <c r="B268" s="357"/>
      <c r="C268" s="364"/>
      <c r="D268" s="359"/>
      <c r="E268" s="364"/>
      <c r="F268" s="528">
        <v>194</v>
      </c>
      <c r="G268" s="452">
        <v>424</v>
      </c>
      <c r="H268" s="1165" t="s">
        <v>1429</v>
      </c>
      <c r="I268" s="1166"/>
      <c r="J268" s="1167"/>
      <c r="K268" s="788">
        <v>0</v>
      </c>
      <c r="L268" s="788">
        <v>0</v>
      </c>
      <c r="M268" s="788">
        <v>0</v>
      </c>
      <c r="N268" s="788">
        <v>0</v>
      </c>
      <c r="O268" s="361">
        <v>0</v>
      </c>
      <c r="P268" s="418">
        <v>0</v>
      </c>
      <c r="Q268" s="418">
        <v>0</v>
      </c>
      <c r="R268" s="425">
        <v>2000000</v>
      </c>
      <c r="S268" s="421">
        <v>0</v>
      </c>
      <c r="T268" s="426">
        <v>0</v>
      </c>
      <c r="U268" s="426">
        <f t="shared" si="71"/>
        <v>2000000</v>
      </c>
      <c r="V268" s="634">
        <f t="shared" si="90"/>
        <v>2000000</v>
      </c>
      <c r="W268" s="634">
        <f t="shared" si="95"/>
        <v>2000000</v>
      </c>
      <c r="X268" s="634">
        <f t="shared" si="96"/>
        <v>2000000</v>
      </c>
    </row>
    <row r="269" spans="2:24" s="363" customFormat="1" ht="12.75">
      <c r="B269" s="357"/>
      <c r="C269" s="364"/>
      <c r="D269" s="359"/>
      <c r="E269" s="364"/>
      <c r="F269" s="528">
        <v>195</v>
      </c>
      <c r="G269" s="452">
        <v>424</v>
      </c>
      <c r="H269" s="1165" t="s">
        <v>1430</v>
      </c>
      <c r="I269" s="1166"/>
      <c r="J269" s="1167"/>
      <c r="K269" s="788">
        <v>2000000</v>
      </c>
      <c r="L269" s="788">
        <v>1999999.2</v>
      </c>
      <c r="M269" s="788">
        <v>3200000</v>
      </c>
      <c r="N269" s="788">
        <v>3200000</v>
      </c>
      <c r="O269" s="361">
        <v>0</v>
      </c>
      <c r="P269" s="418">
        <v>0</v>
      </c>
      <c r="Q269" s="418">
        <v>0</v>
      </c>
      <c r="R269" s="426">
        <v>0</v>
      </c>
      <c r="S269" s="421">
        <v>0</v>
      </c>
      <c r="T269" s="426">
        <v>0</v>
      </c>
      <c r="U269" s="426">
        <f t="shared" si="71"/>
        <v>0</v>
      </c>
      <c r="V269" s="634">
        <f t="shared" si="90"/>
        <v>3200000</v>
      </c>
      <c r="W269" s="634">
        <f t="shared" si="95"/>
        <v>3200000</v>
      </c>
      <c r="X269" s="634">
        <f t="shared" si="96"/>
        <v>3200000</v>
      </c>
    </row>
    <row r="270" spans="2:24" s="363" customFormat="1" ht="12.75">
      <c r="B270" s="357"/>
      <c r="C270" s="364"/>
      <c r="D270" s="359"/>
      <c r="E270" s="364"/>
      <c r="F270" s="528">
        <v>196</v>
      </c>
      <c r="G270" s="452">
        <v>424</v>
      </c>
      <c r="H270" s="1165" t="s">
        <v>1431</v>
      </c>
      <c r="I270" s="1166"/>
      <c r="J270" s="1167"/>
      <c r="K270" s="788">
        <v>5000000</v>
      </c>
      <c r="L270" s="788">
        <v>0</v>
      </c>
      <c r="M270" s="788">
        <v>5000000</v>
      </c>
      <c r="N270" s="788">
        <v>5000000</v>
      </c>
      <c r="O270" s="361">
        <v>0</v>
      </c>
      <c r="P270" s="418">
        <v>0</v>
      </c>
      <c r="Q270" s="418">
        <v>0</v>
      </c>
      <c r="R270" s="425">
        <v>26000000</v>
      </c>
      <c r="S270" s="421">
        <v>0</v>
      </c>
      <c r="T270" s="426">
        <v>0</v>
      </c>
      <c r="U270" s="426">
        <f aca="true" t="shared" si="97" ref="U270:U336">SUM(O270:T270)</f>
        <v>26000000</v>
      </c>
      <c r="V270" s="634">
        <f t="shared" si="90"/>
        <v>31000000</v>
      </c>
      <c r="W270" s="634">
        <f t="shared" si="95"/>
        <v>31000000</v>
      </c>
      <c r="X270" s="634">
        <f t="shared" si="96"/>
        <v>31000000</v>
      </c>
    </row>
    <row r="271" spans="2:24" s="363" customFormat="1" ht="12.75">
      <c r="B271" s="357"/>
      <c r="C271" s="364"/>
      <c r="D271" s="359"/>
      <c r="E271" s="364"/>
      <c r="F271" s="370">
        <v>197</v>
      </c>
      <c r="G271" s="452">
        <v>425</v>
      </c>
      <c r="H271" s="1182" t="s">
        <v>1534</v>
      </c>
      <c r="I271" s="1183"/>
      <c r="J271" s="1184"/>
      <c r="K271" s="788">
        <v>0</v>
      </c>
      <c r="L271" s="788">
        <v>0</v>
      </c>
      <c r="M271" s="788">
        <v>0</v>
      </c>
      <c r="N271" s="788">
        <v>0</v>
      </c>
      <c r="O271" s="361">
        <v>0</v>
      </c>
      <c r="P271" s="418">
        <v>0</v>
      </c>
      <c r="Q271" s="418">
        <v>0</v>
      </c>
      <c r="R271" s="415">
        <v>5500000</v>
      </c>
      <c r="S271" s="421">
        <v>0</v>
      </c>
      <c r="T271" s="421">
        <v>0</v>
      </c>
      <c r="U271" s="421">
        <f t="shared" si="97"/>
        <v>5500000</v>
      </c>
      <c r="V271" s="634">
        <f t="shared" si="90"/>
        <v>5500000</v>
      </c>
      <c r="W271" s="634">
        <f t="shared" si="95"/>
        <v>5500000</v>
      </c>
      <c r="X271" s="634">
        <f t="shared" si="96"/>
        <v>5500000</v>
      </c>
    </row>
    <row r="272" spans="2:24" s="363" customFormat="1" ht="12.75">
      <c r="B272" s="357"/>
      <c r="C272" s="364"/>
      <c r="D272" s="359"/>
      <c r="E272" s="364"/>
      <c r="F272" s="370">
        <v>198</v>
      </c>
      <c r="G272" s="452">
        <v>426</v>
      </c>
      <c r="H272" s="1165" t="s">
        <v>1425</v>
      </c>
      <c r="I272" s="1166"/>
      <c r="J272" s="1167"/>
      <c r="K272" s="788">
        <v>1500000</v>
      </c>
      <c r="L272" s="788">
        <v>354523.8</v>
      </c>
      <c r="M272" s="788">
        <v>500000</v>
      </c>
      <c r="N272" s="788">
        <v>500000</v>
      </c>
      <c r="O272" s="361">
        <v>0</v>
      </c>
      <c r="P272" s="418">
        <v>0</v>
      </c>
      <c r="Q272" s="418">
        <v>0</v>
      </c>
      <c r="R272" s="421">
        <v>0</v>
      </c>
      <c r="S272" s="421">
        <v>0</v>
      </c>
      <c r="T272" s="421">
        <v>0</v>
      </c>
      <c r="U272" s="421">
        <f t="shared" si="97"/>
        <v>0</v>
      </c>
      <c r="V272" s="634">
        <f t="shared" si="90"/>
        <v>500000</v>
      </c>
      <c r="W272" s="634">
        <f t="shared" si="95"/>
        <v>500000</v>
      </c>
      <c r="X272" s="634">
        <f t="shared" si="96"/>
        <v>500000</v>
      </c>
    </row>
    <row r="273" spans="2:24" s="363" customFormat="1" ht="12.75">
      <c r="B273" s="357"/>
      <c r="C273" s="364"/>
      <c r="D273" s="359"/>
      <c r="E273" s="364"/>
      <c r="F273" s="370">
        <v>199</v>
      </c>
      <c r="G273" s="452">
        <v>426</v>
      </c>
      <c r="H273" s="1165" t="s">
        <v>1426</v>
      </c>
      <c r="I273" s="1166"/>
      <c r="J273" s="1167"/>
      <c r="K273" s="788">
        <v>600000</v>
      </c>
      <c r="L273" s="788">
        <v>189714.65000000002</v>
      </c>
      <c r="M273" s="788">
        <v>400000</v>
      </c>
      <c r="N273" s="788">
        <v>400000</v>
      </c>
      <c r="O273" s="361">
        <v>0</v>
      </c>
      <c r="P273" s="418">
        <v>0</v>
      </c>
      <c r="Q273" s="418">
        <v>0</v>
      </c>
      <c r="R273" s="421">
        <v>0</v>
      </c>
      <c r="S273" s="421">
        <v>0</v>
      </c>
      <c r="T273" s="421">
        <v>0</v>
      </c>
      <c r="U273" s="421">
        <f t="shared" si="97"/>
        <v>0</v>
      </c>
      <c r="V273" s="634">
        <f t="shared" si="90"/>
        <v>400000</v>
      </c>
      <c r="W273" s="634">
        <f t="shared" si="95"/>
        <v>400000</v>
      </c>
      <c r="X273" s="634">
        <f t="shared" si="96"/>
        <v>400000</v>
      </c>
    </row>
    <row r="274" spans="2:24" s="363" customFormat="1" ht="12.75">
      <c r="B274" s="357"/>
      <c r="C274" s="364"/>
      <c r="D274" s="359"/>
      <c r="E274" s="364"/>
      <c r="F274" s="370">
        <v>200</v>
      </c>
      <c r="G274" s="452">
        <v>451</v>
      </c>
      <c r="H274" s="1165" t="s">
        <v>1427</v>
      </c>
      <c r="I274" s="1166"/>
      <c r="J274" s="1167"/>
      <c r="K274" s="788">
        <v>0</v>
      </c>
      <c r="L274" s="788">
        <v>0</v>
      </c>
      <c r="M274" s="788">
        <v>0</v>
      </c>
      <c r="N274" s="788">
        <v>0</v>
      </c>
      <c r="O274" s="361">
        <v>0</v>
      </c>
      <c r="P274" s="418">
        <v>0</v>
      </c>
      <c r="Q274" s="418">
        <v>0</v>
      </c>
      <c r="R274" s="421">
        <v>8500000</v>
      </c>
      <c r="S274" s="421">
        <v>0</v>
      </c>
      <c r="T274" s="421">
        <v>0</v>
      </c>
      <c r="U274" s="424">
        <f t="shared" si="97"/>
        <v>8500000</v>
      </c>
      <c r="V274" s="634">
        <f t="shared" si="90"/>
        <v>8500000</v>
      </c>
      <c r="W274" s="634">
        <f t="shared" si="95"/>
        <v>8500000</v>
      </c>
      <c r="X274" s="634">
        <f t="shared" si="96"/>
        <v>8500000</v>
      </c>
    </row>
    <row r="275" spans="2:24" s="526" customFormat="1" ht="12.75">
      <c r="B275" s="527"/>
      <c r="C275" s="460"/>
      <c r="D275" s="528"/>
      <c r="E275" s="460"/>
      <c r="F275" s="528">
        <v>201</v>
      </c>
      <c r="G275" s="442">
        <v>482</v>
      </c>
      <c r="H275" s="1216" t="s">
        <v>221</v>
      </c>
      <c r="I275" s="1217"/>
      <c r="J275" s="1218"/>
      <c r="K275" s="990">
        <v>100000</v>
      </c>
      <c r="L275" s="990">
        <v>0</v>
      </c>
      <c r="M275" s="990">
        <v>100000</v>
      </c>
      <c r="N275" s="990">
        <v>100000</v>
      </c>
      <c r="O275" s="361">
        <v>0</v>
      </c>
      <c r="P275" s="529">
        <v>0</v>
      </c>
      <c r="Q275" s="529">
        <v>0</v>
      </c>
      <c r="R275" s="423">
        <v>0</v>
      </c>
      <c r="S275" s="421">
        <v>0</v>
      </c>
      <c r="T275" s="423">
        <v>0</v>
      </c>
      <c r="U275" s="530">
        <f t="shared" si="97"/>
        <v>0</v>
      </c>
      <c r="V275" s="902">
        <f t="shared" si="90"/>
        <v>100000</v>
      </c>
      <c r="W275" s="902">
        <f t="shared" si="95"/>
        <v>100000</v>
      </c>
      <c r="X275" s="902">
        <f t="shared" si="96"/>
        <v>100000</v>
      </c>
    </row>
    <row r="276" spans="2:24" s="363" customFormat="1" ht="12.75">
      <c r="B276" s="357"/>
      <c r="C276" s="364"/>
      <c r="D276" s="359"/>
      <c r="E276" s="364"/>
      <c r="F276" s="528">
        <v>202</v>
      </c>
      <c r="G276" s="442">
        <v>512</v>
      </c>
      <c r="H276" s="1219" t="s">
        <v>1367</v>
      </c>
      <c r="I276" s="1201"/>
      <c r="J276" s="1220"/>
      <c r="K276" s="1008">
        <v>2000000</v>
      </c>
      <c r="L276" s="1008">
        <v>1327634</v>
      </c>
      <c r="M276" s="1008">
        <v>2000000</v>
      </c>
      <c r="N276" s="1008">
        <v>2000000</v>
      </c>
      <c r="O276" s="361">
        <v>0</v>
      </c>
      <c r="P276" s="418">
        <v>0</v>
      </c>
      <c r="Q276" s="418">
        <v>0</v>
      </c>
      <c r="R276" s="421">
        <v>0</v>
      </c>
      <c r="S276" s="421">
        <v>0</v>
      </c>
      <c r="T276" s="421">
        <v>0</v>
      </c>
      <c r="U276" s="424">
        <f t="shared" si="97"/>
        <v>0</v>
      </c>
      <c r="V276" s="634">
        <f t="shared" si="90"/>
        <v>2000000</v>
      </c>
      <c r="W276" s="634">
        <f t="shared" si="95"/>
        <v>2000000</v>
      </c>
      <c r="X276" s="634">
        <f t="shared" si="96"/>
        <v>2000000</v>
      </c>
    </row>
    <row r="277" spans="2:24" ht="14.25" customHeight="1">
      <c r="B277" s="287"/>
      <c r="C277" s="288"/>
      <c r="D277" s="436"/>
      <c r="E277" s="353" t="s">
        <v>319</v>
      </c>
      <c r="F277" s="436"/>
      <c r="G277" s="437"/>
      <c r="H277" s="1168" t="s">
        <v>1247</v>
      </c>
      <c r="I277" s="1169"/>
      <c r="J277" s="1170"/>
      <c r="K277" s="981">
        <f aca="true" t="shared" si="98" ref="K277:T278">K278</f>
        <v>3000000</v>
      </c>
      <c r="L277" s="981">
        <f t="shared" si="98"/>
        <v>1357.2</v>
      </c>
      <c r="M277" s="981">
        <f t="shared" si="98"/>
        <v>3000000</v>
      </c>
      <c r="N277" s="981">
        <f t="shared" si="98"/>
        <v>4500000</v>
      </c>
      <c r="O277" s="293">
        <f t="shared" si="98"/>
        <v>0</v>
      </c>
      <c r="P277" s="293">
        <f t="shared" si="98"/>
        <v>0</v>
      </c>
      <c r="Q277" s="293">
        <f t="shared" si="98"/>
        <v>0</v>
      </c>
      <c r="R277" s="293">
        <f t="shared" si="98"/>
        <v>0</v>
      </c>
      <c r="S277" s="293">
        <f t="shared" si="98"/>
        <v>0</v>
      </c>
      <c r="T277" s="341">
        <f t="shared" si="98"/>
        <v>0</v>
      </c>
      <c r="U277" s="341">
        <f t="shared" si="97"/>
        <v>0</v>
      </c>
      <c r="V277" s="682">
        <f aca="true" t="shared" si="99" ref="V277:V285">SUM(N277:T277)</f>
        <v>4500000</v>
      </c>
      <c r="W277" s="682">
        <f t="shared" si="95"/>
        <v>4500000</v>
      </c>
      <c r="X277" s="682">
        <f t="shared" si="96"/>
        <v>4500000</v>
      </c>
    </row>
    <row r="278" spans="2:24" ht="12.75">
      <c r="B278" s="357"/>
      <c r="C278" s="59"/>
      <c r="D278" s="56">
        <v>620</v>
      </c>
      <c r="E278" s="182"/>
      <c r="F278" s="359"/>
      <c r="G278" s="360"/>
      <c r="H278" s="1162" t="s">
        <v>116</v>
      </c>
      <c r="I278" s="1163"/>
      <c r="J278" s="453"/>
      <c r="K278" s="539">
        <f t="shared" si="98"/>
        <v>3000000</v>
      </c>
      <c r="L278" s="539">
        <f t="shared" si="98"/>
        <v>1357.2</v>
      </c>
      <c r="M278" s="539">
        <f t="shared" si="98"/>
        <v>3000000</v>
      </c>
      <c r="N278" s="539">
        <f t="shared" si="98"/>
        <v>4500000</v>
      </c>
      <c r="O278" s="386">
        <f t="shared" si="98"/>
        <v>0</v>
      </c>
      <c r="P278" s="386">
        <f t="shared" si="98"/>
        <v>0</v>
      </c>
      <c r="Q278" s="386">
        <f t="shared" si="98"/>
        <v>0</v>
      </c>
      <c r="R278" s="649">
        <f t="shared" si="98"/>
        <v>0</v>
      </c>
      <c r="S278" s="649">
        <f t="shared" si="98"/>
        <v>0</v>
      </c>
      <c r="T278" s="649">
        <f t="shared" si="98"/>
        <v>0</v>
      </c>
      <c r="U278" s="767">
        <f t="shared" si="97"/>
        <v>0</v>
      </c>
      <c r="V278" s="896">
        <f t="shared" si="99"/>
        <v>4500000</v>
      </c>
      <c r="W278" s="896">
        <f t="shared" si="95"/>
        <v>4500000</v>
      </c>
      <c r="X278" s="896">
        <f t="shared" si="96"/>
        <v>4500000</v>
      </c>
    </row>
    <row r="279" spans="2:24" ht="13.5" customHeight="1">
      <c r="B279" s="357"/>
      <c r="C279" s="59"/>
      <c r="D279" s="365"/>
      <c r="E279" s="358"/>
      <c r="F279" s="359">
        <v>203</v>
      </c>
      <c r="G279" s="360">
        <v>451</v>
      </c>
      <c r="H279" s="1182" t="s">
        <v>1428</v>
      </c>
      <c r="I279" s="1183"/>
      <c r="J279" s="1183"/>
      <c r="K279" s="380">
        <v>3000000</v>
      </c>
      <c r="L279" s="380">
        <v>1357.2</v>
      </c>
      <c r="M279" s="380">
        <v>3000000</v>
      </c>
      <c r="N279" s="380">
        <v>4500000</v>
      </c>
      <c r="O279" s="539">
        <v>0</v>
      </c>
      <c r="P279" s="539">
        <v>0</v>
      </c>
      <c r="Q279" s="762">
        <v>0</v>
      </c>
      <c r="R279" s="763">
        <v>0</v>
      </c>
      <c r="S279" s="763">
        <v>0</v>
      </c>
      <c r="T279" s="763">
        <v>0</v>
      </c>
      <c r="U279" s="362">
        <f t="shared" si="97"/>
        <v>0</v>
      </c>
      <c r="V279" s="809">
        <f t="shared" si="99"/>
        <v>4500000</v>
      </c>
      <c r="W279" s="809">
        <f t="shared" si="95"/>
        <v>4500000</v>
      </c>
      <c r="X279" s="809">
        <f t="shared" si="96"/>
        <v>4500000</v>
      </c>
    </row>
    <row r="280" spans="2:24" ht="12.75">
      <c r="B280" s="287"/>
      <c r="C280" s="288"/>
      <c r="D280" s="436"/>
      <c r="E280" s="636" t="s">
        <v>321</v>
      </c>
      <c r="F280" s="436"/>
      <c r="G280" s="437"/>
      <c r="H280" s="1188" t="s">
        <v>320</v>
      </c>
      <c r="I280" s="1189"/>
      <c r="J280" s="1190"/>
      <c r="K280" s="1004">
        <f aca="true" t="shared" si="100" ref="K280:T280">K281+K286+K292</f>
        <v>7400000</v>
      </c>
      <c r="L280" s="1004">
        <f t="shared" si="100"/>
        <v>4547088</v>
      </c>
      <c r="M280" s="1004">
        <f t="shared" si="100"/>
        <v>8700000</v>
      </c>
      <c r="N280" s="1004">
        <f t="shared" si="100"/>
        <v>15400000</v>
      </c>
      <c r="O280" s="289">
        <f t="shared" si="100"/>
        <v>0</v>
      </c>
      <c r="P280" s="289">
        <f t="shared" si="100"/>
        <v>0</v>
      </c>
      <c r="Q280" s="289">
        <f t="shared" si="100"/>
        <v>0</v>
      </c>
      <c r="R280" s="289">
        <f t="shared" si="100"/>
        <v>242000</v>
      </c>
      <c r="S280" s="289">
        <f t="shared" si="100"/>
        <v>0</v>
      </c>
      <c r="T280" s="289">
        <f t="shared" si="100"/>
        <v>0</v>
      </c>
      <c r="U280" s="340">
        <f t="shared" si="97"/>
        <v>242000</v>
      </c>
      <c r="V280" s="682">
        <f t="shared" si="99"/>
        <v>15642000</v>
      </c>
      <c r="W280" s="682">
        <f t="shared" si="95"/>
        <v>15642000</v>
      </c>
      <c r="X280" s="682">
        <f t="shared" si="96"/>
        <v>15642000</v>
      </c>
    </row>
    <row r="281" spans="2:24" ht="14.25" customHeight="1">
      <c r="B281" s="287"/>
      <c r="C281" s="288"/>
      <c r="D281" s="436"/>
      <c r="E281" s="353" t="s">
        <v>1248</v>
      </c>
      <c r="F281" s="436"/>
      <c r="G281" s="437"/>
      <c r="H281" s="1168" t="s">
        <v>333</v>
      </c>
      <c r="I281" s="1169"/>
      <c r="J281" s="1170"/>
      <c r="K281" s="981">
        <f aca="true" t="shared" si="101" ref="K281:T281">K282</f>
        <v>3100000</v>
      </c>
      <c r="L281" s="981">
        <f t="shared" si="101"/>
        <v>2051100</v>
      </c>
      <c r="M281" s="981">
        <f t="shared" si="101"/>
        <v>4400000</v>
      </c>
      <c r="N281" s="981">
        <f t="shared" si="101"/>
        <v>11100000</v>
      </c>
      <c r="O281" s="293">
        <f t="shared" si="101"/>
        <v>0</v>
      </c>
      <c r="P281" s="293">
        <f t="shared" si="101"/>
        <v>0</v>
      </c>
      <c r="Q281" s="293">
        <f t="shared" si="101"/>
        <v>0</v>
      </c>
      <c r="R281" s="293">
        <f t="shared" si="101"/>
        <v>0</v>
      </c>
      <c r="S281" s="293">
        <f t="shared" si="101"/>
        <v>0</v>
      </c>
      <c r="T281" s="293">
        <f t="shared" si="101"/>
        <v>0</v>
      </c>
      <c r="U281" s="341">
        <f t="shared" si="97"/>
        <v>0</v>
      </c>
      <c r="V281" s="682">
        <f t="shared" si="99"/>
        <v>11100000</v>
      </c>
      <c r="W281" s="682">
        <f t="shared" si="95"/>
        <v>11100000</v>
      </c>
      <c r="X281" s="682">
        <f t="shared" si="96"/>
        <v>11100000</v>
      </c>
    </row>
    <row r="282" spans="2:24" s="42" customFormat="1" ht="12.75">
      <c r="B282" s="645"/>
      <c r="C282" s="646"/>
      <c r="D282" s="56">
        <v>510</v>
      </c>
      <c r="E282" s="182"/>
      <c r="F282" s="647"/>
      <c r="G282" s="648"/>
      <c r="H282" s="1162" t="s">
        <v>1250</v>
      </c>
      <c r="I282" s="1163"/>
      <c r="J282" s="1164"/>
      <c r="K282" s="793">
        <f aca="true" t="shared" si="102" ref="K282:T282">SUM(K283:K285)</f>
        <v>3100000</v>
      </c>
      <c r="L282" s="793">
        <f t="shared" si="102"/>
        <v>2051100</v>
      </c>
      <c r="M282" s="793">
        <f t="shared" si="102"/>
        <v>4400000</v>
      </c>
      <c r="N282" s="793">
        <f t="shared" si="102"/>
        <v>11100000</v>
      </c>
      <c r="O282" s="386">
        <f t="shared" si="102"/>
        <v>0</v>
      </c>
      <c r="P282" s="386">
        <f t="shared" si="102"/>
        <v>0</v>
      </c>
      <c r="Q282" s="386">
        <f t="shared" si="102"/>
        <v>0</v>
      </c>
      <c r="R282" s="386">
        <f t="shared" si="102"/>
        <v>0</v>
      </c>
      <c r="S282" s="386">
        <f t="shared" si="102"/>
        <v>0</v>
      </c>
      <c r="T282" s="386">
        <f t="shared" si="102"/>
        <v>0</v>
      </c>
      <c r="U282" s="888">
        <f t="shared" si="97"/>
        <v>0</v>
      </c>
      <c r="V282" s="382">
        <f t="shared" si="99"/>
        <v>11100000</v>
      </c>
      <c r="W282" s="382">
        <f t="shared" si="95"/>
        <v>11100000</v>
      </c>
      <c r="X282" s="382">
        <f t="shared" si="96"/>
        <v>11100000</v>
      </c>
    </row>
    <row r="283" spans="2:24" s="363" customFormat="1" ht="12.75" customHeight="1">
      <c r="B283" s="376"/>
      <c r="C283" s="339"/>
      <c r="D283" s="377"/>
      <c r="E283" s="378"/>
      <c r="F283" s="370">
        <v>204</v>
      </c>
      <c r="G283" s="371">
        <v>424</v>
      </c>
      <c r="H283" s="1182" t="s">
        <v>1492</v>
      </c>
      <c r="I283" s="1183"/>
      <c r="J283" s="1184"/>
      <c r="K283" s="379">
        <v>1000000</v>
      </c>
      <c r="L283" s="379">
        <v>498000</v>
      </c>
      <c r="M283" s="379">
        <v>1000000</v>
      </c>
      <c r="N283" s="379">
        <v>1000000</v>
      </c>
      <c r="O283" s="361">
        <v>0</v>
      </c>
      <c r="P283" s="414">
        <v>0</v>
      </c>
      <c r="Q283" s="414">
        <v>0</v>
      </c>
      <c r="R283" s="652">
        <v>0</v>
      </c>
      <c r="S283" s="415">
        <v>0</v>
      </c>
      <c r="T283" s="650">
        <v>0</v>
      </c>
      <c r="U283" s="650">
        <f t="shared" si="97"/>
        <v>0</v>
      </c>
      <c r="V283" s="383">
        <f t="shared" si="99"/>
        <v>1000000</v>
      </c>
      <c r="W283" s="383">
        <f t="shared" si="95"/>
        <v>1000000</v>
      </c>
      <c r="X283" s="383">
        <f t="shared" si="96"/>
        <v>1000000</v>
      </c>
    </row>
    <row r="284" spans="2:24" s="363" customFormat="1" ht="12.75" customHeight="1">
      <c r="B284" s="376"/>
      <c r="C284" s="339"/>
      <c r="D284" s="377"/>
      <c r="E284" s="378"/>
      <c r="F284" s="370">
        <v>205</v>
      </c>
      <c r="G284" s="371">
        <v>424</v>
      </c>
      <c r="H284" s="1182" t="s">
        <v>1491</v>
      </c>
      <c r="I284" s="1183"/>
      <c r="J284" s="1184"/>
      <c r="K284" s="379">
        <v>100000</v>
      </c>
      <c r="L284" s="379">
        <v>0</v>
      </c>
      <c r="M284" s="379">
        <v>100000</v>
      </c>
      <c r="N284" s="379">
        <v>100000</v>
      </c>
      <c r="O284" s="361">
        <v>0</v>
      </c>
      <c r="P284" s="778">
        <v>0</v>
      </c>
      <c r="Q284" s="427">
        <v>0</v>
      </c>
      <c r="R284" s="779">
        <v>0</v>
      </c>
      <c r="S284" s="772">
        <v>0</v>
      </c>
      <c r="T284" s="650">
        <v>0</v>
      </c>
      <c r="U284" s="650">
        <f t="shared" si="97"/>
        <v>0</v>
      </c>
      <c r="V284" s="383">
        <f t="shared" si="99"/>
        <v>100000</v>
      </c>
      <c r="W284" s="383">
        <f t="shared" si="95"/>
        <v>100000</v>
      </c>
      <c r="X284" s="383">
        <f t="shared" si="96"/>
        <v>100000</v>
      </c>
    </row>
    <row r="285" spans="1:24" s="363" customFormat="1" ht="12.75">
      <c r="A285" s="363">
        <v>12600</v>
      </c>
      <c r="B285" s="376"/>
      <c r="C285" s="339"/>
      <c r="D285" s="377"/>
      <c r="E285" s="378"/>
      <c r="F285" s="370">
        <v>206</v>
      </c>
      <c r="G285" s="371">
        <v>451</v>
      </c>
      <c r="H285" s="1182" t="s">
        <v>1533</v>
      </c>
      <c r="I285" s="1183"/>
      <c r="J285" s="1184"/>
      <c r="K285" s="379">
        <v>2000000</v>
      </c>
      <c r="L285" s="379">
        <v>1553100</v>
      </c>
      <c r="M285" s="379">
        <v>3300000</v>
      </c>
      <c r="N285" s="379">
        <v>10000000</v>
      </c>
      <c r="O285" s="361">
        <v>0</v>
      </c>
      <c r="P285" s="547">
        <v>0</v>
      </c>
      <c r="Q285" s="421">
        <v>0</v>
      </c>
      <c r="R285" s="421">
        <v>0</v>
      </c>
      <c r="S285" s="640">
        <v>0</v>
      </c>
      <c r="T285" s="651">
        <v>0</v>
      </c>
      <c r="U285" s="650">
        <f t="shared" si="97"/>
        <v>0</v>
      </c>
      <c r="V285" s="383">
        <f t="shared" si="99"/>
        <v>10000000</v>
      </c>
      <c r="W285" s="383">
        <f t="shared" si="95"/>
        <v>10000000</v>
      </c>
      <c r="X285" s="383">
        <f t="shared" si="96"/>
        <v>10000000</v>
      </c>
    </row>
    <row r="286" spans="2:24" ht="14.25" customHeight="1">
      <c r="B286" s="287"/>
      <c r="C286" s="288"/>
      <c r="D286" s="436"/>
      <c r="E286" s="353" t="s">
        <v>322</v>
      </c>
      <c r="F286" s="436"/>
      <c r="G286" s="437"/>
      <c r="H286" s="1168" t="s">
        <v>1249</v>
      </c>
      <c r="I286" s="1169"/>
      <c r="J286" s="1170"/>
      <c r="K286" s="981">
        <f aca="true" t="shared" si="103" ref="K286:T286">K287</f>
        <v>3800000</v>
      </c>
      <c r="L286" s="981">
        <f t="shared" si="103"/>
        <v>2272920</v>
      </c>
      <c r="M286" s="981">
        <f t="shared" si="103"/>
        <v>3800000</v>
      </c>
      <c r="N286" s="981">
        <f t="shared" si="103"/>
        <v>3800000</v>
      </c>
      <c r="O286" s="293">
        <f t="shared" si="103"/>
        <v>0</v>
      </c>
      <c r="P286" s="293">
        <f t="shared" si="103"/>
        <v>0</v>
      </c>
      <c r="Q286" s="293">
        <f t="shared" si="103"/>
        <v>0</v>
      </c>
      <c r="R286" s="293">
        <f t="shared" si="103"/>
        <v>242000</v>
      </c>
      <c r="S286" s="757">
        <f t="shared" si="103"/>
        <v>0</v>
      </c>
      <c r="T286" s="757">
        <f t="shared" si="103"/>
        <v>0</v>
      </c>
      <c r="U286" s="889">
        <f t="shared" si="97"/>
        <v>242000</v>
      </c>
      <c r="V286" s="682">
        <f aca="true" t="shared" si="104" ref="V286:V294">SUM(N286:T286)</f>
        <v>4042000</v>
      </c>
      <c r="W286" s="682">
        <f t="shared" si="95"/>
        <v>4042000</v>
      </c>
      <c r="X286" s="682">
        <f t="shared" si="96"/>
        <v>4042000</v>
      </c>
    </row>
    <row r="287" spans="2:24" s="42" customFormat="1" ht="12.75">
      <c r="B287" s="645"/>
      <c r="C287" s="646"/>
      <c r="D287" s="56">
        <v>560</v>
      </c>
      <c r="E287" s="182"/>
      <c r="F287" s="647"/>
      <c r="G287" s="648"/>
      <c r="H287" s="1162" t="s">
        <v>1251</v>
      </c>
      <c r="I287" s="1163"/>
      <c r="J287" s="1164"/>
      <c r="K287" s="793">
        <f>SUM(K288:K291)</f>
        <v>3800000</v>
      </c>
      <c r="L287" s="793">
        <f>SUM(L288:L291)</f>
        <v>2272920</v>
      </c>
      <c r="M287" s="793">
        <f>SUM(M288:M291)</f>
        <v>3800000</v>
      </c>
      <c r="N287" s="793">
        <f>SUM(N288:N291)</f>
        <v>3800000</v>
      </c>
      <c r="O287" s="386">
        <f aca="true" t="shared" si="105" ref="O287:T287">SUM(O288:O291)</f>
        <v>0</v>
      </c>
      <c r="P287" s="386">
        <f t="shared" si="105"/>
        <v>0</v>
      </c>
      <c r="Q287" s="386">
        <f t="shared" si="105"/>
        <v>0</v>
      </c>
      <c r="R287" s="767">
        <f t="shared" si="105"/>
        <v>242000</v>
      </c>
      <c r="S287" s="771">
        <f t="shared" si="105"/>
        <v>0</v>
      </c>
      <c r="T287" s="771">
        <f t="shared" si="105"/>
        <v>0</v>
      </c>
      <c r="U287" s="890">
        <f t="shared" si="97"/>
        <v>242000</v>
      </c>
      <c r="V287" s="382">
        <f t="shared" si="104"/>
        <v>4042000</v>
      </c>
      <c r="W287" s="382">
        <f t="shared" si="95"/>
        <v>4042000</v>
      </c>
      <c r="X287" s="382">
        <f t="shared" si="96"/>
        <v>4042000</v>
      </c>
    </row>
    <row r="288" spans="2:24" s="363" customFormat="1" ht="12.75">
      <c r="B288" s="357"/>
      <c r="C288" s="59"/>
      <c r="D288" s="56"/>
      <c r="E288" s="182"/>
      <c r="F288" s="370">
        <v>207</v>
      </c>
      <c r="G288" s="360">
        <v>424</v>
      </c>
      <c r="H288" s="1165" t="s">
        <v>1478</v>
      </c>
      <c r="I288" s="1166"/>
      <c r="J288" s="1167"/>
      <c r="K288" s="788">
        <v>200000</v>
      </c>
      <c r="L288" s="788">
        <v>0</v>
      </c>
      <c r="M288" s="788">
        <v>200000</v>
      </c>
      <c r="N288" s="788">
        <v>200000</v>
      </c>
      <c r="O288" s="361">
        <v>0</v>
      </c>
      <c r="P288" s="429">
        <v>0</v>
      </c>
      <c r="Q288" s="429">
        <v>0</v>
      </c>
      <c r="R288" s="470">
        <v>242000</v>
      </c>
      <c r="S288" s="640">
        <v>0</v>
      </c>
      <c r="T288" s="640">
        <v>0</v>
      </c>
      <c r="U288" s="768">
        <f t="shared" si="97"/>
        <v>242000</v>
      </c>
      <c r="V288" s="383">
        <f t="shared" si="104"/>
        <v>442000</v>
      </c>
      <c r="W288" s="383">
        <f t="shared" si="95"/>
        <v>442000</v>
      </c>
      <c r="X288" s="383">
        <f t="shared" si="96"/>
        <v>442000</v>
      </c>
    </row>
    <row r="289" spans="2:24" s="363" customFormat="1" ht="12.75">
      <c r="B289" s="376"/>
      <c r="C289" s="339"/>
      <c r="D289" s="61"/>
      <c r="E289" s="554"/>
      <c r="F289" s="370">
        <v>208</v>
      </c>
      <c r="G289" s="371">
        <v>424</v>
      </c>
      <c r="H289" s="374" t="s">
        <v>1432</v>
      </c>
      <c r="I289" s="752"/>
      <c r="J289" s="753"/>
      <c r="K289" s="1012">
        <v>3000000</v>
      </c>
      <c r="L289" s="1012">
        <v>2272920</v>
      </c>
      <c r="M289" s="1012">
        <v>3000000</v>
      </c>
      <c r="N289" s="1012">
        <v>3000000</v>
      </c>
      <c r="O289" s="361">
        <v>0</v>
      </c>
      <c r="P289" s="653">
        <v>0</v>
      </c>
      <c r="Q289" s="428">
        <v>0</v>
      </c>
      <c r="R289" s="768">
        <v>0</v>
      </c>
      <c r="S289" s="640">
        <v>0</v>
      </c>
      <c r="T289" s="640">
        <v>0</v>
      </c>
      <c r="U289" s="768">
        <f t="shared" si="97"/>
        <v>0</v>
      </c>
      <c r="V289" s="383">
        <f t="shared" si="104"/>
        <v>3000000</v>
      </c>
      <c r="W289" s="383">
        <f t="shared" si="95"/>
        <v>3000000</v>
      </c>
      <c r="X289" s="383">
        <f t="shared" si="96"/>
        <v>3000000</v>
      </c>
    </row>
    <row r="290" spans="2:24" s="363" customFormat="1" ht="12.75">
      <c r="B290" s="376"/>
      <c r="C290" s="339"/>
      <c r="D290" s="61"/>
      <c r="E290" s="554"/>
      <c r="F290" s="370">
        <v>209</v>
      </c>
      <c r="G290" s="371">
        <v>481</v>
      </c>
      <c r="H290" s="1219" t="s">
        <v>167</v>
      </c>
      <c r="I290" s="1201"/>
      <c r="J290" s="1220"/>
      <c r="K290" s="1012">
        <v>100000</v>
      </c>
      <c r="L290" s="1012">
        <v>0</v>
      </c>
      <c r="M290" s="1012">
        <v>100000</v>
      </c>
      <c r="N290" s="1012">
        <v>100000</v>
      </c>
      <c r="O290" s="361">
        <v>0</v>
      </c>
      <c r="P290" s="653">
        <v>0</v>
      </c>
      <c r="Q290" s="653">
        <v>0</v>
      </c>
      <c r="R290" s="769">
        <v>0</v>
      </c>
      <c r="S290" s="640">
        <v>0</v>
      </c>
      <c r="T290" s="640">
        <v>0</v>
      </c>
      <c r="U290" s="768">
        <f t="shared" si="97"/>
        <v>0</v>
      </c>
      <c r="V290" s="383">
        <f t="shared" si="104"/>
        <v>100000</v>
      </c>
      <c r="W290" s="383">
        <f t="shared" si="95"/>
        <v>100000</v>
      </c>
      <c r="X290" s="383">
        <f t="shared" si="96"/>
        <v>100000</v>
      </c>
    </row>
    <row r="291" spans="2:24" s="363" customFormat="1" ht="12.75">
      <c r="B291" s="376"/>
      <c r="C291" s="339"/>
      <c r="D291" s="61"/>
      <c r="E291" s="554"/>
      <c r="F291" s="370">
        <v>210</v>
      </c>
      <c r="G291" s="371">
        <v>424</v>
      </c>
      <c r="H291" s="1243" t="s">
        <v>1470</v>
      </c>
      <c r="I291" s="1186"/>
      <c r="J291" s="1244"/>
      <c r="K291" s="1012">
        <v>500000</v>
      </c>
      <c r="L291" s="1012">
        <v>0</v>
      </c>
      <c r="M291" s="1012">
        <v>500000</v>
      </c>
      <c r="N291" s="1012">
        <v>500000</v>
      </c>
      <c r="O291" s="361">
        <v>0</v>
      </c>
      <c r="P291" s="653">
        <v>0</v>
      </c>
      <c r="Q291" s="428">
        <v>0</v>
      </c>
      <c r="R291" s="770">
        <v>0</v>
      </c>
      <c r="S291" s="640">
        <v>0</v>
      </c>
      <c r="T291" s="640">
        <v>0</v>
      </c>
      <c r="U291" s="768">
        <f t="shared" si="97"/>
        <v>0</v>
      </c>
      <c r="V291" s="383">
        <f t="shared" si="104"/>
        <v>500000</v>
      </c>
      <c r="W291" s="383">
        <f t="shared" si="95"/>
        <v>500000</v>
      </c>
      <c r="X291" s="383">
        <f t="shared" si="96"/>
        <v>500000</v>
      </c>
    </row>
    <row r="292" spans="2:24" ht="14.25" customHeight="1">
      <c r="B292" s="287"/>
      <c r="C292" s="288"/>
      <c r="D292" s="436"/>
      <c r="E292" s="353" t="s">
        <v>855</v>
      </c>
      <c r="F292" s="436"/>
      <c r="G292" s="437"/>
      <c r="H292" s="1168" t="s">
        <v>1373</v>
      </c>
      <c r="I292" s="1211"/>
      <c r="J292" s="1212"/>
      <c r="K292" s="1009">
        <f>K293</f>
        <v>500000</v>
      </c>
      <c r="L292" s="1009">
        <f>L293</f>
        <v>223068</v>
      </c>
      <c r="M292" s="1009">
        <f>M293</f>
        <v>500000</v>
      </c>
      <c r="N292" s="1009">
        <f>N293</f>
        <v>500000</v>
      </c>
      <c r="O292" s="293">
        <f aca="true" t="shared" si="106" ref="O292:T292">O293</f>
        <v>0</v>
      </c>
      <c r="P292" s="293">
        <f t="shared" si="106"/>
        <v>0</v>
      </c>
      <c r="Q292" s="293">
        <f t="shared" si="106"/>
        <v>0</v>
      </c>
      <c r="R292" s="293">
        <f t="shared" si="106"/>
        <v>0</v>
      </c>
      <c r="S292" s="293">
        <f t="shared" si="106"/>
        <v>0</v>
      </c>
      <c r="T292" s="293">
        <f t="shared" si="106"/>
        <v>0</v>
      </c>
      <c r="U292" s="341">
        <f t="shared" si="97"/>
        <v>0</v>
      </c>
      <c r="V292" s="682">
        <f t="shared" si="104"/>
        <v>500000</v>
      </c>
      <c r="W292" s="682">
        <f t="shared" si="95"/>
        <v>500000</v>
      </c>
      <c r="X292" s="682">
        <f t="shared" si="96"/>
        <v>500000</v>
      </c>
    </row>
    <row r="293" spans="2:24" s="42" customFormat="1" ht="12.75">
      <c r="B293" s="645"/>
      <c r="C293" s="646"/>
      <c r="D293" s="56">
        <v>520</v>
      </c>
      <c r="E293" s="182"/>
      <c r="F293" s="647"/>
      <c r="G293" s="648"/>
      <c r="H293" s="1162" t="s">
        <v>1373</v>
      </c>
      <c r="I293" s="1163"/>
      <c r="J293" s="1164"/>
      <c r="K293" s="793">
        <f aca="true" t="shared" si="107" ref="K293:T293">SUM(K294:K294)</f>
        <v>500000</v>
      </c>
      <c r="L293" s="793">
        <f t="shared" si="107"/>
        <v>223068</v>
      </c>
      <c r="M293" s="793">
        <f t="shared" si="107"/>
        <v>500000</v>
      </c>
      <c r="N293" s="793">
        <f t="shared" si="107"/>
        <v>500000</v>
      </c>
      <c r="O293" s="386">
        <f t="shared" si="107"/>
        <v>0</v>
      </c>
      <c r="P293" s="386">
        <f t="shared" si="107"/>
        <v>0</v>
      </c>
      <c r="Q293" s="386">
        <f t="shared" si="107"/>
        <v>0</v>
      </c>
      <c r="R293" s="386">
        <f t="shared" si="107"/>
        <v>0</v>
      </c>
      <c r="S293" s="386">
        <f t="shared" si="107"/>
        <v>0</v>
      </c>
      <c r="T293" s="386">
        <f t="shared" si="107"/>
        <v>0</v>
      </c>
      <c r="U293" s="888">
        <f t="shared" si="97"/>
        <v>0</v>
      </c>
      <c r="V293" s="382">
        <f t="shared" si="104"/>
        <v>500000</v>
      </c>
      <c r="W293" s="382">
        <f t="shared" si="95"/>
        <v>500000</v>
      </c>
      <c r="X293" s="382">
        <f t="shared" si="96"/>
        <v>500000</v>
      </c>
    </row>
    <row r="294" spans="2:24" s="363" customFormat="1" ht="12.75" customHeight="1">
      <c r="B294" s="376"/>
      <c r="C294" s="339"/>
      <c r="D294" s="377"/>
      <c r="E294" s="378"/>
      <c r="F294" s="370">
        <v>211</v>
      </c>
      <c r="G294" s="371">
        <v>425</v>
      </c>
      <c r="H294" s="1182" t="s">
        <v>1433</v>
      </c>
      <c r="I294" s="1183"/>
      <c r="J294" s="1184"/>
      <c r="K294" s="379">
        <v>500000</v>
      </c>
      <c r="L294" s="379">
        <v>223068</v>
      </c>
      <c r="M294" s="379">
        <v>500000</v>
      </c>
      <c r="N294" s="379">
        <v>500000</v>
      </c>
      <c r="O294" s="361">
        <v>0</v>
      </c>
      <c r="P294" s="414">
        <v>0</v>
      </c>
      <c r="Q294" s="778">
        <v>0</v>
      </c>
      <c r="R294" s="652">
        <v>0</v>
      </c>
      <c r="S294" s="470">
        <v>0</v>
      </c>
      <c r="T294" s="781">
        <v>0</v>
      </c>
      <c r="U294" s="650">
        <f t="shared" si="97"/>
        <v>0</v>
      </c>
      <c r="V294" s="383">
        <f t="shared" si="104"/>
        <v>500000</v>
      </c>
      <c r="W294" s="383">
        <f t="shared" si="95"/>
        <v>500000</v>
      </c>
      <c r="X294" s="383">
        <f t="shared" si="96"/>
        <v>500000</v>
      </c>
    </row>
    <row r="295" spans="2:24" ht="12.75">
      <c r="B295" s="287"/>
      <c r="C295" s="288"/>
      <c r="D295" s="436"/>
      <c r="E295" s="636" t="s">
        <v>1259</v>
      </c>
      <c r="F295" s="436"/>
      <c r="G295" s="437"/>
      <c r="H295" s="1230" t="s">
        <v>326</v>
      </c>
      <c r="I295" s="1231"/>
      <c r="J295" s="1232"/>
      <c r="K295" s="1004">
        <f aca="true" t="shared" si="108" ref="K295:T295">K296+K300+K306+K315+K320</f>
        <v>46450000</v>
      </c>
      <c r="L295" s="1004">
        <f t="shared" si="108"/>
        <v>20751087.750000004</v>
      </c>
      <c r="M295" s="1004">
        <f t="shared" si="108"/>
        <v>48300000</v>
      </c>
      <c r="N295" s="1004">
        <f t="shared" si="108"/>
        <v>59500000</v>
      </c>
      <c r="O295" s="289">
        <f t="shared" si="108"/>
        <v>0</v>
      </c>
      <c r="P295" s="289">
        <f t="shared" si="108"/>
        <v>0</v>
      </c>
      <c r="Q295" s="289">
        <f t="shared" si="108"/>
        <v>32216642.88</v>
      </c>
      <c r="R295" s="289">
        <f t="shared" si="108"/>
        <v>23165008</v>
      </c>
      <c r="S295" s="289">
        <f t="shared" si="108"/>
        <v>0</v>
      </c>
      <c r="T295" s="289">
        <f t="shared" si="108"/>
        <v>0</v>
      </c>
      <c r="U295" s="340">
        <f t="shared" si="97"/>
        <v>55381650.879999995</v>
      </c>
      <c r="V295" s="682">
        <f>SUM(N295:T295)</f>
        <v>114881650.88</v>
      </c>
      <c r="W295" s="682">
        <f t="shared" si="95"/>
        <v>114881650.88</v>
      </c>
      <c r="X295" s="682">
        <f t="shared" si="96"/>
        <v>114881650.88</v>
      </c>
    </row>
    <row r="296" spans="2:24" ht="12.75" customHeight="1">
      <c r="B296" s="287"/>
      <c r="C296" s="288"/>
      <c r="D296" s="436"/>
      <c r="E296" s="353" t="s">
        <v>1254</v>
      </c>
      <c r="F296" s="436"/>
      <c r="G296" s="437"/>
      <c r="H296" s="1168" t="s">
        <v>1350</v>
      </c>
      <c r="I296" s="1169"/>
      <c r="J296" s="1170"/>
      <c r="K296" s="981">
        <f aca="true" t="shared" si="109" ref="K296:T296">K297</f>
        <v>8850000</v>
      </c>
      <c r="L296" s="981">
        <f t="shared" si="109"/>
        <v>6305500.41</v>
      </c>
      <c r="M296" s="981">
        <f t="shared" si="109"/>
        <v>8850000</v>
      </c>
      <c r="N296" s="981">
        <f t="shared" si="109"/>
        <v>8850000</v>
      </c>
      <c r="O296" s="293">
        <f t="shared" si="109"/>
        <v>0</v>
      </c>
      <c r="P296" s="293">
        <f t="shared" si="109"/>
        <v>0</v>
      </c>
      <c r="Q296" s="293">
        <f t="shared" si="109"/>
        <v>0</v>
      </c>
      <c r="R296" s="293">
        <f t="shared" si="109"/>
        <v>0</v>
      </c>
      <c r="S296" s="293">
        <f t="shared" si="109"/>
        <v>0</v>
      </c>
      <c r="T296" s="293">
        <f t="shared" si="109"/>
        <v>0</v>
      </c>
      <c r="U296" s="341">
        <f t="shared" si="97"/>
        <v>0</v>
      </c>
      <c r="V296" s="682">
        <f aca="true" t="shared" si="110" ref="V296:V303">SUM(N296:T296)</f>
        <v>8850000</v>
      </c>
      <c r="W296" s="682">
        <f t="shared" si="95"/>
        <v>8850000</v>
      </c>
      <c r="X296" s="682">
        <f t="shared" si="96"/>
        <v>8850000</v>
      </c>
    </row>
    <row r="297" spans="2:24" s="363" customFormat="1" ht="13.5" customHeight="1">
      <c r="B297" s="334"/>
      <c r="C297" s="335"/>
      <c r="D297" s="338">
        <v>640</v>
      </c>
      <c r="E297" s="369"/>
      <c r="F297" s="370"/>
      <c r="G297" s="371"/>
      <c r="H297" s="1224" t="s">
        <v>175</v>
      </c>
      <c r="I297" s="1225"/>
      <c r="J297" s="1226"/>
      <c r="K297" s="1013">
        <f>SUM(K298:K299)</f>
        <v>8850000</v>
      </c>
      <c r="L297" s="1013">
        <f>SUM(L298:L299)</f>
        <v>6305500.41</v>
      </c>
      <c r="M297" s="1013">
        <f>SUM(M298:M299)</f>
        <v>8850000</v>
      </c>
      <c r="N297" s="1013">
        <f>SUM(N298:N299)</f>
        <v>8850000</v>
      </c>
      <c r="O297" s="336">
        <f aca="true" t="shared" si="111" ref="O297:T297">SUM(O298:O299)</f>
        <v>0</v>
      </c>
      <c r="P297" s="336">
        <f t="shared" si="111"/>
        <v>0</v>
      </c>
      <c r="Q297" s="336">
        <f t="shared" si="111"/>
        <v>0</v>
      </c>
      <c r="R297" s="336">
        <f t="shared" si="111"/>
        <v>0</v>
      </c>
      <c r="S297" s="336">
        <f t="shared" si="111"/>
        <v>0</v>
      </c>
      <c r="T297" s="336">
        <f t="shared" si="111"/>
        <v>0</v>
      </c>
      <c r="U297" s="347">
        <f t="shared" si="97"/>
        <v>0</v>
      </c>
      <c r="V297" s="382">
        <f t="shared" si="110"/>
        <v>8850000</v>
      </c>
      <c r="W297" s="382">
        <f t="shared" si="95"/>
        <v>8850000</v>
      </c>
      <c r="X297" s="382">
        <f t="shared" si="96"/>
        <v>8850000</v>
      </c>
    </row>
    <row r="298" spans="2:24" s="363" customFormat="1" ht="13.5" customHeight="1">
      <c r="B298" s="357"/>
      <c r="C298" s="364"/>
      <c r="D298" s="359"/>
      <c r="E298" s="364"/>
      <c r="F298" s="375">
        <v>212</v>
      </c>
      <c r="G298" s="452">
        <v>421</v>
      </c>
      <c r="H298" s="1254" t="s">
        <v>33</v>
      </c>
      <c r="I298" s="1255"/>
      <c r="J298" s="1256"/>
      <c r="K298" s="1008">
        <v>8000000</v>
      </c>
      <c r="L298" s="1008">
        <v>5695720.41</v>
      </c>
      <c r="M298" s="1008">
        <v>8000000</v>
      </c>
      <c r="N298" s="1008">
        <v>8000000</v>
      </c>
      <c r="O298" s="361">
        <v>0</v>
      </c>
      <c r="P298" s="418">
        <v>0</v>
      </c>
      <c r="Q298" s="418">
        <v>0</v>
      </c>
      <c r="R298" s="415">
        <v>0</v>
      </c>
      <c r="S298" s="415">
        <v>0</v>
      </c>
      <c r="T298" s="421">
        <v>0</v>
      </c>
      <c r="U298" s="424">
        <f t="shared" si="97"/>
        <v>0</v>
      </c>
      <c r="V298" s="634">
        <f t="shared" si="110"/>
        <v>8000000</v>
      </c>
      <c r="W298" s="634">
        <f t="shared" si="95"/>
        <v>8000000</v>
      </c>
      <c r="X298" s="634">
        <f t="shared" si="96"/>
        <v>8000000</v>
      </c>
    </row>
    <row r="299" spans="2:24" s="363" customFormat="1" ht="12.75">
      <c r="B299" s="376"/>
      <c r="C299" s="369"/>
      <c r="D299" s="370"/>
      <c r="E299" s="369"/>
      <c r="F299" s="472">
        <v>213</v>
      </c>
      <c r="G299" s="473">
        <v>425</v>
      </c>
      <c r="H299" s="728" t="s">
        <v>91</v>
      </c>
      <c r="I299" s="728"/>
      <c r="J299" s="728"/>
      <c r="K299" s="989">
        <v>850000</v>
      </c>
      <c r="L299" s="989">
        <v>609780</v>
      </c>
      <c r="M299" s="989">
        <v>850000</v>
      </c>
      <c r="N299" s="989">
        <v>850000</v>
      </c>
      <c r="O299" s="361">
        <v>0</v>
      </c>
      <c r="P299" s="412">
        <v>0</v>
      </c>
      <c r="Q299" s="412">
        <v>0</v>
      </c>
      <c r="R299" s="428">
        <v>0</v>
      </c>
      <c r="S299" s="415">
        <v>0</v>
      </c>
      <c r="T299" s="430">
        <v>0</v>
      </c>
      <c r="U299" s="430">
        <f t="shared" si="97"/>
        <v>0</v>
      </c>
      <c r="V299" s="634">
        <f t="shared" si="110"/>
        <v>850000</v>
      </c>
      <c r="W299" s="634">
        <f t="shared" si="95"/>
        <v>850000</v>
      </c>
      <c r="X299" s="634">
        <f t="shared" si="96"/>
        <v>850000</v>
      </c>
    </row>
    <row r="300" spans="2:24" ht="12.75" customHeight="1">
      <c r="B300" s="287"/>
      <c r="C300" s="288"/>
      <c r="D300" s="436"/>
      <c r="E300" s="353" t="s">
        <v>1255</v>
      </c>
      <c r="F300" s="436"/>
      <c r="G300" s="437"/>
      <c r="H300" s="1168" t="s">
        <v>1252</v>
      </c>
      <c r="I300" s="1169"/>
      <c r="J300" s="1170"/>
      <c r="K300" s="981">
        <f>K301</f>
        <v>17200000</v>
      </c>
      <c r="L300" s="981">
        <f>L301</f>
        <v>9886607.340000004</v>
      </c>
      <c r="M300" s="981">
        <f>M301</f>
        <v>19200000</v>
      </c>
      <c r="N300" s="981">
        <f>N301</f>
        <v>21700000</v>
      </c>
      <c r="O300" s="293">
        <f aca="true" t="shared" si="112" ref="O300:T300">O301</f>
        <v>0</v>
      </c>
      <c r="P300" s="293">
        <f t="shared" si="112"/>
        <v>0</v>
      </c>
      <c r="Q300" s="293">
        <f t="shared" si="112"/>
        <v>0</v>
      </c>
      <c r="R300" s="293">
        <f t="shared" si="112"/>
        <v>11000000</v>
      </c>
      <c r="S300" s="293">
        <f t="shared" si="112"/>
        <v>0</v>
      </c>
      <c r="T300" s="293">
        <f t="shared" si="112"/>
        <v>0</v>
      </c>
      <c r="U300" s="341">
        <f t="shared" si="97"/>
        <v>11000000</v>
      </c>
      <c r="V300" s="682">
        <f t="shared" si="110"/>
        <v>32700000</v>
      </c>
      <c r="W300" s="682">
        <f t="shared" si="95"/>
        <v>32700000</v>
      </c>
      <c r="X300" s="682">
        <f t="shared" si="96"/>
        <v>32700000</v>
      </c>
    </row>
    <row r="301" spans="2:24" s="363" customFormat="1" ht="12.75">
      <c r="B301" s="357"/>
      <c r="C301" s="364"/>
      <c r="D301" s="56">
        <v>540</v>
      </c>
      <c r="E301" s="182"/>
      <c r="F301" s="359"/>
      <c r="G301" s="360"/>
      <c r="H301" s="74" t="s">
        <v>1269</v>
      </c>
      <c r="I301" s="75"/>
      <c r="J301" s="453"/>
      <c r="K301" s="994">
        <f>SUM(K302:K305)</f>
        <v>17200000</v>
      </c>
      <c r="L301" s="994">
        <f>SUM(L302:L305)</f>
        <v>9886607.340000004</v>
      </c>
      <c r="M301" s="994">
        <f>SUM(M302:M305)</f>
        <v>19200000</v>
      </c>
      <c r="N301" s="994">
        <f>SUM(N302:N305)</f>
        <v>21700000</v>
      </c>
      <c r="O301" s="66">
        <f aca="true" t="shared" si="113" ref="O301:T301">SUM(O302:O305)</f>
        <v>0</v>
      </c>
      <c r="P301" s="66">
        <f t="shared" si="113"/>
        <v>0</v>
      </c>
      <c r="Q301" s="66">
        <f t="shared" si="113"/>
        <v>0</v>
      </c>
      <c r="R301" s="66">
        <f t="shared" si="113"/>
        <v>11000000</v>
      </c>
      <c r="S301" s="66">
        <f t="shared" si="113"/>
        <v>0</v>
      </c>
      <c r="T301" s="66">
        <f t="shared" si="113"/>
        <v>0</v>
      </c>
      <c r="U301" s="345">
        <f t="shared" si="97"/>
        <v>11000000</v>
      </c>
      <c r="V301" s="382">
        <f t="shared" si="110"/>
        <v>32700000</v>
      </c>
      <c r="W301" s="382">
        <f t="shared" si="95"/>
        <v>32700000</v>
      </c>
      <c r="X301" s="382">
        <f t="shared" si="96"/>
        <v>32700000</v>
      </c>
    </row>
    <row r="302" spans="2:24" s="363" customFormat="1" ht="12.75">
      <c r="B302" s="357"/>
      <c r="C302" s="364"/>
      <c r="D302" s="359"/>
      <c r="E302" s="364"/>
      <c r="F302" s="375">
        <v>214</v>
      </c>
      <c r="G302" s="452">
        <v>424</v>
      </c>
      <c r="H302" s="1182" t="s">
        <v>1471</v>
      </c>
      <c r="I302" s="1183"/>
      <c r="J302" s="1184"/>
      <c r="K302" s="788">
        <v>8000000</v>
      </c>
      <c r="L302" s="788">
        <v>7772985.340000003</v>
      </c>
      <c r="M302" s="788">
        <v>10000000</v>
      </c>
      <c r="N302" s="788">
        <v>10000000</v>
      </c>
      <c r="O302" s="361">
        <v>0</v>
      </c>
      <c r="P302" s="418">
        <v>0</v>
      </c>
      <c r="Q302" s="418">
        <v>0</v>
      </c>
      <c r="R302" s="415">
        <v>0</v>
      </c>
      <c r="S302" s="415">
        <v>0</v>
      </c>
      <c r="T302" s="421">
        <v>0</v>
      </c>
      <c r="U302" s="424">
        <f t="shared" si="97"/>
        <v>0</v>
      </c>
      <c r="V302" s="634">
        <f t="shared" si="110"/>
        <v>10000000</v>
      </c>
      <c r="W302" s="634">
        <f t="shared" si="95"/>
        <v>10000000</v>
      </c>
      <c r="X302" s="634">
        <f t="shared" si="96"/>
        <v>10000000</v>
      </c>
    </row>
    <row r="303" spans="2:24" s="363" customFormat="1" ht="12.75">
      <c r="B303" s="357"/>
      <c r="C303" s="364"/>
      <c r="D303" s="359"/>
      <c r="E303" s="364"/>
      <c r="F303" s="375">
        <v>215</v>
      </c>
      <c r="G303" s="452">
        <v>424</v>
      </c>
      <c r="H303" s="1182" t="s">
        <v>1472</v>
      </c>
      <c r="I303" s="1183"/>
      <c r="J303" s="1184"/>
      <c r="K303" s="788">
        <v>200000</v>
      </c>
      <c r="L303" s="788">
        <v>0</v>
      </c>
      <c r="M303" s="788">
        <v>200000</v>
      </c>
      <c r="N303" s="788">
        <v>200000</v>
      </c>
      <c r="O303" s="421">
        <v>0</v>
      </c>
      <c r="P303" s="421">
        <v>0</v>
      </c>
      <c r="Q303" s="421">
        <v>0</v>
      </c>
      <c r="R303" s="421">
        <v>0</v>
      </c>
      <c r="S303" s="421">
        <v>0</v>
      </c>
      <c r="T303" s="421">
        <v>0</v>
      </c>
      <c r="U303" s="424"/>
      <c r="V303" s="634">
        <f t="shared" si="110"/>
        <v>200000</v>
      </c>
      <c r="W303" s="634">
        <f t="shared" si="95"/>
        <v>200000</v>
      </c>
      <c r="X303" s="634">
        <f t="shared" si="96"/>
        <v>200000</v>
      </c>
    </row>
    <row r="304" spans="2:24" s="363" customFormat="1" ht="12.75">
      <c r="B304" s="357"/>
      <c r="C304" s="59"/>
      <c r="D304" s="56"/>
      <c r="E304" s="182"/>
      <c r="F304" s="375">
        <v>216</v>
      </c>
      <c r="G304" s="360">
        <v>425</v>
      </c>
      <c r="H304" s="1182" t="s">
        <v>1570</v>
      </c>
      <c r="I304" s="1183"/>
      <c r="J304" s="1184"/>
      <c r="K304" s="788">
        <v>4000000</v>
      </c>
      <c r="L304" s="788">
        <v>2113622</v>
      </c>
      <c r="M304" s="788">
        <v>4000000</v>
      </c>
      <c r="N304" s="788">
        <v>6500000</v>
      </c>
      <c r="O304" s="361">
        <v>0</v>
      </c>
      <c r="P304" s="429">
        <v>0</v>
      </c>
      <c r="Q304" s="429">
        <v>0</v>
      </c>
      <c r="R304" s="415">
        <v>0</v>
      </c>
      <c r="S304" s="421">
        <v>0</v>
      </c>
      <c r="T304" s="421">
        <v>0</v>
      </c>
      <c r="U304" s="416">
        <f t="shared" si="97"/>
        <v>0</v>
      </c>
      <c r="V304" s="383">
        <f aca="true" t="shared" si="114" ref="V304:V336">SUM(N304:T304)</f>
        <v>6500000</v>
      </c>
      <c r="W304" s="383">
        <f t="shared" si="95"/>
        <v>6500000</v>
      </c>
      <c r="X304" s="383">
        <f t="shared" si="96"/>
        <v>6500000</v>
      </c>
    </row>
    <row r="305" spans="2:24" s="363" customFormat="1" ht="12.75">
      <c r="B305" s="376"/>
      <c r="C305" s="339"/>
      <c r="D305" s="61"/>
      <c r="E305" s="554"/>
      <c r="F305" s="375">
        <v>217</v>
      </c>
      <c r="G305" s="371">
        <v>511</v>
      </c>
      <c r="H305" s="1219" t="s">
        <v>1434</v>
      </c>
      <c r="I305" s="1201"/>
      <c r="J305" s="1220"/>
      <c r="K305" s="1012">
        <v>5000000</v>
      </c>
      <c r="L305" s="1012">
        <v>0</v>
      </c>
      <c r="M305" s="1012">
        <v>5000000</v>
      </c>
      <c r="N305" s="1012">
        <v>5000000</v>
      </c>
      <c r="O305" s="414">
        <v>0</v>
      </c>
      <c r="P305" s="653">
        <v>0</v>
      </c>
      <c r="Q305" s="653">
        <v>0</v>
      </c>
      <c r="R305" s="428">
        <v>11000000</v>
      </c>
      <c r="S305" s="421">
        <v>0</v>
      </c>
      <c r="T305" s="421">
        <v>0</v>
      </c>
      <c r="U305" s="428">
        <f t="shared" si="97"/>
        <v>11000000</v>
      </c>
      <c r="V305" s="383">
        <f t="shared" si="114"/>
        <v>16000000</v>
      </c>
      <c r="W305" s="383">
        <f t="shared" si="95"/>
        <v>16000000</v>
      </c>
      <c r="X305" s="383">
        <f t="shared" si="96"/>
        <v>16000000</v>
      </c>
    </row>
    <row r="306" spans="2:24" ht="14.25" customHeight="1">
      <c r="B306" s="287"/>
      <c r="C306" s="288"/>
      <c r="D306" s="436"/>
      <c r="E306" s="353" t="s">
        <v>1257</v>
      </c>
      <c r="F306" s="436"/>
      <c r="G306" s="437"/>
      <c r="H306" s="1168" t="s">
        <v>1352</v>
      </c>
      <c r="I306" s="1169"/>
      <c r="J306" s="1170"/>
      <c r="K306" s="981">
        <f>K307</f>
        <v>9900000</v>
      </c>
      <c r="L306" s="981">
        <f>L307</f>
        <v>117600</v>
      </c>
      <c r="M306" s="981">
        <f>M307</f>
        <v>9700000</v>
      </c>
      <c r="N306" s="981">
        <f>N307</f>
        <v>14000000</v>
      </c>
      <c r="O306" s="293">
        <f aca="true" t="shared" si="115" ref="O306:T306">O307</f>
        <v>0</v>
      </c>
      <c r="P306" s="293">
        <f t="shared" si="115"/>
        <v>0</v>
      </c>
      <c r="Q306" s="293">
        <f t="shared" si="115"/>
        <v>32216642.88</v>
      </c>
      <c r="R306" s="293">
        <f t="shared" si="115"/>
        <v>12165008</v>
      </c>
      <c r="S306" s="293">
        <f t="shared" si="115"/>
        <v>0</v>
      </c>
      <c r="T306" s="341">
        <f t="shared" si="115"/>
        <v>0</v>
      </c>
      <c r="U306" s="341">
        <f t="shared" si="97"/>
        <v>44381650.879999995</v>
      </c>
      <c r="V306" s="682">
        <f>SUM(N306:T306)</f>
        <v>58381650.879999995</v>
      </c>
      <c r="W306" s="682">
        <f t="shared" si="95"/>
        <v>58381650.879999995</v>
      </c>
      <c r="X306" s="682">
        <f t="shared" si="96"/>
        <v>58381650.879999995</v>
      </c>
    </row>
    <row r="307" spans="2:24" ht="12.75">
      <c r="B307" s="357"/>
      <c r="C307" s="59"/>
      <c r="D307" s="56">
        <v>630</v>
      </c>
      <c r="E307" s="182"/>
      <c r="F307" s="359"/>
      <c r="G307" s="360"/>
      <c r="H307" s="1162" t="s">
        <v>334</v>
      </c>
      <c r="I307" s="1163"/>
      <c r="J307" s="453"/>
      <c r="K307" s="386">
        <f>SUM(K309:K314)</f>
        <v>9900000</v>
      </c>
      <c r="L307" s="386">
        <f aca="true" t="shared" si="116" ref="L307:U307">SUM(L309:L314)</f>
        <v>117600</v>
      </c>
      <c r="M307" s="386">
        <f>SUM(M309:M314)</f>
        <v>9700000</v>
      </c>
      <c r="N307" s="386">
        <f>SUM(N308:N314)</f>
        <v>14000000</v>
      </c>
      <c r="O307" s="386">
        <f t="shared" si="116"/>
        <v>0</v>
      </c>
      <c r="P307" s="386">
        <f t="shared" si="116"/>
        <v>0</v>
      </c>
      <c r="Q307" s="386">
        <f t="shared" si="116"/>
        <v>32216642.88</v>
      </c>
      <c r="R307" s="386">
        <f t="shared" si="116"/>
        <v>12165008</v>
      </c>
      <c r="S307" s="386">
        <f t="shared" si="116"/>
        <v>0</v>
      </c>
      <c r="T307" s="386">
        <f t="shared" si="116"/>
        <v>0</v>
      </c>
      <c r="U307" s="386">
        <f t="shared" si="116"/>
        <v>44381650.879999995</v>
      </c>
      <c r="V307" s="896">
        <f>SUM(N307:T307)</f>
        <v>58381650.879999995</v>
      </c>
      <c r="W307" s="896">
        <f>V307</f>
        <v>58381650.879999995</v>
      </c>
      <c r="X307" s="771">
        <f t="shared" si="96"/>
        <v>58381650.879999995</v>
      </c>
    </row>
    <row r="308" spans="2:24" ht="12.75">
      <c r="B308" s="376"/>
      <c r="C308" s="339"/>
      <c r="D308" s="61"/>
      <c r="E308" s="554"/>
      <c r="F308" s="371">
        <v>218</v>
      </c>
      <c r="G308" s="371">
        <v>424</v>
      </c>
      <c r="H308" s="355" t="s">
        <v>1576</v>
      </c>
      <c r="I308" s="450"/>
      <c r="J308" s="453"/>
      <c r="K308" s="539"/>
      <c r="L308" s="539"/>
      <c r="M308" s="539"/>
      <c r="N308" s="539">
        <v>2600000</v>
      </c>
      <c r="O308" s="539">
        <v>0</v>
      </c>
      <c r="P308" s="539">
        <v>0</v>
      </c>
      <c r="Q308" s="762">
        <v>0</v>
      </c>
      <c r="R308" s="1011">
        <v>0</v>
      </c>
      <c r="S308" s="1011">
        <v>0</v>
      </c>
      <c r="T308" s="1011">
        <v>0</v>
      </c>
      <c r="U308" s="767"/>
      <c r="V308" s="809">
        <f>SUM(N308:U308)</f>
        <v>2600000</v>
      </c>
      <c r="W308" s="809">
        <f>SUM(O308:V308)</f>
        <v>2600000</v>
      </c>
      <c r="X308" s="809">
        <f>SUM(P308:W308)</f>
        <v>5200000</v>
      </c>
    </row>
    <row r="309" spans="2:24" ht="12.75">
      <c r="B309" s="376"/>
      <c r="C309" s="339"/>
      <c r="D309" s="61"/>
      <c r="E309" s="554"/>
      <c r="F309" s="837">
        <v>219</v>
      </c>
      <c r="G309" s="371">
        <v>425</v>
      </c>
      <c r="H309" s="355" t="s">
        <v>1571</v>
      </c>
      <c r="I309" s="75"/>
      <c r="J309" s="766"/>
      <c r="K309" s="539">
        <v>2500000</v>
      </c>
      <c r="L309" s="539">
        <v>0</v>
      </c>
      <c r="M309" s="539">
        <v>2500000</v>
      </c>
      <c r="N309" s="539">
        <v>1500000</v>
      </c>
      <c r="O309" s="539">
        <v>0</v>
      </c>
      <c r="P309" s="539">
        <v>0</v>
      </c>
      <c r="Q309" s="762">
        <v>0</v>
      </c>
      <c r="R309" s="1011">
        <v>0</v>
      </c>
      <c r="S309" s="1011">
        <v>0</v>
      </c>
      <c r="T309" s="1011">
        <v>0</v>
      </c>
      <c r="U309" s="765"/>
      <c r="V309" s="809">
        <f t="shared" si="114"/>
        <v>1500000</v>
      </c>
      <c r="W309" s="809">
        <f t="shared" si="95"/>
        <v>1500000</v>
      </c>
      <c r="X309" s="763">
        <f t="shared" si="96"/>
        <v>1500000</v>
      </c>
    </row>
    <row r="310" spans="2:24" s="367" customFormat="1" ht="25.5" customHeight="1">
      <c r="B310" s="816"/>
      <c r="C310" s="835"/>
      <c r="D310" s="836"/>
      <c r="E310" s="817"/>
      <c r="F310" s="837">
        <v>220</v>
      </c>
      <c r="G310" s="837">
        <v>511</v>
      </c>
      <c r="H310" s="1213" t="s">
        <v>1575</v>
      </c>
      <c r="I310" s="1214"/>
      <c r="J310" s="1215"/>
      <c r="K310" s="1014">
        <v>900000</v>
      </c>
      <c r="L310" s="1014">
        <v>117600</v>
      </c>
      <c r="M310" s="1014">
        <v>900000</v>
      </c>
      <c r="N310" s="1014">
        <v>3400000</v>
      </c>
      <c r="O310" s="829">
        <v>0</v>
      </c>
      <c r="P310" s="372">
        <v>0</v>
      </c>
      <c r="Q310" s="373">
        <v>0</v>
      </c>
      <c r="R310" s="383">
        <v>0</v>
      </c>
      <c r="S310" s="383">
        <v>0</v>
      </c>
      <c r="T310" s="383">
        <v>0</v>
      </c>
      <c r="U310" s="891">
        <f t="shared" si="97"/>
        <v>0</v>
      </c>
      <c r="V310" s="906">
        <f t="shared" si="114"/>
        <v>3400000</v>
      </c>
      <c r="W310" s="906">
        <f t="shared" si="95"/>
        <v>3400000</v>
      </c>
      <c r="X310" s="906">
        <f t="shared" si="96"/>
        <v>3400000</v>
      </c>
    </row>
    <row r="311" spans="2:24" ht="12.75">
      <c r="B311" s="376"/>
      <c r="C311" s="339"/>
      <c r="D311" s="471"/>
      <c r="E311" s="378"/>
      <c r="F311" s="577">
        <v>221</v>
      </c>
      <c r="G311" s="371">
        <v>511</v>
      </c>
      <c r="H311" s="1182" t="s">
        <v>1537</v>
      </c>
      <c r="I311" s="1183"/>
      <c r="J311" s="1184"/>
      <c r="K311" s="379">
        <v>500000</v>
      </c>
      <c r="L311" s="379">
        <v>0</v>
      </c>
      <c r="M311" s="379">
        <v>500000</v>
      </c>
      <c r="N311" s="379">
        <v>500000</v>
      </c>
      <c r="O311" s="361">
        <v>0</v>
      </c>
      <c r="P311" s="547">
        <v>0</v>
      </c>
      <c r="Q311" s="414">
        <v>0</v>
      </c>
      <c r="R311" s="427">
        <v>0</v>
      </c>
      <c r="S311" s="414">
        <v>0</v>
      </c>
      <c r="T311" s="427">
        <v>0</v>
      </c>
      <c r="U311" s="765">
        <f t="shared" si="97"/>
        <v>0</v>
      </c>
      <c r="V311" s="809">
        <f t="shared" si="114"/>
        <v>500000</v>
      </c>
      <c r="W311" s="809">
        <f t="shared" si="95"/>
        <v>500000</v>
      </c>
      <c r="X311" s="383">
        <f t="shared" si="96"/>
        <v>500000</v>
      </c>
    </row>
    <row r="312" spans="2:24" ht="12.75">
      <c r="B312" s="376"/>
      <c r="C312" s="339"/>
      <c r="D312" s="471"/>
      <c r="E312" s="378"/>
      <c r="F312" s="837">
        <v>222</v>
      </c>
      <c r="G312" s="371">
        <v>511</v>
      </c>
      <c r="H312" s="1182" t="s">
        <v>1538</v>
      </c>
      <c r="I312" s="1183"/>
      <c r="J312" s="1184"/>
      <c r="K312" s="379">
        <v>5000000</v>
      </c>
      <c r="L312" s="379">
        <v>0</v>
      </c>
      <c r="M312" s="379">
        <v>5000000</v>
      </c>
      <c r="N312" s="379">
        <v>5000000</v>
      </c>
      <c r="O312" s="361">
        <v>0</v>
      </c>
      <c r="P312" s="547">
        <v>0</v>
      </c>
      <c r="Q312" s="414">
        <v>32216642.88</v>
      </c>
      <c r="R312" s="427">
        <v>10865008</v>
      </c>
      <c r="S312" s="414">
        <v>0</v>
      </c>
      <c r="T312" s="427">
        <v>0</v>
      </c>
      <c r="U312" s="765">
        <f t="shared" si="97"/>
        <v>43081650.879999995</v>
      </c>
      <c r="V312" s="809">
        <f t="shared" si="114"/>
        <v>48081650.879999995</v>
      </c>
      <c r="W312" s="809">
        <f t="shared" si="95"/>
        <v>48081650.879999995</v>
      </c>
      <c r="X312" s="383">
        <f t="shared" si="96"/>
        <v>48081650.879999995</v>
      </c>
    </row>
    <row r="313" spans="2:24" ht="12.75">
      <c r="B313" s="376"/>
      <c r="C313" s="339"/>
      <c r="D313" s="471"/>
      <c r="E313" s="378"/>
      <c r="F313" s="577">
        <v>223</v>
      </c>
      <c r="G313" s="371">
        <v>511</v>
      </c>
      <c r="H313" s="1182" t="s">
        <v>1435</v>
      </c>
      <c r="I313" s="1183"/>
      <c r="J313" s="1184"/>
      <c r="K313" s="379">
        <v>700000</v>
      </c>
      <c r="L313" s="379">
        <v>0</v>
      </c>
      <c r="M313" s="379">
        <v>700000</v>
      </c>
      <c r="N313" s="379">
        <v>700000</v>
      </c>
      <c r="O313" s="361">
        <v>0</v>
      </c>
      <c r="P313" s="547">
        <v>0</v>
      </c>
      <c r="Q313" s="414">
        <v>0</v>
      </c>
      <c r="R313" s="427">
        <v>1300000</v>
      </c>
      <c r="S313" s="427">
        <v>0</v>
      </c>
      <c r="T313" s="427">
        <v>0</v>
      </c>
      <c r="U313" s="765">
        <f t="shared" si="97"/>
        <v>1300000</v>
      </c>
      <c r="V313" s="809">
        <f t="shared" si="114"/>
        <v>2000000</v>
      </c>
      <c r="W313" s="809">
        <f t="shared" si="95"/>
        <v>2000000</v>
      </c>
      <c r="X313" s="383">
        <f t="shared" si="96"/>
        <v>2000000</v>
      </c>
    </row>
    <row r="314" spans="2:24" s="363" customFormat="1" ht="12.75">
      <c r="B314" s="357"/>
      <c r="C314" s="59"/>
      <c r="D314" s="56"/>
      <c r="E314" s="182"/>
      <c r="F314" s="577">
        <v>224</v>
      </c>
      <c r="G314" s="360">
        <v>511</v>
      </c>
      <c r="H314" s="1182" t="s">
        <v>1436</v>
      </c>
      <c r="I314" s="1183"/>
      <c r="J314" s="1184"/>
      <c r="K314" s="788">
        <v>300000</v>
      </c>
      <c r="L314" s="788">
        <v>0</v>
      </c>
      <c r="M314" s="788">
        <v>100000</v>
      </c>
      <c r="N314" s="788">
        <v>300000</v>
      </c>
      <c r="O314" s="361">
        <v>0</v>
      </c>
      <c r="P314" s="429">
        <v>0</v>
      </c>
      <c r="Q314" s="429">
        <v>0</v>
      </c>
      <c r="R314" s="415">
        <v>0</v>
      </c>
      <c r="S314" s="415">
        <v>0</v>
      </c>
      <c r="T314" s="415">
        <v>0</v>
      </c>
      <c r="U314" s="416">
        <f t="shared" si="97"/>
        <v>0</v>
      </c>
      <c r="V314" s="383">
        <f t="shared" si="114"/>
        <v>300000</v>
      </c>
      <c r="W314" s="383">
        <f t="shared" si="95"/>
        <v>300000</v>
      </c>
      <c r="X314" s="383">
        <f t="shared" si="96"/>
        <v>300000</v>
      </c>
    </row>
    <row r="315" spans="2:24" ht="14.25" customHeight="1">
      <c r="B315" s="287"/>
      <c r="C315" s="288"/>
      <c r="D315" s="436"/>
      <c r="E315" s="353" t="s">
        <v>1258</v>
      </c>
      <c r="F315" s="436"/>
      <c r="G315" s="437"/>
      <c r="H315" s="1168" t="s">
        <v>1253</v>
      </c>
      <c r="I315" s="1169"/>
      <c r="J315" s="1170"/>
      <c r="K315" s="981">
        <f aca="true" t="shared" si="117" ref="K315:T315">K316</f>
        <v>2500000</v>
      </c>
      <c r="L315" s="981">
        <f t="shared" si="117"/>
        <v>1741380</v>
      </c>
      <c r="M315" s="981">
        <f t="shared" si="117"/>
        <v>2550000</v>
      </c>
      <c r="N315" s="981">
        <f t="shared" si="117"/>
        <v>2950000</v>
      </c>
      <c r="O315" s="293">
        <f t="shared" si="117"/>
        <v>0</v>
      </c>
      <c r="P315" s="293">
        <f t="shared" si="117"/>
        <v>0</v>
      </c>
      <c r="Q315" s="293">
        <f t="shared" si="117"/>
        <v>0</v>
      </c>
      <c r="R315" s="293">
        <f t="shared" si="117"/>
        <v>0</v>
      </c>
      <c r="S315" s="293">
        <f t="shared" si="117"/>
        <v>0</v>
      </c>
      <c r="T315" s="341">
        <f t="shared" si="117"/>
        <v>0</v>
      </c>
      <c r="U315" s="341">
        <f t="shared" si="97"/>
        <v>0</v>
      </c>
      <c r="V315" s="682">
        <f t="shared" si="114"/>
        <v>2950000</v>
      </c>
      <c r="W315" s="682">
        <f t="shared" si="95"/>
        <v>2950000</v>
      </c>
      <c r="X315" s="682">
        <f t="shared" si="96"/>
        <v>2950000</v>
      </c>
    </row>
    <row r="316" spans="2:24" s="23" customFormat="1" ht="12.75">
      <c r="B316" s="565"/>
      <c r="C316" s="566"/>
      <c r="D316" s="182" t="s">
        <v>421</v>
      </c>
      <c r="E316" s="182"/>
      <c r="F316" s="567"/>
      <c r="G316" s="568"/>
      <c r="H316" s="74" t="s">
        <v>1269</v>
      </c>
      <c r="I316" s="75"/>
      <c r="J316" s="766"/>
      <c r="K316" s="558">
        <f>SUM(K317:K319)</f>
        <v>2500000</v>
      </c>
      <c r="L316" s="558">
        <f>SUM(L317:L319)</f>
        <v>1741380</v>
      </c>
      <c r="M316" s="558">
        <f>SUM(M317:M319)</f>
        <v>2550000</v>
      </c>
      <c r="N316" s="558">
        <f>SUM(N317:N319)</f>
        <v>2950000</v>
      </c>
      <c r="O316" s="66">
        <f aca="true" t="shared" si="118" ref="O316:T316">SUM(O317:O319)</f>
        <v>0</v>
      </c>
      <c r="P316" s="66">
        <f t="shared" si="118"/>
        <v>0</v>
      </c>
      <c r="Q316" s="66">
        <f t="shared" si="118"/>
        <v>0</v>
      </c>
      <c r="R316" s="66">
        <f t="shared" si="118"/>
        <v>0</v>
      </c>
      <c r="S316" s="66">
        <f t="shared" si="118"/>
        <v>0</v>
      </c>
      <c r="T316" s="66">
        <f t="shared" si="118"/>
        <v>0</v>
      </c>
      <c r="U316" s="345">
        <f t="shared" si="97"/>
        <v>0</v>
      </c>
      <c r="V316" s="896">
        <f t="shared" si="114"/>
        <v>2950000</v>
      </c>
      <c r="W316" s="896">
        <f t="shared" si="95"/>
        <v>2950000</v>
      </c>
      <c r="X316" s="896">
        <f t="shared" si="96"/>
        <v>2950000</v>
      </c>
    </row>
    <row r="317" spans="2:24" ht="12.75">
      <c r="B317" s="438"/>
      <c r="C317" s="439"/>
      <c r="D317" s="467"/>
      <c r="E317" s="358"/>
      <c r="F317" s="440">
        <v>225</v>
      </c>
      <c r="G317" s="441">
        <v>423</v>
      </c>
      <c r="H317" s="1182" t="s">
        <v>1437</v>
      </c>
      <c r="I317" s="1183"/>
      <c r="J317" s="1184"/>
      <c r="K317" s="788">
        <v>2000000</v>
      </c>
      <c r="L317" s="788">
        <v>1319388</v>
      </c>
      <c r="M317" s="788">
        <v>2000000</v>
      </c>
      <c r="N317" s="788">
        <v>2400000</v>
      </c>
      <c r="O317" s="361">
        <v>0</v>
      </c>
      <c r="P317" s="361">
        <v>0</v>
      </c>
      <c r="Q317" s="361">
        <v>0</v>
      </c>
      <c r="R317" s="362">
        <v>0</v>
      </c>
      <c r="S317" s="415">
        <v>0</v>
      </c>
      <c r="T317" s="362">
        <v>0</v>
      </c>
      <c r="U317" s="362">
        <f t="shared" si="97"/>
        <v>0</v>
      </c>
      <c r="V317" s="809">
        <f t="shared" si="114"/>
        <v>2400000</v>
      </c>
      <c r="W317" s="809">
        <f t="shared" si="95"/>
        <v>2400000</v>
      </c>
      <c r="X317" s="809">
        <f t="shared" si="96"/>
        <v>2400000</v>
      </c>
    </row>
    <row r="318" spans="2:24" s="363" customFormat="1" ht="12.75">
      <c r="B318" s="357"/>
      <c r="C318" s="59"/>
      <c r="D318" s="56"/>
      <c r="E318" s="182"/>
      <c r="F318" s="440">
        <v>226</v>
      </c>
      <c r="G318" s="360">
        <v>424</v>
      </c>
      <c r="H318" s="1227" t="s">
        <v>1439</v>
      </c>
      <c r="I318" s="1228"/>
      <c r="J318" s="1229"/>
      <c r="K318" s="979">
        <v>400000</v>
      </c>
      <c r="L318" s="979">
        <v>322992</v>
      </c>
      <c r="M318" s="979">
        <v>450000</v>
      </c>
      <c r="N318" s="979">
        <v>450000</v>
      </c>
      <c r="O318" s="361">
        <v>0</v>
      </c>
      <c r="P318" s="429">
        <v>0</v>
      </c>
      <c r="Q318" s="429">
        <v>0</v>
      </c>
      <c r="R318" s="415">
        <v>0</v>
      </c>
      <c r="S318" s="415">
        <v>0</v>
      </c>
      <c r="T318" s="415">
        <v>0</v>
      </c>
      <c r="U318" s="416">
        <f t="shared" si="97"/>
        <v>0</v>
      </c>
      <c r="V318" s="383">
        <f t="shared" si="114"/>
        <v>450000</v>
      </c>
      <c r="W318" s="383">
        <f t="shared" si="95"/>
        <v>450000</v>
      </c>
      <c r="X318" s="383">
        <f t="shared" si="96"/>
        <v>450000</v>
      </c>
    </row>
    <row r="319" spans="2:24" s="363" customFormat="1" ht="12.75">
      <c r="B319" s="376"/>
      <c r="C319" s="339"/>
      <c r="D319" s="61"/>
      <c r="E319" s="554"/>
      <c r="F319" s="531">
        <v>227</v>
      </c>
      <c r="G319" s="371">
        <v>424</v>
      </c>
      <c r="H319" s="1221" t="s">
        <v>1438</v>
      </c>
      <c r="I319" s="1222"/>
      <c r="J319" s="1223"/>
      <c r="K319" s="1005">
        <v>100000</v>
      </c>
      <c r="L319" s="1005">
        <v>99000</v>
      </c>
      <c r="M319" s="1005">
        <v>100000</v>
      </c>
      <c r="N319" s="1005">
        <v>100000</v>
      </c>
      <c r="O319" s="414">
        <v>0</v>
      </c>
      <c r="P319" s="653">
        <v>0</v>
      </c>
      <c r="Q319" s="653">
        <v>0</v>
      </c>
      <c r="R319" s="428">
        <v>0</v>
      </c>
      <c r="S319" s="428">
        <v>0</v>
      </c>
      <c r="T319" s="428">
        <v>0</v>
      </c>
      <c r="U319" s="428">
        <f t="shared" si="97"/>
        <v>0</v>
      </c>
      <c r="V319" s="383">
        <f t="shared" si="114"/>
        <v>100000</v>
      </c>
      <c r="W319" s="383">
        <f t="shared" si="95"/>
        <v>100000</v>
      </c>
      <c r="X319" s="383">
        <f t="shared" si="96"/>
        <v>100000</v>
      </c>
    </row>
    <row r="320" spans="2:24" ht="12.75" customHeight="1">
      <c r="B320" s="287"/>
      <c r="C320" s="288"/>
      <c r="D320" s="436"/>
      <c r="E320" s="353" t="s">
        <v>1256</v>
      </c>
      <c r="F320" s="436"/>
      <c r="G320" s="437"/>
      <c r="H320" s="1168" t="s">
        <v>1280</v>
      </c>
      <c r="I320" s="1169"/>
      <c r="J320" s="1170"/>
      <c r="K320" s="981">
        <f aca="true" t="shared" si="119" ref="K320:T320">K321</f>
        <v>8000000</v>
      </c>
      <c r="L320" s="981">
        <f t="shared" si="119"/>
        <v>2700000</v>
      </c>
      <c r="M320" s="981">
        <f t="shared" si="119"/>
        <v>8000000</v>
      </c>
      <c r="N320" s="981">
        <f t="shared" si="119"/>
        <v>12000000</v>
      </c>
      <c r="O320" s="293">
        <f t="shared" si="119"/>
        <v>0</v>
      </c>
      <c r="P320" s="293">
        <f t="shared" si="119"/>
        <v>0</v>
      </c>
      <c r="Q320" s="293">
        <f t="shared" si="119"/>
        <v>0</v>
      </c>
      <c r="R320" s="293">
        <f t="shared" si="119"/>
        <v>0</v>
      </c>
      <c r="S320" s="293">
        <f t="shared" si="119"/>
        <v>0</v>
      </c>
      <c r="T320" s="341">
        <f t="shared" si="119"/>
        <v>0</v>
      </c>
      <c r="U320" s="341">
        <f t="shared" si="97"/>
        <v>0</v>
      </c>
      <c r="V320" s="682">
        <f t="shared" si="114"/>
        <v>12000000</v>
      </c>
      <c r="W320" s="682">
        <f t="shared" si="95"/>
        <v>12000000</v>
      </c>
      <c r="X320" s="682">
        <f t="shared" si="96"/>
        <v>12000000</v>
      </c>
    </row>
    <row r="321" spans="2:24" ht="12.75">
      <c r="B321" s="357"/>
      <c r="C321" s="59"/>
      <c r="D321" s="56">
        <v>620</v>
      </c>
      <c r="E321" s="58"/>
      <c r="F321" s="440"/>
      <c r="G321" s="441"/>
      <c r="H321" s="74" t="s">
        <v>116</v>
      </c>
      <c r="I321" s="75"/>
      <c r="J321" s="453"/>
      <c r="K321" s="994">
        <f aca="true" t="shared" si="120" ref="K321:T321">SUM(K322:K322)</f>
        <v>8000000</v>
      </c>
      <c r="L321" s="994">
        <f t="shared" si="120"/>
        <v>2700000</v>
      </c>
      <c r="M321" s="994">
        <f t="shared" si="120"/>
        <v>8000000</v>
      </c>
      <c r="N321" s="994">
        <f t="shared" si="120"/>
        <v>12000000</v>
      </c>
      <c r="O321" s="69">
        <f t="shared" si="120"/>
        <v>0</v>
      </c>
      <c r="P321" s="69">
        <f t="shared" si="120"/>
        <v>0</v>
      </c>
      <c r="Q321" s="69">
        <f t="shared" si="120"/>
        <v>0</v>
      </c>
      <c r="R321" s="69">
        <f t="shared" si="120"/>
        <v>0</v>
      </c>
      <c r="S321" s="749">
        <f t="shared" si="120"/>
        <v>0</v>
      </c>
      <c r="T321" s="69">
        <f t="shared" si="120"/>
        <v>0</v>
      </c>
      <c r="U321" s="344">
        <f t="shared" si="97"/>
        <v>0</v>
      </c>
      <c r="V321" s="896">
        <f t="shared" si="114"/>
        <v>12000000</v>
      </c>
      <c r="W321" s="896">
        <f t="shared" si="95"/>
        <v>12000000</v>
      </c>
      <c r="X321" s="896">
        <f t="shared" si="96"/>
        <v>12000000</v>
      </c>
    </row>
    <row r="322" spans="2:24" ht="12.75">
      <c r="B322" s="357"/>
      <c r="C322" s="59"/>
      <c r="D322" s="365"/>
      <c r="E322" s="658"/>
      <c r="F322" s="549">
        <v>228</v>
      </c>
      <c r="G322" s="555">
        <v>451</v>
      </c>
      <c r="H322" s="1182" t="s">
        <v>1461</v>
      </c>
      <c r="I322" s="1183"/>
      <c r="J322" s="1184"/>
      <c r="K322" s="788">
        <v>8000000</v>
      </c>
      <c r="L322" s="788">
        <v>2700000</v>
      </c>
      <c r="M322" s="788">
        <v>8000000</v>
      </c>
      <c r="N322" s="788">
        <v>12000000</v>
      </c>
      <c r="O322" s="361">
        <v>0</v>
      </c>
      <c r="P322" s="547">
        <v>0</v>
      </c>
      <c r="Q322" s="429">
        <v>0</v>
      </c>
      <c r="R322" s="429">
        <v>0</v>
      </c>
      <c r="S322" s="640">
        <v>0</v>
      </c>
      <c r="T322" s="469">
        <v>0</v>
      </c>
      <c r="U322" s="469">
        <f t="shared" si="97"/>
        <v>0</v>
      </c>
      <c r="V322" s="809">
        <f t="shared" si="114"/>
        <v>12000000</v>
      </c>
      <c r="W322" s="809">
        <f t="shared" si="95"/>
        <v>12000000</v>
      </c>
      <c r="X322" s="809">
        <f t="shared" si="96"/>
        <v>12000000</v>
      </c>
    </row>
    <row r="323" spans="2:24" ht="27" customHeight="1">
      <c r="B323" s="287"/>
      <c r="C323" s="288"/>
      <c r="D323" s="436"/>
      <c r="E323" s="659" t="s">
        <v>307</v>
      </c>
      <c r="F323" s="660"/>
      <c r="G323" s="660"/>
      <c r="H323" s="1248" t="s">
        <v>1372</v>
      </c>
      <c r="I323" s="1249"/>
      <c r="J323" s="1249"/>
      <c r="K323" s="1015">
        <f>K324+K327</f>
        <v>23600000</v>
      </c>
      <c r="L323" s="1015">
        <f>L324+L327</f>
        <v>15930868.02</v>
      </c>
      <c r="M323" s="1015">
        <f>M324+M327</f>
        <v>27600000</v>
      </c>
      <c r="N323" s="1015">
        <f>N324+N327</f>
        <v>28500000</v>
      </c>
      <c r="O323" s="293">
        <f aca="true" t="shared" si="121" ref="O323:T323">O324+O327</f>
        <v>0</v>
      </c>
      <c r="P323" s="293">
        <f t="shared" si="121"/>
        <v>0</v>
      </c>
      <c r="Q323" s="293">
        <f t="shared" si="121"/>
        <v>0</v>
      </c>
      <c r="R323" s="293">
        <f t="shared" si="121"/>
        <v>13000000</v>
      </c>
      <c r="S323" s="293">
        <f t="shared" si="121"/>
        <v>0</v>
      </c>
      <c r="T323" s="293">
        <f t="shared" si="121"/>
        <v>0</v>
      </c>
      <c r="U323" s="341">
        <f t="shared" si="97"/>
        <v>13000000</v>
      </c>
      <c r="V323" s="682">
        <f t="shared" si="114"/>
        <v>41500000</v>
      </c>
      <c r="W323" s="682">
        <f t="shared" si="95"/>
        <v>41500000</v>
      </c>
      <c r="X323" s="682">
        <f t="shared" si="96"/>
        <v>41500000</v>
      </c>
    </row>
    <row r="324" spans="2:24" ht="15" customHeight="1">
      <c r="B324" s="287"/>
      <c r="C324" s="288"/>
      <c r="D324" s="436"/>
      <c r="E324" s="353" t="s">
        <v>323</v>
      </c>
      <c r="F324" s="436"/>
      <c r="G324" s="437"/>
      <c r="H324" s="1245" t="s">
        <v>1261</v>
      </c>
      <c r="I324" s="1246"/>
      <c r="J324" s="1247"/>
      <c r="K324" s="981">
        <f aca="true" t="shared" si="122" ref="K324:T324">K325</f>
        <v>6000000</v>
      </c>
      <c r="L324" s="981">
        <f t="shared" si="122"/>
        <v>4107145</v>
      </c>
      <c r="M324" s="981">
        <f t="shared" si="122"/>
        <v>11000000</v>
      </c>
      <c r="N324" s="981">
        <f t="shared" si="122"/>
        <v>11000000</v>
      </c>
      <c r="O324" s="293">
        <f t="shared" si="122"/>
        <v>0</v>
      </c>
      <c r="P324" s="293">
        <f t="shared" si="122"/>
        <v>0</v>
      </c>
      <c r="Q324" s="293">
        <f t="shared" si="122"/>
        <v>0</v>
      </c>
      <c r="R324" s="757">
        <f t="shared" si="122"/>
        <v>3000000</v>
      </c>
      <c r="S324" s="293">
        <f t="shared" si="122"/>
        <v>0</v>
      </c>
      <c r="T324" s="341">
        <f t="shared" si="122"/>
        <v>0</v>
      </c>
      <c r="U324" s="341">
        <f t="shared" si="97"/>
        <v>3000000</v>
      </c>
      <c r="V324" s="682">
        <f t="shared" si="114"/>
        <v>14000000</v>
      </c>
      <c r="W324" s="682">
        <f t="shared" si="95"/>
        <v>14000000</v>
      </c>
      <c r="X324" s="682">
        <f t="shared" si="96"/>
        <v>14000000</v>
      </c>
    </row>
    <row r="325" spans="2:24" s="23" customFormat="1" ht="12.75">
      <c r="B325" s="645"/>
      <c r="C325" s="646"/>
      <c r="D325" s="56">
        <v>620</v>
      </c>
      <c r="E325" s="182"/>
      <c r="F325" s="647"/>
      <c r="G325" s="648"/>
      <c r="H325" s="1162" t="s">
        <v>116</v>
      </c>
      <c r="I325" s="1163"/>
      <c r="J325" s="766"/>
      <c r="K325" s="558">
        <f aca="true" t="shared" si="123" ref="K325:T325">SUM(K326:K326)</f>
        <v>6000000</v>
      </c>
      <c r="L325" s="558">
        <f t="shared" si="123"/>
        <v>4107145</v>
      </c>
      <c r="M325" s="558">
        <f t="shared" si="123"/>
        <v>11000000</v>
      </c>
      <c r="N325" s="558">
        <f t="shared" si="123"/>
        <v>11000000</v>
      </c>
      <c r="O325" s="66">
        <f t="shared" si="123"/>
        <v>0</v>
      </c>
      <c r="P325" s="66">
        <f t="shared" si="123"/>
        <v>0</v>
      </c>
      <c r="Q325" s="345">
        <f t="shared" si="123"/>
        <v>0</v>
      </c>
      <c r="R325" s="683">
        <f t="shared" si="123"/>
        <v>3000000</v>
      </c>
      <c r="S325" s="66">
        <f t="shared" si="123"/>
        <v>0</v>
      </c>
      <c r="T325" s="66">
        <f t="shared" si="123"/>
        <v>0</v>
      </c>
      <c r="U325" s="618">
        <f t="shared" si="97"/>
        <v>3000000</v>
      </c>
      <c r="V325" s="896">
        <f t="shared" si="114"/>
        <v>14000000</v>
      </c>
      <c r="W325" s="896">
        <f t="shared" si="95"/>
        <v>14000000</v>
      </c>
      <c r="X325" s="896">
        <f t="shared" si="96"/>
        <v>14000000</v>
      </c>
    </row>
    <row r="326" spans="2:24" s="500" customFormat="1" ht="26.25" customHeight="1">
      <c r="B326" s="824"/>
      <c r="C326" s="825"/>
      <c r="D326" s="826"/>
      <c r="E326" s="827"/>
      <c r="F326" s="826">
        <v>229</v>
      </c>
      <c r="G326" s="828">
        <v>511</v>
      </c>
      <c r="H326" s="1205" t="s">
        <v>1536</v>
      </c>
      <c r="I326" s="1206"/>
      <c r="J326" s="1207"/>
      <c r="K326" s="1016">
        <v>6000000</v>
      </c>
      <c r="L326" s="1016">
        <v>4107145</v>
      </c>
      <c r="M326" s="1016">
        <v>11000000</v>
      </c>
      <c r="N326" s="1016">
        <v>11000000</v>
      </c>
      <c r="O326" s="829">
        <v>0</v>
      </c>
      <c r="P326" s="830">
        <v>0</v>
      </c>
      <c r="Q326" s="831">
        <v>0</v>
      </c>
      <c r="R326" s="832">
        <v>3000000</v>
      </c>
      <c r="S326" s="833">
        <v>0</v>
      </c>
      <c r="T326" s="834">
        <v>0</v>
      </c>
      <c r="U326" s="892">
        <f t="shared" si="97"/>
        <v>3000000</v>
      </c>
      <c r="V326" s="634">
        <f t="shared" si="114"/>
        <v>14000000</v>
      </c>
      <c r="W326" s="634">
        <f t="shared" si="95"/>
        <v>14000000</v>
      </c>
      <c r="X326" s="634">
        <f t="shared" si="96"/>
        <v>14000000</v>
      </c>
    </row>
    <row r="327" spans="2:24" ht="15" customHeight="1">
      <c r="B327" s="287"/>
      <c r="C327" s="288"/>
      <c r="D327" s="436"/>
      <c r="E327" s="353" t="s">
        <v>1263</v>
      </c>
      <c r="F327" s="436"/>
      <c r="G327" s="437"/>
      <c r="H327" s="1168" t="s">
        <v>1264</v>
      </c>
      <c r="I327" s="1169"/>
      <c r="J327" s="1170"/>
      <c r="K327" s="981">
        <f aca="true" t="shared" si="124" ref="K327:T327">K328</f>
        <v>17600000</v>
      </c>
      <c r="L327" s="981">
        <f t="shared" si="124"/>
        <v>11823723.02</v>
      </c>
      <c r="M327" s="981">
        <f t="shared" si="124"/>
        <v>16600000</v>
      </c>
      <c r="N327" s="981">
        <f t="shared" si="124"/>
        <v>17500000</v>
      </c>
      <c r="O327" s="293">
        <f t="shared" si="124"/>
        <v>0</v>
      </c>
      <c r="P327" s="293">
        <f t="shared" si="124"/>
        <v>0</v>
      </c>
      <c r="Q327" s="293">
        <f t="shared" si="124"/>
        <v>0</v>
      </c>
      <c r="R327" s="293">
        <f t="shared" si="124"/>
        <v>10000000</v>
      </c>
      <c r="S327" s="293">
        <f t="shared" si="124"/>
        <v>0</v>
      </c>
      <c r="T327" s="341">
        <f t="shared" si="124"/>
        <v>0</v>
      </c>
      <c r="U327" s="341">
        <f t="shared" si="97"/>
        <v>10000000</v>
      </c>
      <c r="V327" s="682">
        <f t="shared" si="114"/>
        <v>27500000</v>
      </c>
      <c r="W327" s="682">
        <f t="shared" si="95"/>
        <v>27500000</v>
      </c>
      <c r="X327" s="682">
        <f t="shared" si="96"/>
        <v>27500000</v>
      </c>
    </row>
    <row r="328" spans="2:24" ht="12.75">
      <c r="B328" s="357"/>
      <c r="C328" s="59"/>
      <c r="D328" s="56">
        <v>620</v>
      </c>
      <c r="E328" s="182"/>
      <c r="F328" s="359"/>
      <c r="G328" s="360"/>
      <c r="H328" s="803" t="s">
        <v>116</v>
      </c>
      <c r="I328" s="804"/>
      <c r="J328" s="592"/>
      <c r="K328" s="995">
        <f>SUM(K329:K333)</f>
        <v>17600000</v>
      </c>
      <c r="L328" s="995">
        <f>SUM(L329:L333)</f>
        <v>11823723.02</v>
      </c>
      <c r="M328" s="995">
        <f>SUM(M329:M333)</f>
        <v>16600000</v>
      </c>
      <c r="N328" s="995">
        <f>SUM(N329:N333)</f>
        <v>17500000</v>
      </c>
      <c r="O328" s="596">
        <f aca="true" t="shared" si="125" ref="O328:U328">SUM(O329:O333)</f>
        <v>0</v>
      </c>
      <c r="P328" s="596">
        <f t="shared" si="125"/>
        <v>0</v>
      </c>
      <c r="Q328" s="596">
        <f t="shared" si="125"/>
        <v>0</v>
      </c>
      <c r="R328" s="596">
        <f t="shared" si="125"/>
        <v>10000000</v>
      </c>
      <c r="S328" s="596">
        <f t="shared" si="125"/>
        <v>0</v>
      </c>
      <c r="T328" s="596">
        <f t="shared" si="125"/>
        <v>0</v>
      </c>
      <c r="U328" s="596">
        <f t="shared" si="125"/>
        <v>10000000</v>
      </c>
      <c r="V328" s="896">
        <f t="shared" si="114"/>
        <v>27500000</v>
      </c>
      <c r="W328" s="896">
        <f t="shared" si="95"/>
        <v>27500000</v>
      </c>
      <c r="X328" s="896">
        <f t="shared" si="96"/>
        <v>27500000</v>
      </c>
    </row>
    <row r="329" spans="2:24" s="363" customFormat="1" ht="12.75">
      <c r="B329" s="357"/>
      <c r="C329" s="59"/>
      <c r="D329" s="56"/>
      <c r="E329" s="182"/>
      <c r="F329" s="371">
        <v>230</v>
      </c>
      <c r="G329" s="553">
        <v>424</v>
      </c>
      <c r="H329" s="1199" t="s">
        <v>1440</v>
      </c>
      <c r="I329" s="1199"/>
      <c r="J329" s="1199"/>
      <c r="K329" s="559">
        <v>1000000</v>
      </c>
      <c r="L329" s="559">
        <v>0</v>
      </c>
      <c r="M329" s="559">
        <v>500000</v>
      </c>
      <c r="N329" s="559">
        <v>500000</v>
      </c>
      <c r="O329" s="651">
        <v>0</v>
      </c>
      <c r="P329" s="413">
        <v>0</v>
      </c>
      <c r="Q329" s="429">
        <v>0</v>
      </c>
      <c r="R329" s="415">
        <v>0</v>
      </c>
      <c r="S329" s="429">
        <v>0</v>
      </c>
      <c r="T329" s="415">
        <v>0</v>
      </c>
      <c r="U329" s="416">
        <f t="shared" si="97"/>
        <v>0</v>
      </c>
      <c r="V329" s="383">
        <f t="shared" si="114"/>
        <v>500000</v>
      </c>
      <c r="W329" s="383">
        <f t="shared" si="95"/>
        <v>500000</v>
      </c>
      <c r="X329" s="383">
        <f t="shared" si="96"/>
        <v>500000</v>
      </c>
    </row>
    <row r="330" spans="2:24" s="363" customFormat="1" ht="12.75">
      <c r="B330" s="376"/>
      <c r="C330" s="339"/>
      <c r="D330" s="61"/>
      <c r="E330" s="554"/>
      <c r="F330" s="371">
        <v>232</v>
      </c>
      <c r="G330" s="548">
        <v>424</v>
      </c>
      <c r="H330" s="813" t="s">
        <v>1479</v>
      </c>
      <c r="I330" s="814"/>
      <c r="J330" s="815"/>
      <c r="K330" s="1017">
        <v>8000000</v>
      </c>
      <c r="L330" s="1017">
        <v>5000000</v>
      </c>
      <c r="M330" s="1017">
        <v>8000000</v>
      </c>
      <c r="N330" s="1017">
        <v>8000000</v>
      </c>
      <c r="O330" s="651">
        <v>0</v>
      </c>
      <c r="P330" s="653">
        <v>0</v>
      </c>
      <c r="Q330" s="653">
        <v>0</v>
      </c>
      <c r="R330" s="428">
        <v>10000000</v>
      </c>
      <c r="S330" s="653">
        <v>0</v>
      </c>
      <c r="T330" s="428">
        <v>0</v>
      </c>
      <c r="U330" s="428">
        <f>SUM(R330:T330)</f>
        <v>10000000</v>
      </c>
      <c r="V330" s="383">
        <f t="shared" si="114"/>
        <v>18000000</v>
      </c>
      <c r="W330" s="383">
        <f aca="true" t="shared" si="126" ref="W330:W391">V330</f>
        <v>18000000</v>
      </c>
      <c r="X330" s="906">
        <f aca="true" t="shared" si="127" ref="X330:X391">V330</f>
        <v>18000000</v>
      </c>
    </row>
    <row r="331" spans="2:24" s="363" customFormat="1" ht="12.75">
      <c r="B331" s="376"/>
      <c r="C331" s="339"/>
      <c r="D331" s="61"/>
      <c r="E331" s="554"/>
      <c r="F331" s="370">
        <v>233</v>
      </c>
      <c r="G331" s="548">
        <v>511</v>
      </c>
      <c r="H331" s="1257" t="s">
        <v>1572</v>
      </c>
      <c r="I331" s="1257"/>
      <c r="J331" s="1257"/>
      <c r="K331" s="559">
        <v>800000</v>
      </c>
      <c r="L331" s="559">
        <v>597000</v>
      </c>
      <c r="M331" s="559">
        <v>800000</v>
      </c>
      <c r="N331" s="559">
        <v>2000000</v>
      </c>
      <c r="O331" s="651">
        <v>0</v>
      </c>
      <c r="P331" s="653">
        <v>0</v>
      </c>
      <c r="Q331" s="653">
        <v>0</v>
      </c>
      <c r="R331" s="428">
        <v>0</v>
      </c>
      <c r="S331" s="653">
        <v>0</v>
      </c>
      <c r="T331" s="428">
        <v>0</v>
      </c>
      <c r="U331" s="428">
        <v>0</v>
      </c>
      <c r="V331" s="383">
        <f t="shared" si="114"/>
        <v>2000000</v>
      </c>
      <c r="W331" s="383">
        <f t="shared" si="126"/>
        <v>2000000</v>
      </c>
      <c r="X331" s="383">
        <f t="shared" si="127"/>
        <v>2000000</v>
      </c>
    </row>
    <row r="332" spans="2:24" s="363" customFormat="1" ht="12.75">
      <c r="B332" s="376"/>
      <c r="C332" s="339"/>
      <c r="D332" s="61"/>
      <c r="E332" s="554"/>
      <c r="F332" s="370">
        <v>234</v>
      </c>
      <c r="G332" s="371">
        <v>511</v>
      </c>
      <c r="H332" s="1199" t="s">
        <v>1441</v>
      </c>
      <c r="I332" s="1199"/>
      <c r="J332" s="1199"/>
      <c r="K332" s="559">
        <v>1500000</v>
      </c>
      <c r="L332" s="559">
        <v>0</v>
      </c>
      <c r="M332" s="559">
        <v>1000000</v>
      </c>
      <c r="N332" s="559">
        <v>2000000</v>
      </c>
      <c r="O332" s="651">
        <v>0</v>
      </c>
      <c r="P332" s="653">
        <v>0</v>
      </c>
      <c r="Q332" s="653">
        <v>0</v>
      </c>
      <c r="R332" s="428">
        <v>0</v>
      </c>
      <c r="S332" s="653">
        <v>0</v>
      </c>
      <c r="T332" s="428">
        <v>0</v>
      </c>
      <c r="U332" s="428">
        <f t="shared" si="97"/>
        <v>0</v>
      </c>
      <c r="V332" s="383">
        <f t="shared" si="114"/>
        <v>2000000</v>
      </c>
      <c r="W332" s="383">
        <f t="shared" si="126"/>
        <v>2000000</v>
      </c>
      <c r="X332" s="383">
        <f t="shared" si="127"/>
        <v>2000000</v>
      </c>
    </row>
    <row r="333" spans="2:24" s="363" customFormat="1" ht="12.75">
      <c r="B333" s="376"/>
      <c r="C333" s="339"/>
      <c r="D333" s="61"/>
      <c r="E333" s="554"/>
      <c r="F333" s="370">
        <v>235</v>
      </c>
      <c r="G333" s="371">
        <v>511</v>
      </c>
      <c r="H333" s="1199" t="s">
        <v>1573</v>
      </c>
      <c r="I333" s="1199"/>
      <c r="J333" s="1199"/>
      <c r="K333" s="989">
        <v>6300000</v>
      </c>
      <c r="L333" s="989">
        <v>6226723.02</v>
      </c>
      <c r="M333" s="989">
        <v>6300000</v>
      </c>
      <c r="N333" s="989">
        <v>5000000</v>
      </c>
      <c r="O333" s="780">
        <v>0</v>
      </c>
      <c r="P333" s="653">
        <v>0</v>
      </c>
      <c r="Q333" s="653">
        <v>0</v>
      </c>
      <c r="R333" s="428">
        <v>0</v>
      </c>
      <c r="S333" s="653">
        <v>0</v>
      </c>
      <c r="T333" s="428">
        <v>0</v>
      </c>
      <c r="U333" s="428">
        <v>0</v>
      </c>
      <c r="V333" s="383">
        <f t="shared" si="114"/>
        <v>5000000</v>
      </c>
      <c r="W333" s="383">
        <f t="shared" si="126"/>
        <v>5000000</v>
      </c>
      <c r="X333" s="383">
        <f t="shared" si="127"/>
        <v>5000000</v>
      </c>
    </row>
    <row r="334" spans="2:24" ht="27" customHeight="1">
      <c r="B334" s="287"/>
      <c r="C334" s="288"/>
      <c r="D334" s="436"/>
      <c r="E334" s="636" t="s">
        <v>1265</v>
      </c>
      <c r="F334" s="436"/>
      <c r="G334" s="437"/>
      <c r="H334" s="1250" t="s">
        <v>1476</v>
      </c>
      <c r="I334" s="1189"/>
      <c r="J334" s="1190"/>
      <c r="K334" s="1004">
        <f aca="true" t="shared" si="128" ref="K334:N335">K335</f>
        <v>15000000</v>
      </c>
      <c r="L334" s="1004">
        <f t="shared" si="128"/>
        <v>8793842.399999999</v>
      </c>
      <c r="M334" s="1004">
        <f t="shared" si="128"/>
        <v>15000000</v>
      </c>
      <c r="N334" s="1004">
        <f t="shared" si="128"/>
        <v>15000000</v>
      </c>
      <c r="O334" s="293">
        <f aca="true" t="shared" si="129" ref="O334:T335">O335</f>
        <v>0</v>
      </c>
      <c r="P334" s="293">
        <f t="shared" si="129"/>
        <v>0</v>
      </c>
      <c r="Q334" s="293">
        <f t="shared" si="129"/>
        <v>0</v>
      </c>
      <c r="R334" s="293">
        <f t="shared" si="129"/>
        <v>0</v>
      </c>
      <c r="S334" s="293">
        <f t="shared" si="129"/>
        <v>0</v>
      </c>
      <c r="T334" s="293">
        <f t="shared" si="129"/>
        <v>0</v>
      </c>
      <c r="U334" s="341">
        <f t="shared" si="97"/>
        <v>0</v>
      </c>
      <c r="V334" s="682">
        <f t="shared" si="114"/>
        <v>15000000</v>
      </c>
      <c r="W334" s="682">
        <f t="shared" si="126"/>
        <v>15000000</v>
      </c>
      <c r="X334" s="682">
        <f t="shared" si="127"/>
        <v>15000000</v>
      </c>
    </row>
    <row r="335" spans="2:24" ht="14.25" customHeight="1">
      <c r="B335" s="287"/>
      <c r="C335" s="288"/>
      <c r="D335" s="436"/>
      <c r="E335" s="353" t="s">
        <v>1266</v>
      </c>
      <c r="F335" s="436"/>
      <c r="G335" s="437"/>
      <c r="H335" s="1168" t="s">
        <v>1353</v>
      </c>
      <c r="I335" s="1169"/>
      <c r="J335" s="1170"/>
      <c r="K335" s="981">
        <f t="shared" si="128"/>
        <v>15000000</v>
      </c>
      <c r="L335" s="981">
        <f t="shared" si="128"/>
        <v>8793842.399999999</v>
      </c>
      <c r="M335" s="981">
        <f t="shared" si="128"/>
        <v>15000000</v>
      </c>
      <c r="N335" s="981">
        <f t="shared" si="128"/>
        <v>15000000</v>
      </c>
      <c r="O335" s="293">
        <f t="shared" si="129"/>
        <v>0</v>
      </c>
      <c r="P335" s="293">
        <f t="shared" si="129"/>
        <v>0</v>
      </c>
      <c r="Q335" s="293">
        <f t="shared" si="129"/>
        <v>0</v>
      </c>
      <c r="R335" s="293">
        <f t="shared" si="129"/>
        <v>0</v>
      </c>
      <c r="S335" s="293">
        <f t="shared" si="129"/>
        <v>0</v>
      </c>
      <c r="T335" s="293">
        <f t="shared" si="129"/>
        <v>0</v>
      </c>
      <c r="U335" s="341">
        <f t="shared" si="97"/>
        <v>0</v>
      </c>
      <c r="V335" s="682">
        <f t="shared" si="114"/>
        <v>15000000</v>
      </c>
      <c r="W335" s="682">
        <f t="shared" si="126"/>
        <v>15000000</v>
      </c>
      <c r="X335" s="682">
        <f t="shared" si="127"/>
        <v>15000000</v>
      </c>
    </row>
    <row r="336" spans="2:24" ht="12.75">
      <c r="B336" s="357"/>
      <c r="C336" s="59"/>
      <c r="D336" s="56">
        <v>620</v>
      </c>
      <c r="E336" s="182"/>
      <c r="F336" s="359"/>
      <c r="G336" s="360"/>
      <c r="H336" s="1162" t="s">
        <v>116</v>
      </c>
      <c r="I336" s="1163"/>
      <c r="J336" s="453"/>
      <c r="K336" s="994">
        <f aca="true" t="shared" si="130" ref="K336:T336">SUM(K337:K337)</f>
        <v>15000000</v>
      </c>
      <c r="L336" s="994">
        <f t="shared" si="130"/>
        <v>8793842.399999999</v>
      </c>
      <c r="M336" s="994">
        <f t="shared" si="130"/>
        <v>15000000</v>
      </c>
      <c r="N336" s="994">
        <f t="shared" si="130"/>
        <v>15000000</v>
      </c>
      <c r="O336" s="66">
        <f t="shared" si="130"/>
        <v>0</v>
      </c>
      <c r="P336" s="66">
        <f t="shared" si="130"/>
        <v>0</v>
      </c>
      <c r="Q336" s="66">
        <f t="shared" si="130"/>
        <v>0</v>
      </c>
      <c r="R336" s="66">
        <f t="shared" si="130"/>
        <v>0</v>
      </c>
      <c r="S336" s="66">
        <f t="shared" si="130"/>
        <v>0</v>
      </c>
      <c r="T336" s="66">
        <f t="shared" si="130"/>
        <v>0</v>
      </c>
      <c r="U336" s="618">
        <f t="shared" si="97"/>
        <v>0</v>
      </c>
      <c r="V336" s="896">
        <f t="shared" si="114"/>
        <v>15000000</v>
      </c>
      <c r="W336" s="896">
        <f t="shared" si="126"/>
        <v>15000000</v>
      </c>
      <c r="X336" s="896">
        <f t="shared" si="127"/>
        <v>15000000</v>
      </c>
    </row>
    <row r="337" spans="2:24" s="363" customFormat="1" ht="12.75">
      <c r="B337" s="357"/>
      <c r="C337" s="59"/>
      <c r="D337" s="56"/>
      <c r="E337" s="182"/>
      <c r="F337" s="359">
        <v>236</v>
      </c>
      <c r="G337" s="360">
        <v>511</v>
      </c>
      <c r="H337" s="1182" t="s">
        <v>1539</v>
      </c>
      <c r="I337" s="1183"/>
      <c r="J337" s="1184"/>
      <c r="K337" s="366">
        <v>15000000</v>
      </c>
      <c r="L337" s="366">
        <v>8793842.399999999</v>
      </c>
      <c r="M337" s="366">
        <v>15000000</v>
      </c>
      <c r="N337" s="366">
        <v>15000000</v>
      </c>
      <c r="O337" s="429">
        <v>0</v>
      </c>
      <c r="P337" s="429">
        <v>0</v>
      </c>
      <c r="Q337" s="429">
        <v>0</v>
      </c>
      <c r="R337" s="429">
        <v>0</v>
      </c>
      <c r="S337" s="429">
        <v>0</v>
      </c>
      <c r="T337" s="429">
        <v>0</v>
      </c>
      <c r="U337" s="415">
        <f aca="true" t="shared" si="131" ref="U337:U400">SUM(O337:T337)</f>
        <v>0</v>
      </c>
      <c r="V337" s="383">
        <f aca="true" t="shared" si="132" ref="V337:V372">SUM(N337:T337)</f>
        <v>15000000</v>
      </c>
      <c r="W337" s="383">
        <f t="shared" si="126"/>
        <v>15000000</v>
      </c>
      <c r="X337" s="383">
        <f t="shared" si="127"/>
        <v>15000000</v>
      </c>
    </row>
    <row r="338" spans="2:24" ht="16.5" customHeight="1">
      <c r="B338" s="287"/>
      <c r="C338" s="288"/>
      <c r="D338" s="436"/>
      <c r="E338" s="636" t="s">
        <v>826</v>
      </c>
      <c r="F338" s="436"/>
      <c r="G338" s="437"/>
      <c r="H338" s="1250" t="s">
        <v>168</v>
      </c>
      <c r="I338" s="1189"/>
      <c r="J338" s="1190"/>
      <c r="K338" s="1004">
        <f>K339+K342+K350+K353+K347</f>
        <v>14310000</v>
      </c>
      <c r="L338" s="1004">
        <f>L339+L342+L350+L353+L347</f>
        <v>2784632.56</v>
      </c>
      <c r="M338" s="1004">
        <f>M339+M342+M350+M353+M347</f>
        <v>14030000</v>
      </c>
      <c r="N338" s="1004">
        <f>N339+N342+N350+N353+N347</f>
        <v>6030000</v>
      </c>
      <c r="O338" s="293">
        <f aca="true" t="shared" si="133" ref="O338:T338">O339+O342+O350+O353+O347</f>
        <v>0</v>
      </c>
      <c r="P338" s="293">
        <f t="shared" si="133"/>
        <v>0</v>
      </c>
      <c r="Q338" s="293">
        <f t="shared" si="133"/>
        <v>0</v>
      </c>
      <c r="R338" s="293">
        <f t="shared" si="133"/>
        <v>3065000</v>
      </c>
      <c r="S338" s="293">
        <f t="shared" si="133"/>
        <v>0</v>
      </c>
      <c r="T338" s="293">
        <f t="shared" si="133"/>
        <v>0</v>
      </c>
      <c r="U338" s="341">
        <f t="shared" si="131"/>
        <v>3065000</v>
      </c>
      <c r="V338" s="682">
        <f t="shared" si="132"/>
        <v>9095000</v>
      </c>
      <c r="W338" s="682">
        <f t="shared" si="126"/>
        <v>9095000</v>
      </c>
      <c r="X338" s="682">
        <f t="shared" si="127"/>
        <v>9095000</v>
      </c>
    </row>
    <row r="339" spans="2:24" ht="12.75">
      <c r="B339" s="287"/>
      <c r="C339" s="288"/>
      <c r="D339" s="436"/>
      <c r="E339" s="353" t="s">
        <v>1281</v>
      </c>
      <c r="F339" s="436"/>
      <c r="G339" s="437"/>
      <c r="H339" s="1208" t="s">
        <v>309</v>
      </c>
      <c r="I339" s="1209"/>
      <c r="J339" s="1210"/>
      <c r="K339" s="996">
        <f aca="true" t="shared" si="134" ref="K339:R339">K340</f>
        <v>10000</v>
      </c>
      <c r="L339" s="996">
        <f t="shared" si="134"/>
        <v>0</v>
      </c>
      <c r="M339" s="996">
        <f t="shared" si="134"/>
        <v>10000</v>
      </c>
      <c r="N339" s="996">
        <f t="shared" si="134"/>
        <v>10000</v>
      </c>
      <c r="O339" s="289">
        <f t="shared" si="134"/>
        <v>0</v>
      </c>
      <c r="P339" s="289">
        <f t="shared" si="134"/>
        <v>0</v>
      </c>
      <c r="Q339" s="289">
        <f t="shared" si="134"/>
        <v>0</v>
      </c>
      <c r="R339" s="289">
        <f t="shared" si="134"/>
        <v>0</v>
      </c>
      <c r="S339" s="289">
        <f aca="true" t="shared" si="135" ref="O339:T340">S340</f>
        <v>0</v>
      </c>
      <c r="T339" s="340">
        <f t="shared" si="135"/>
        <v>0</v>
      </c>
      <c r="U339" s="340">
        <f t="shared" si="131"/>
        <v>0</v>
      </c>
      <c r="V339" s="682">
        <f t="shared" si="132"/>
        <v>10000</v>
      </c>
      <c r="W339" s="682">
        <f t="shared" si="126"/>
        <v>10000</v>
      </c>
      <c r="X339" s="682">
        <f t="shared" si="127"/>
        <v>10000</v>
      </c>
    </row>
    <row r="340" spans="2:24" ht="12.75">
      <c r="B340" s="438"/>
      <c r="C340" s="439"/>
      <c r="D340" s="56">
        <v>490</v>
      </c>
      <c r="E340" s="58"/>
      <c r="F340" s="440"/>
      <c r="G340" s="441"/>
      <c r="H340" s="1162" t="s">
        <v>171</v>
      </c>
      <c r="I340" s="1163"/>
      <c r="J340" s="1164"/>
      <c r="K340" s="183">
        <f>K341</f>
        <v>10000</v>
      </c>
      <c r="L340" s="183">
        <f>L341</f>
        <v>0</v>
      </c>
      <c r="M340" s="183">
        <f>M341</f>
        <v>10000</v>
      </c>
      <c r="N340" s="183">
        <f>N341</f>
        <v>10000</v>
      </c>
      <c r="O340" s="66">
        <f t="shared" si="135"/>
        <v>0</v>
      </c>
      <c r="P340" s="66">
        <f t="shared" si="135"/>
        <v>0</v>
      </c>
      <c r="Q340" s="66">
        <f t="shared" si="135"/>
        <v>0</v>
      </c>
      <c r="R340" s="596">
        <f t="shared" si="135"/>
        <v>0</v>
      </c>
      <c r="S340" s="596">
        <f t="shared" si="135"/>
        <v>0</v>
      </c>
      <c r="T340" s="66">
        <f t="shared" si="135"/>
        <v>0</v>
      </c>
      <c r="U340" s="342">
        <f t="shared" si="131"/>
        <v>0</v>
      </c>
      <c r="V340" s="896">
        <f t="shared" si="132"/>
        <v>10000</v>
      </c>
      <c r="W340" s="896">
        <f t="shared" si="126"/>
        <v>10000</v>
      </c>
      <c r="X340" s="896">
        <f t="shared" si="127"/>
        <v>10000</v>
      </c>
    </row>
    <row r="341" spans="2:24" ht="12.75">
      <c r="B341" s="532"/>
      <c r="C341" s="602"/>
      <c r="D341" s="377"/>
      <c r="E341" s="756"/>
      <c r="F341" s="531">
        <v>237</v>
      </c>
      <c r="G341" s="755">
        <v>481</v>
      </c>
      <c r="H341" s="1179" t="s">
        <v>1442</v>
      </c>
      <c r="I341" s="1180"/>
      <c r="J341" s="1181"/>
      <c r="K341" s="987">
        <v>10000</v>
      </c>
      <c r="L341" s="987">
        <v>0</v>
      </c>
      <c r="M341" s="987">
        <v>10000</v>
      </c>
      <c r="N341" s="987">
        <v>10000</v>
      </c>
      <c r="O341" s="414"/>
      <c r="P341" s="414"/>
      <c r="Q341" s="427">
        <v>0</v>
      </c>
      <c r="R341" s="651">
        <v>0</v>
      </c>
      <c r="S341" s="651">
        <v>0</v>
      </c>
      <c r="T341" s="427">
        <v>0</v>
      </c>
      <c r="U341" s="366">
        <f t="shared" si="131"/>
        <v>0</v>
      </c>
      <c r="V341" s="809">
        <f t="shared" si="132"/>
        <v>10000</v>
      </c>
      <c r="W341" s="809">
        <f t="shared" si="126"/>
        <v>10000</v>
      </c>
      <c r="X341" s="809">
        <f t="shared" si="127"/>
        <v>10000</v>
      </c>
    </row>
    <row r="342" spans="2:24" s="670" customFormat="1" ht="28.5" customHeight="1">
      <c r="B342" s="690"/>
      <c r="C342" s="691"/>
      <c r="D342" s="692"/>
      <c r="E342" s="693" t="s">
        <v>1282</v>
      </c>
      <c r="F342" s="692"/>
      <c r="G342" s="694"/>
      <c r="H342" s="1307" t="s">
        <v>225</v>
      </c>
      <c r="I342" s="1308"/>
      <c r="J342" s="1309"/>
      <c r="K342" s="1018">
        <f aca="true" t="shared" si="136" ref="K342:T342">K343</f>
        <v>1000000</v>
      </c>
      <c r="L342" s="1018">
        <f t="shared" si="136"/>
        <v>0</v>
      </c>
      <c r="M342" s="1018">
        <f t="shared" si="136"/>
        <v>1020000</v>
      </c>
      <c r="N342" s="1018">
        <f t="shared" si="136"/>
        <v>1020000</v>
      </c>
      <c r="O342" s="293">
        <f t="shared" si="136"/>
        <v>0</v>
      </c>
      <c r="P342" s="293">
        <f t="shared" si="136"/>
        <v>0</v>
      </c>
      <c r="Q342" s="293">
        <f t="shared" si="136"/>
        <v>0</v>
      </c>
      <c r="R342" s="293">
        <f t="shared" si="136"/>
        <v>3065000</v>
      </c>
      <c r="S342" s="293">
        <f t="shared" si="136"/>
        <v>0</v>
      </c>
      <c r="T342" s="341">
        <f t="shared" si="136"/>
        <v>0</v>
      </c>
      <c r="U342" s="341">
        <f t="shared" si="131"/>
        <v>3065000</v>
      </c>
      <c r="V342" s="682">
        <f t="shared" si="132"/>
        <v>4085000</v>
      </c>
      <c r="W342" s="682">
        <f t="shared" si="126"/>
        <v>4085000</v>
      </c>
      <c r="X342" s="682">
        <f t="shared" si="127"/>
        <v>4085000</v>
      </c>
    </row>
    <row r="343" spans="2:24" s="363" customFormat="1" ht="12.75">
      <c r="B343" s="357"/>
      <c r="C343" s="364"/>
      <c r="D343" s="56">
        <v>610</v>
      </c>
      <c r="E343" s="182"/>
      <c r="F343" s="359"/>
      <c r="G343" s="360"/>
      <c r="H343" s="1162" t="s">
        <v>115</v>
      </c>
      <c r="I343" s="1163"/>
      <c r="J343" s="1164"/>
      <c r="K343" s="183">
        <f>SUM(K344:K346)</f>
        <v>1000000</v>
      </c>
      <c r="L343" s="183">
        <f>SUM(L344:L346)</f>
        <v>0</v>
      </c>
      <c r="M343" s="183">
        <f>SUM(M344:M346)</f>
        <v>1020000</v>
      </c>
      <c r="N343" s="183">
        <f>SUM(N344:N346)</f>
        <v>1020000</v>
      </c>
      <c r="O343" s="183">
        <f aca="true" t="shared" si="137" ref="O343:T343">SUM(O344:O346)</f>
        <v>0</v>
      </c>
      <c r="P343" s="183">
        <f t="shared" si="137"/>
        <v>0</v>
      </c>
      <c r="Q343" s="183">
        <f t="shared" si="137"/>
        <v>0</v>
      </c>
      <c r="R343" s="183">
        <f t="shared" si="137"/>
        <v>3065000</v>
      </c>
      <c r="S343" s="183">
        <f t="shared" si="137"/>
        <v>0</v>
      </c>
      <c r="T343" s="183">
        <f t="shared" si="137"/>
        <v>0</v>
      </c>
      <c r="U343" s="342">
        <f t="shared" si="131"/>
        <v>3065000</v>
      </c>
      <c r="V343" s="382">
        <f t="shared" si="132"/>
        <v>4085000</v>
      </c>
      <c r="W343" s="382">
        <f t="shared" si="126"/>
        <v>4085000</v>
      </c>
      <c r="X343" s="382">
        <f t="shared" si="127"/>
        <v>4085000</v>
      </c>
    </row>
    <row r="344" spans="2:24" s="363" customFormat="1" ht="13.5" customHeight="1">
      <c r="B344" s="376"/>
      <c r="C344" s="369"/>
      <c r="D344" s="377"/>
      <c r="E344" s="378"/>
      <c r="F344" s="371">
        <v>238</v>
      </c>
      <c r="G344" s="548">
        <v>472</v>
      </c>
      <c r="H344" s="1183" t="s">
        <v>1443</v>
      </c>
      <c r="I344" s="1183"/>
      <c r="J344" s="1183"/>
      <c r="K344" s="380">
        <v>360000</v>
      </c>
      <c r="L344" s="380">
        <v>0</v>
      </c>
      <c r="M344" s="380">
        <v>360000</v>
      </c>
      <c r="N344" s="380">
        <v>360000</v>
      </c>
      <c r="O344" s="379">
        <v>0</v>
      </c>
      <c r="P344" s="379">
        <v>0</v>
      </c>
      <c r="Q344" s="379">
        <v>0</v>
      </c>
      <c r="R344" s="380">
        <v>100000</v>
      </c>
      <c r="S344" s="415">
        <v>0</v>
      </c>
      <c r="T344" s="559">
        <v>0</v>
      </c>
      <c r="U344" s="366">
        <f t="shared" si="131"/>
        <v>100000</v>
      </c>
      <c r="V344" s="383">
        <f t="shared" si="132"/>
        <v>460000</v>
      </c>
      <c r="W344" s="383">
        <f t="shared" si="126"/>
        <v>460000</v>
      </c>
      <c r="X344" s="383">
        <f t="shared" si="127"/>
        <v>460000</v>
      </c>
    </row>
    <row r="345" spans="2:24" s="363" customFormat="1" ht="13.5" customHeight="1">
      <c r="B345" s="376"/>
      <c r="C345" s="369"/>
      <c r="D345" s="377"/>
      <c r="E345" s="378"/>
      <c r="F345" s="371">
        <v>239</v>
      </c>
      <c r="G345" s="548">
        <v>472</v>
      </c>
      <c r="H345" s="1183" t="s">
        <v>1444</v>
      </c>
      <c r="I345" s="1183"/>
      <c r="J345" s="1183"/>
      <c r="K345" s="380">
        <v>140000</v>
      </c>
      <c r="L345" s="380">
        <v>0</v>
      </c>
      <c r="M345" s="380">
        <v>160000</v>
      </c>
      <c r="N345" s="380">
        <v>160000</v>
      </c>
      <c r="O345" s="379">
        <v>0</v>
      </c>
      <c r="P345" s="379">
        <v>0</v>
      </c>
      <c r="Q345" s="379">
        <v>0</v>
      </c>
      <c r="R345" s="380">
        <v>2705000</v>
      </c>
      <c r="S345" s="415">
        <v>0</v>
      </c>
      <c r="T345" s="559">
        <v>0</v>
      </c>
      <c r="U345" s="366">
        <f t="shared" si="131"/>
        <v>2705000</v>
      </c>
      <c r="V345" s="383">
        <f t="shared" si="132"/>
        <v>2865000</v>
      </c>
      <c r="W345" s="383">
        <f t="shared" si="126"/>
        <v>2865000</v>
      </c>
      <c r="X345" s="383">
        <f t="shared" si="127"/>
        <v>2865000</v>
      </c>
    </row>
    <row r="346" spans="2:24" s="363" customFormat="1" ht="13.5" customHeight="1">
      <c r="B346" s="376"/>
      <c r="C346" s="369"/>
      <c r="D346" s="377"/>
      <c r="E346" s="378"/>
      <c r="F346" s="371">
        <v>240</v>
      </c>
      <c r="G346" s="548">
        <v>472</v>
      </c>
      <c r="H346" s="1200" t="s">
        <v>1445</v>
      </c>
      <c r="I346" s="1201"/>
      <c r="J346" s="1201"/>
      <c r="K346" s="989">
        <v>500000</v>
      </c>
      <c r="L346" s="989">
        <v>0</v>
      </c>
      <c r="M346" s="989">
        <v>500000</v>
      </c>
      <c r="N346" s="989">
        <v>500000</v>
      </c>
      <c r="O346" s="379">
        <v>0</v>
      </c>
      <c r="P346" s="379">
        <v>0</v>
      </c>
      <c r="Q346" s="379">
        <v>0</v>
      </c>
      <c r="R346" s="379">
        <v>260000</v>
      </c>
      <c r="S346" s="415">
        <v>0</v>
      </c>
      <c r="T346" s="559">
        <v>0</v>
      </c>
      <c r="U346" s="366">
        <f t="shared" si="131"/>
        <v>260000</v>
      </c>
      <c r="V346" s="383">
        <f t="shared" si="132"/>
        <v>760000</v>
      </c>
      <c r="W346" s="383">
        <f t="shared" si="126"/>
        <v>760000</v>
      </c>
      <c r="X346" s="383">
        <f t="shared" si="127"/>
        <v>760000</v>
      </c>
    </row>
    <row r="347" spans="2:24" s="363" customFormat="1" ht="13.5" customHeight="1">
      <c r="B347" s="789"/>
      <c r="C347" s="790"/>
      <c r="D347" s="624"/>
      <c r="E347" s="353" t="s">
        <v>844</v>
      </c>
      <c r="F347" s="624"/>
      <c r="G347" s="625"/>
      <c r="H347" s="1168" t="s">
        <v>1388</v>
      </c>
      <c r="I347" s="1169"/>
      <c r="J347" s="1170"/>
      <c r="K347" s="981">
        <f>K349</f>
        <v>10000000</v>
      </c>
      <c r="L347" s="981">
        <f>L349</f>
        <v>0</v>
      </c>
      <c r="M347" s="981">
        <f>M349</f>
        <v>10000000</v>
      </c>
      <c r="N347" s="981">
        <f>N349</f>
        <v>2000000</v>
      </c>
      <c r="O347" s="791">
        <f aca="true" t="shared" si="138" ref="O347:T347">O349</f>
        <v>0</v>
      </c>
      <c r="P347" s="791">
        <f t="shared" si="138"/>
        <v>0</v>
      </c>
      <c r="Q347" s="791">
        <f t="shared" si="138"/>
        <v>0</v>
      </c>
      <c r="R347" s="791">
        <f t="shared" si="138"/>
        <v>0</v>
      </c>
      <c r="S347" s="791">
        <f t="shared" si="138"/>
        <v>0</v>
      </c>
      <c r="T347" s="791">
        <f t="shared" si="138"/>
        <v>0</v>
      </c>
      <c r="U347" s="792">
        <f t="shared" si="131"/>
        <v>0</v>
      </c>
      <c r="V347" s="907">
        <f t="shared" si="132"/>
        <v>2000000</v>
      </c>
      <c r="W347" s="907">
        <f t="shared" si="126"/>
        <v>2000000</v>
      </c>
      <c r="X347" s="907">
        <f t="shared" si="127"/>
        <v>2000000</v>
      </c>
    </row>
    <row r="348" spans="2:24" s="363" customFormat="1" ht="12.75">
      <c r="B348" s="357"/>
      <c r="C348" s="364"/>
      <c r="D348" s="56">
        <v>620</v>
      </c>
      <c r="E348" s="182"/>
      <c r="F348" s="359"/>
      <c r="G348" s="360"/>
      <c r="H348" s="1162" t="s">
        <v>116</v>
      </c>
      <c r="I348" s="1163"/>
      <c r="J348" s="1164"/>
      <c r="K348" s="183">
        <f aca="true" t="shared" si="139" ref="K348:T348">K349</f>
        <v>10000000</v>
      </c>
      <c r="L348" s="183">
        <f t="shared" si="139"/>
        <v>0</v>
      </c>
      <c r="M348" s="183">
        <f t="shared" si="139"/>
        <v>10000000</v>
      </c>
      <c r="N348" s="183">
        <f t="shared" si="139"/>
        <v>2000000</v>
      </c>
      <c r="O348" s="183">
        <f t="shared" si="139"/>
        <v>0</v>
      </c>
      <c r="P348" s="183">
        <f t="shared" si="139"/>
        <v>0</v>
      </c>
      <c r="Q348" s="183">
        <f t="shared" si="139"/>
        <v>0</v>
      </c>
      <c r="R348" s="183">
        <f t="shared" si="139"/>
        <v>0</v>
      </c>
      <c r="S348" s="183">
        <f t="shared" si="139"/>
        <v>0</v>
      </c>
      <c r="T348" s="342">
        <f t="shared" si="139"/>
        <v>0</v>
      </c>
      <c r="U348" s="342">
        <f t="shared" si="131"/>
        <v>0</v>
      </c>
      <c r="V348" s="382">
        <f t="shared" si="132"/>
        <v>2000000</v>
      </c>
      <c r="W348" s="382">
        <f t="shared" si="126"/>
        <v>2000000</v>
      </c>
      <c r="X348" s="382">
        <f t="shared" si="127"/>
        <v>2000000</v>
      </c>
    </row>
    <row r="349" spans="2:24" s="363" customFormat="1" ht="12.75">
      <c r="B349" s="376"/>
      <c r="C349" s="369"/>
      <c r="D349" s="370"/>
      <c r="E349" s="369"/>
      <c r="F349" s="472">
        <v>241</v>
      </c>
      <c r="G349" s="473">
        <v>511</v>
      </c>
      <c r="H349" s="1196" t="s">
        <v>1495</v>
      </c>
      <c r="I349" s="1197"/>
      <c r="J349" s="1198"/>
      <c r="K349" s="1012">
        <v>10000000</v>
      </c>
      <c r="L349" s="1012">
        <v>0</v>
      </c>
      <c r="M349" s="1012">
        <v>10000000</v>
      </c>
      <c r="N349" s="1012">
        <v>2000000</v>
      </c>
      <c r="O349" s="412">
        <v>0</v>
      </c>
      <c r="P349" s="412">
        <v>0</v>
      </c>
      <c r="Q349" s="412">
        <v>0</v>
      </c>
      <c r="R349" s="430">
        <v>0</v>
      </c>
      <c r="S349" s="415">
        <v>0</v>
      </c>
      <c r="T349" s="430">
        <v>0</v>
      </c>
      <c r="U349" s="430">
        <f t="shared" si="131"/>
        <v>0</v>
      </c>
      <c r="V349" s="634">
        <f t="shared" si="132"/>
        <v>2000000</v>
      </c>
      <c r="W349" s="634">
        <f t="shared" si="126"/>
        <v>2000000</v>
      </c>
      <c r="X349" s="634">
        <f t="shared" si="127"/>
        <v>2000000</v>
      </c>
    </row>
    <row r="350" spans="2:24" s="363" customFormat="1" ht="13.5" customHeight="1">
      <c r="B350" s="789"/>
      <c r="C350" s="790"/>
      <c r="D350" s="624"/>
      <c r="E350" s="353" t="s">
        <v>847</v>
      </c>
      <c r="F350" s="624"/>
      <c r="G350" s="625"/>
      <c r="H350" s="1168" t="s">
        <v>1354</v>
      </c>
      <c r="I350" s="1169"/>
      <c r="J350" s="1170"/>
      <c r="K350" s="981">
        <f>K352</f>
        <v>1500000</v>
      </c>
      <c r="L350" s="981">
        <f>L352</f>
        <v>1354632.56</v>
      </c>
      <c r="M350" s="981">
        <f>M352</f>
        <v>1500000</v>
      </c>
      <c r="N350" s="981">
        <f>N352</f>
        <v>1500000</v>
      </c>
      <c r="O350" s="791">
        <f aca="true" t="shared" si="140" ref="O350:T350">O352</f>
        <v>0</v>
      </c>
      <c r="P350" s="791">
        <f t="shared" si="140"/>
        <v>0</v>
      </c>
      <c r="Q350" s="791">
        <f t="shared" si="140"/>
        <v>0</v>
      </c>
      <c r="R350" s="791">
        <f t="shared" si="140"/>
        <v>0</v>
      </c>
      <c r="S350" s="791">
        <f t="shared" si="140"/>
        <v>0</v>
      </c>
      <c r="T350" s="792">
        <f t="shared" si="140"/>
        <v>0</v>
      </c>
      <c r="U350" s="792">
        <f t="shared" si="131"/>
        <v>0</v>
      </c>
      <c r="V350" s="907">
        <f t="shared" si="132"/>
        <v>1500000</v>
      </c>
      <c r="W350" s="907">
        <f t="shared" si="126"/>
        <v>1500000</v>
      </c>
      <c r="X350" s="907">
        <f t="shared" si="127"/>
        <v>1500000</v>
      </c>
    </row>
    <row r="351" spans="2:24" s="363" customFormat="1" ht="12.75">
      <c r="B351" s="357"/>
      <c r="C351" s="364"/>
      <c r="D351" s="56">
        <v>490</v>
      </c>
      <c r="E351" s="182"/>
      <c r="F351" s="359"/>
      <c r="G351" s="360"/>
      <c r="H351" s="1162" t="s">
        <v>170</v>
      </c>
      <c r="I351" s="1163"/>
      <c r="J351" s="1164"/>
      <c r="K351" s="183">
        <f aca="true" t="shared" si="141" ref="K351:T351">K352</f>
        <v>1500000</v>
      </c>
      <c r="L351" s="183">
        <f t="shared" si="141"/>
        <v>1354632.56</v>
      </c>
      <c r="M351" s="183">
        <f t="shared" si="141"/>
        <v>1500000</v>
      </c>
      <c r="N351" s="183">
        <f t="shared" si="141"/>
        <v>1500000</v>
      </c>
      <c r="O351" s="183">
        <f t="shared" si="141"/>
        <v>0</v>
      </c>
      <c r="P351" s="183">
        <f t="shared" si="141"/>
        <v>0</v>
      </c>
      <c r="Q351" s="183">
        <f t="shared" si="141"/>
        <v>0</v>
      </c>
      <c r="R351" s="183">
        <f t="shared" si="141"/>
        <v>0</v>
      </c>
      <c r="S351" s="183">
        <f t="shared" si="141"/>
        <v>0</v>
      </c>
      <c r="T351" s="342">
        <f t="shared" si="141"/>
        <v>0</v>
      </c>
      <c r="U351" s="342">
        <f t="shared" si="131"/>
        <v>0</v>
      </c>
      <c r="V351" s="382">
        <f t="shared" si="132"/>
        <v>1500000</v>
      </c>
      <c r="W351" s="382">
        <f t="shared" si="126"/>
        <v>1500000</v>
      </c>
      <c r="X351" s="382">
        <f t="shared" si="127"/>
        <v>1500000</v>
      </c>
    </row>
    <row r="352" spans="2:24" s="363" customFormat="1" ht="12.75">
      <c r="B352" s="376"/>
      <c r="C352" s="369"/>
      <c r="D352" s="370"/>
      <c r="E352" s="369"/>
      <c r="F352" s="472">
        <v>242</v>
      </c>
      <c r="G352" s="473">
        <v>481</v>
      </c>
      <c r="H352" s="1196" t="s">
        <v>169</v>
      </c>
      <c r="I352" s="1197"/>
      <c r="J352" s="1198"/>
      <c r="K352" s="1012">
        <v>1500000</v>
      </c>
      <c r="L352" s="1012">
        <v>1354632.56</v>
      </c>
      <c r="M352" s="1012">
        <v>1500000</v>
      </c>
      <c r="N352" s="1012">
        <v>1500000</v>
      </c>
      <c r="O352" s="412">
        <v>0</v>
      </c>
      <c r="P352" s="412">
        <v>0</v>
      </c>
      <c r="Q352" s="412">
        <v>0</v>
      </c>
      <c r="R352" s="430">
        <v>0</v>
      </c>
      <c r="S352" s="415">
        <v>0</v>
      </c>
      <c r="T352" s="430">
        <v>0</v>
      </c>
      <c r="U352" s="430">
        <f t="shared" si="131"/>
        <v>0</v>
      </c>
      <c r="V352" s="634">
        <f t="shared" si="132"/>
        <v>1500000</v>
      </c>
      <c r="W352" s="634">
        <f t="shared" si="126"/>
        <v>1500000</v>
      </c>
      <c r="X352" s="634">
        <f t="shared" si="127"/>
        <v>1500000</v>
      </c>
    </row>
    <row r="353" spans="2:24" ht="13.5" customHeight="1">
      <c r="B353" s="287"/>
      <c r="C353" s="288"/>
      <c r="D353" s="436"/>
      <c r="E353" s="353" t="s">
        <v>845</v>
      </c>
      <c r="F353" s="436"/>
      <c r="G353" s="437"/>
      <c r="H353" s="1168" t="s">
        <v>1262</v>
      </c>
      <c r="I353" s="1169"/>
      <c r="J353" s="1170"/>
      <c r="K353" s="981">
        <f aca="true" t="shared" si="142" ref="K353:N354">K354</f>
        <v>1800000</v>
      </c>
      <c r="L353" s="981">
        <f t="shared" si="142"/>
        <v>1430000</v>
      </c>
      <c r="M353" s="981">
        <f t="shared" si="142"/>
        <v>1500000</v>
      </c>
      <c r="N353" s="981">
        <f t="shared" si="142"/>
        <v>1500000</v>
      </c>
      <c r="O353" s="293">
        <f aca="true" t="shared" si="143" ref="O353:T353">O354</f>
        <v>0</v>
      </c>
      <c r="P353" s="293">
        <f t="shared" si="143"/>
        <v>0</v>
      </c>
      <c r="Q353" s="293">
        <f t="shared" si="143"/>
        <v>0</v>
      </c>
      <c r="R353" s="293">
        <f t="shared" si="143"/>
        <v>0</v>
      </c>
      <c r="S353" s="293">
        <f t="shared" si="143"/>
        <v>0</v>
      </c>
      <c r="T353" s="293">
        <f t="shared" si="143"/>
        <v>0</v>
      </c>
      <c r="U353" s="341">
        <f t="shared" si="131"/>
        <v>0</v>
      </c>
      <c r="V353" s="682">
        <f t="shared" si="132"/>
        <v>1500000</v>
      </c>
      <c r="W353" s="682">
        <f t="shared" si="126"/>
        <v>1500000</v>
      </c>
      <c r="X353" s="682">
        <f t="shared" si="127"/>
        <v>1500000</v>
      </c>
    </row>
    <row r="354" spans="2:24" s="363" customFormat="1" ht="12.75">
      <c r="B354" s="357"/>
      <c r="C354" s="364"/>
      <c r="D354" s="56">
        <v>412</v>
      </c>
      <c r="E354" s="182"/>
      <c r="F354" s="359"/>
      <c r="G354" s="360"/>
      <c r="H354" s="1162" t="s">
        <v>377</v>
      </c>
      <c r="I354" s="1163"/>
      <c r="J354" s="1164"/>
      <c r="K354" s="183">
        <f t="shared" si="142"/>
        <v>1800000</v>
      </c>
      <c r="L354" s="183">
        <f t="shared" si="142"/>
        <v>1430000</v>
      </c>
      <c r="M354" s="183">
        <f t="shared" si="142"/>
        <v>1500000</v>
      </c>
      <c r="N354" s="183">
        <f t="shared" si="142"/>
        <v>1500000</v>
      </c>
      <c r="O354" s="183">
        <f aca="true" t="shared" si="144" ref="O354:T354">O355</f>
        <v>0</v>
      </c>
      <c r="P354" s="183">
        <f t="shared" si="144"/>
        <v>0</v>
      </c>
      <c r="Q354" s="812">
        <f t="shared" si="144"/>
        <v>0</v>
      </c>
      <c r="R354" s="812">
        <f t="shared" si="144"/>
        <v>0</v>
      </c>
      <c r="S354" s="812">
        <f t="shared" si="144"/>
        <v>0</v>
      </c>
      <c r="T354" s="812">
        <f t="shared" si="144"/>
        <v>0</v>
      </c>
      <c r="U354" s="342">
        <f t="shared" si="131"/>
        <v>0</v>
      </c>
      <c r="V354" s="382">
        <f t="shared" si="132"/>
        <v>1500000</v>
      </c>
      <c r="W354" s="382">
        <f t="shared" si="126"/>
        <v>1500000</v>
      </c>
      <c r="X354" s="382">
        <f t="shared" si="127"/>
        <v>1500000</v>
      </c>
    </row>
    <row r="355" spans="2:24" s="500" customFormat="1" ht="24.75" customHeight="1">
      <c r="B355" s="816"/>
      <c r="C355" s="817"/>
      <c r="D355" s="818"/>
      <c r="E355" s="817"/>
      <c r="F355" s="819">
        <v>243</v>
      </c>
      <c r="G355" s="820">
        <v>464</v>
      </c>
      <c r="H355" s="1205" t="s">
        <v>1482</v>
      </c>
      <c r="I355" s="1206"/>
      <c r="J355" s="1207"/>
      <c r="K355" s="1019">
        <v>1800000</v>
      </c>
      <c r="L355" s="1019">
        <v>1430000</v>
      </c>
      <c r="M355" s="1019">
        <v>1500000</v>
      </c>
      <c r="N355" s="1019">
        <v>1500000</v>
      </c>
      <c r="O355" s="821">
        <v>0</v>
      </c>
      <c r="P355" s="822">
        <v>0</v>
      </c>
      <c r="Q355" s="823">
        <v>0</v>
      </c>
      <c r="R355" s="823">
        <v>0</v>
      </c>
      <c r="S355" s="823">
        <v>0</v>
      </c>
      <c r="T355" s="823">
        <v>0</v>
      </c>
      <c r="U355" s="822">
        <f t="shared" si="131"/>
        <v>0</v>
      </c>
      <c r="V355" s="383">
        <f t="shared" si="132"/>
        <v>1500000</v>
      </c>
      <c r="W355" s="383">
        <f t="shared" si="126"/>
        <v>1500000</v>
      </c>
      <c r="X355" s="383">
        <f t="shared" si="127"/>
        <v>1500000</v>
      </c>
    </row>
    <row r="356" spans="2:24" ht="14.25" customHeight="1">
      <c r="B356" s="287"/>
      <c r="C356" s="288"/>
      <c r="D356" s="436"/>
      <c r="E356" s="636" t="s">
        <v>324</v>
      </c>
      <c r="F356" s="436"/>
      <c r="G356" s="437"/>
      <c r="H356" s="1230" t="s">
        <v>1386</v>
      </c>
      <c r="I356" s="1231"/>
      <c r="J356" s="1232"/>
      <c r="K356" s="1004">
        <f>K357</f>
        <v>26200000</v>
      </c>
      <c r="L356" s="1004">
        <f>L357</f>
        <v>12594270.64</v>
      </c>
      <c r="M356" s="1004">
        <f>M357</f>
        <v>25700000</v>
      </c>
      <c r="N356" s="1004">
        <f>N357</f>
        <v>44190000</v>
      </c>
      <c r="O356" s="289">
        <f aca="true" t="shared" si="145" ref="O356:T356">O357</f>
        <v>0</v>
      </c>
      <c r="P356" s="289">
        <f t="shared" si="145"/>
        <v>0</v>
      </c>
      <c r="Q356" s="289">
        <f t="shared" si="145"/>
        <v>0</v>
      </c>
      <c r="R356" s="289">
        <f t="shared" si="145"/>
        <v>35000000</v>
      </c>
      <c r="S356" s="289">
        <f t="shared" si="145"/>
        <v>0</v>
      </c>
      <c r="T356" s="289">
        <f t="shared" si="145"/>
        <v>0</v>
      </c>
      <c r="U356" s="340">
        <f t="shared" si="131"/>
        <v>35000000</v>
      </c>
      <c r="V356" s="682">
        <f t="shared" si="132"/>
        <v>79190000</v>
      </c>
      <c r="W356" s="682">
        <f t="shared" si="126"/>
        <v>79190000</v>
      </c>
      <c r="X356" s="682">
        <f t="shared" si="127"/>
        <v>79190000</v>
      </c>
    </row>
    <row r="357" spans="2:24" ht="14.25" customHeight="1">
      <c r="B357" s="287"/>
      <c r="C357" s="288"/>
      <c r="D357" s="436"/>
      <c r="E357" s="353" t="s">
        <v>325</v>
      </c>
      <c r="F357" s="436"/>
      <c r="G357" s="437"/>
      <c r="H357" s="1202" t="s">
        <v>1356</v>
      </c>
      <c r="I357" s="1203"/>
      <c r="J357" s="1204"/>
      <c r="K357" s="996">
        <f aca="true" t="shared" si="146" ref="K357:T357">K358</f>
        <v>26200000</v>
      </c>
      <c r="L357" s="996">
        <f t="shared" si="146"/>
        <v>12594270.64</v>
      </c>
      <c r="M357" s="996">
        <f t="shared" si="146"/>
        <v>25700000</v>
      </c>
      <c r="N357" s="996">
        <f t="shared" si="146"/>
        <v>44190000</v>
      </c>
      <c r="O357" s="293">
        <f t="shared" si="146"/>
        <v>0</v>
      </c>
      <c r="P357" s="293">
        <f t="shared" si="146"/>
        <v>0</v>
      </c>
      <c r="Q357" s="293">
        <f t="shared" si="146"/>
        <v>0</v>
      </c>
      <c r="R357" s="293">
        <f t="shared" si="146"/>
        <v>35000000</v>
      </c>
      <c r="S357" s="293">
        <f t="shared" si="146"/>
        <v>0</v>
      </c>
      <c r="T357" s="341">
        <f t="shared" si="146"/>
        <v>0</v>
      </c>
      <c r="U357" s="341">
        <f t="shared" si="131"/>
        <v>35000000</v>
      </c>
      <c r="V357" s="682">
        <f t="shared" si="132"/>
        <v>79190000</v>
      </c>
      <c r="W357" s="682">
        <f t="shared" si="126"/>
        <v>79190000</v>
      </c>
      <c r="X357" s="682">
        <f t="shared" si="127"/>
        <v>79190000</v>
      </c>
    </row>
    <row r="358" spans="2:24" ht="12.75">
      <c r="B358" s="357"/>
      <c r="C358" s="59"/>
      <c r="D358" s="56">
        <v>451</v>
      </c>
      <c r="E358" s="182"/>
      <c r="F358" s="359"/>
      <c r="G358" s="360"/>
      <c r="H358" s="1251" t="s">
        <v>390</v>
      </c>
      <c r="I358" s="1252"/>
      <c r="J358" s="1253"/>
      <c r="K358" s="1020">
        <f>SUM(K359:K368)</f>
        <v>26200000</v>
      </c>
      <c r="L358" s="1020">
        <f>SUM(L359:L368)</f>
        <v>12594270.64</v>
      </c>
      <c r="M358" s="1020">
        <f>SUM(M359:M368)</f>
        <v>25700000</v>
      </c>
      <c r="N358" s="1020">
        <f>SUM(N359:N368)</f>
        <v>44190000</v>
      </c>
      <c r="O358" s="596">
        <f aca="true" t="shared" si="147" ref="O358:T358">SUM(O359:O368)</f>
        <v>0</v>
      </c>
      <c r="P358" s="596">
        <f t="shared" si="147"/>
        <v>0</v>
      </c>
      <c r="Q358" s="596">
        <f t="shared" si="147"/>
        <v>0</v>
      </c>
      <c r="R358" s="596">
        <f t="shared" si="147"/>
        <v>35000000</v>
      </c>
      <c r="S358" s="596">
        <f t="shared" si="147"/>
        <v>0</v>
      </c>
      <c r="T358" s="596">
        <f t="shared" si="147"/>
        <v>0</v>
      </c>
      <c r="U358" s="345">
        <f t="shared" si="131"/>
        <v>35000000</v>
      </c>
      <c r="V358" s="896">
        <f t="shared" si="132"/>
        <v>79190000</v>
      </c>
      <c r="W358" s="896">
        <f t="shared" si="126"/>
        <v>79190000</v>
      </c>
      <c r="X358" s="896">
        <f t="shared" si="127"/>
        <v>79190000</v>
      </c>
    </row>
    <row r="359" spans="2:24" s="363" customFormat="1" ht="12.75">
      <c r="B359" s="357"/>
      <c r="C359" s="59"/>
      <c r="D359" s="365"/>
      <c r="E359" s="358"/>
      <c r="F359" s="359">
        <v>244</v>
      </c>
      <c r="G359" s="360">
        <v>424</v>
      </c>
      <c r="H359" s="1185" t="s">
        <v>1331</v>
      </c>
      <c r="I359" s="1186"/>
      <c r="J359" s="1187"/>
      <c r="K359" s="1021">
        <v>1200000</v>
      </c>
      <c r="L359" s="1021">
        <v>906191.2</v>
      </c>
      <c r="M359" s="1021">
        <v>1200000</v>
      </c>
      <c r="N359" s="1021">
        <v>1200000</v>
      </c>
      <c r="O359" s="411">
        <v>0</v>
      </c>
      <c r="P359" s="361">
        <v>0</v>
      </c>
      <c r="Q359" s="361">
        <v>0</v>
      </c>
      <c r="R359" s="361">
        <v>0</v>
      </c>
      <c r="S359" s="361">
        <v>0</v>
      </c>
      <c r="T359" s="362">
        <v>0</v>
      </c>
      <c r="U359" s="362">
        <f t="shared" si="131"/>
        <v>0</v>
      </c>
      <c r="V359" s="809">
        <f t="shared" si="132"/>
        <v>1200000</v>
      </c>
      <c r="W359" s="809">
        <f t="shared" si="126"/>
        <v>1200000</v>
      </c>
      <c r="X359" s="809">
        <f t="shared" si="127"/>
        <v>1200000</v>
      </c>
    </row>
    <row r="360" spans="2:24" s="363" customFormat="1" ht="12.75">
      <c r="B360" s="357"/>
      <c r="C360" s="59"/>
      <c r="D360" s="365"/>
      <c r="E360" s="358"/>
      <c r="F360" s="375">
        <v>245</v>
      </c>
      <c r="G360" s="360">
        <v>424</v>
      </c>
      <c r="H360" s="1185" t="s">
        <v>1368</v>
      </c>
      <c r="I360" s="1186"/>
      <c r="J360" s="1187"/>
      <c r="K360" s="1021">
        <v>240000</v>
      </c>
      <c r="L360" s="1021">
        <v>131846.40000000002</v>
      </c>
      <c r="M360" s="1021">
        <v>240000</v>
      </c>
      <c r="N360" s="1021">
        <v>240000</v>
      </c>
      <c r="O360" s="411">
        <v>0</v>
      </c>
      <c r="P360" s="547">
        <v>0</v>
      </c>
      <c r="Q360" s="429">
        <v>0</v>
      </c>
      <c r="R360" s="429">
        <v>0</v>
      </c>
      <c r="S360" s="361">
        <v>0</v>
      </c>
      <c r="T360" s="362">
        <v>0</v>
      </c>
      <c r="U360" s="362">
        <f t="shared" si="131"/>
        <v>0</v>
      </c>
      <c r="V360" s="809">
        <f t="shared" si="132"/>
        <v>240000</v>
      </c>
      <c r="W360" s="809">
        <f t="shared" si="126"/>
        <v>240000</v>
      </c>
      <c r="X360" s="809">
        <f t="shared" si="127"/>
        <v>240000</v>
      </c>
    </row>
    <row r="361" spans="2:24" s="363" customFormat="1" ht="12.75">
      <c r="B361" s="357"/>
      <c r="C361" s="59"/>
      <c r="D361" s="365"/>
      <c r="E361" s="358"/>
      <c r="F361" s="375">
        <v>246</v>
      </c>
      <c r="G361" s="360">
        <v>424</v>
      </c>
      <c r="H361" s="1185" t="s">
        <v>1395</v>
      </c>
      <c r="I361" s="1186"/>
      <c r="J361" s="1187"/>
      <c r="K361" s="1021">
        <v>500000</v>
      </c>
      <c r="L361" s="1021">
        <v>75540</v>
      </c>
      <c r="M361" s="1021">
        <v>500000</v>
      </c>
      <c r="N361" s="1021">
        <v>500000</v>
      </c>
      <c r="O361" s="411">
        <v>0</v>
      </c>
      <c r="P361" s="418">
        <v>0</v>
      </c>
      <c r="Q361" s="418">
        <v>0</v>
      </c>
      <c r="R361" s="418">
        <v>0</v>
      </c>
      <c r="S361" s="418">
        <v>0</v>
      </c>
      <c r="T361" s="418">
        <v>0</v>
      </c>
      <c r="U361" s="362">
        <f t="shared" si="131"/>
        <v>0</v>
      </c>
      <c r="V361" s="809">
        <f t="shared" si="132"/>
        <v>500000</v>
      </c>
      <c r="W361" s="809">
        <f t="shared" si="126"/>
        <v>500000</v>
      </c>
      <c r="X361" s="809">
        <f t="shared" si="127"/>
        <v>500000</v>
      </c>
    </row>
    <row r="362" spans="2:24" s="363" customFormat="1" ht="12.75">
      <c r="B362" s="357"/>
      <c r="C362" s="59"/>
      <c r="D362" s="365"/>
      <c r="E362" s="358"/>
      <c r="F362" s="375">
        <v>247</v>
      </c>
      <c r="G362" s="360">
        <v>424</v>
      </c>
      <c r="H362" s="1185" t="s">
        <v>1369</v>
      </c>
      <c r="I362" s="1186"/>
      <c r="J362" s="1187"/>
      <c r="K362" s="1021">
        <v>150000</v>
      </c>
      <c r="L362" s="1021">
        <v>23194.8</v>
      </c>
      <c r="M362" s="1021">
        <v>150000</v>
      </c>
      <c r="N362" s="1021">
        <v>150000</v>
      </c>
      <c r="O362" s="411">
        <v>0</v>
      </c>
      <c r="P362" s="418">
        <v>0</v>
      </c>
      <c r="Q362" s="418">
        <v>0</v>
      </c>
      <c r="R362" s="418">
        <v>0</v>
      </c>
      <c r="S362" s="418">
        <v>0</v>
      </c>
      <c r="T362" s="418">
        <v>0</v>
      </c>
      <c r="U362" s="362">
        <f t="shared" si="131"/>
        <v>0</v>
      </c>
      <c r="V362" s="809">
        <f t="shared" si="132"/>
        <v>150000</v>
      </c>
      <c r="W362" s="809">
        <f t="shared" si="126"/>
        <v>150000</v>
      </c>
      <c r="X362" s="809">
        <f t="shared" si="127"/>
        <v>150000</v>
      </c>
    </row>
    <row r="363" spans="2:24" s="363" customFormat="1" ht="12.75">
      <c r="B363" s="357"/>
      <c r="C363" s="59"/>
      <c r="D363" s="365"/>
      <c r="E363" s="358"/>
      <c r="F363" s="375">
        <v>248</v>
      </c>
      <c r="G363" s="360">
        <v>424</v>
      </c>
      <c r="H363" s="1185" t="s">
        <v>1567</v>
      </c>
      <c r="I363" s="1186"/>
      <c r="J363" s="1187"/>
      <c r="K363" s="1021">
        <v>600000</v>
      </c>
      <c r="L363" s="1021">
        <v>479484</v>
      </c>
      <c r="M363" s="1021">
        <v>600000</v>
      </c>
      <c r="N363" s="1021">
        <v>600000</v>
      </c>
      <c r="O363" s="411">
        <v>0</v>
      </c>
      <c r="P363" s="547">
        <v>0</v>
      </c>
      <c r="Q363" s="418">
        <v>0</v>
      </c>
      <c r="R363" s="418">
        <v>0</v>
      </c>
      <c r="S363" s="411">
        <v>0</v>
      </c>
      <c r="T363" s="424">
        <v>0</v>
      </c>
      <c r="U363" s="362">
        <f t="shared" si="131"/>
        <v>0</v>
      </c>
      <c r="V363" s="809">
        <f t="shared" si="132"/>
        <v>600000</v>
      </c>
      <c r="W363" s="809">
        <f t="shared" si="126"/>
        <v>600000</v>
      </c>
      <c r="X363" s="809">
        <f t="shared" si="127"/>
        <v>600000</v>
      </c>
    </row>
    <row r="364" spans="2:24" s="363" customFormat="1" ht="12.75">
      <c r="B364" s="357"/>
      <c r="C364" s="59"/>
      <c r="D364" s="365"/>
      <c r="E364" s="358"/>
      <c r="F364" s="375">
        <v>249</v>
      </c>
      <c r="G364" s="360">
        <v>424</v>
      </c>
      <c r="H364" s="1185" t="s">
        <v>1332</v>
      </c>
      <c r="I364" s="1186"/>
      <c r="J364" s="1187"/>
      <c r="K364" s="1021">
        <v>2200000</v>
      </c>
      <c r="L364" s="1021">
        <v>1396329</v>
      </c>
      <c r="M364" s="1021">
        <v>2200000</v>
      </c>
      <c r="N364" s="1021">
        <v>3000000</v>
      </c>
      <c r="O364" s="633">
        <v>0</v>
      </c>
      <c r="P364" s="547">
        <v>0</v>
      </c>
      <c r="Q364" s="758">
        <v>0</v>
      </c>
      <c r="R364" s="758">
        <v>0</v>
      </c>
      <c r="S364" s="759">
        <v>0</v>
      </c>
      <c r="T364" s="738">
        <v>0</v>
      </c>
      <c r="U364" s="362">
        <f t="shared" si="131"/>
        <v>0</v>
      </c>
      <c r="V364" s="809">
        <f t="shared" si="132"/>
        <v>3000000</v>
      </c>
      <c r="W364" s="809">
        <f t="shared" si="126"/>
        <v>3000000</v>
      </c>
      <c r="X364" s="809">
        <f t="shared" si="127"/>
        <v>3000000</v>
      </c>
    </row>
    <row r="365" spans="2:24" s="363" customFormat="1" ht="12.75">
      <c r="B365" s="357"/>
      <c r="C365" s="59"/>
      <c r="D365" s="365"/>
      <c r="E365" s="358"/>
      <c r="F365" s="375">
        <v>250</v>
      </c>
      <c r="G365" s="360">
        <v>425</v>
      </c>
      <c r="H365" s="1185" t="s">
        <v>1371</v>
      </c>
      <c r="I365" s="1186"/>
      <c r="J365" s="1187"/>
      <c r="K365" s="1021">
        <v>1500000</v>
      </c>
      <c r="L365" s="1021">
        <v>4851.9</v>
      </c>
      <c r="M365" s="1021">
        <v>1000000</v>
      </c>
      <c r="N365" s="1021">
        <v>1000000</v>
      </c>
      <c r="O365" s="774">
        <v>0</v>
      </c>
      <c r="P365" s="465">
        <v>0</v>
      </c>
      <c r="Q365" s="651">
        <v>0</v>
      </c>
      <c r="R365" s="651">
        <v>0</v>
      </c>
      <c r="S365" s="651">
        <v>0</v>
      </c>
      <c r="T365" s="651">
        <v>0</v>
      </c>
      <c r="U365" s="362">
        <f t="shared" si="131"/>
        <v>0</v>
      </c>
      <c r="V365" s="809">
        <f t="shared" si="132"/>
        <v>1000000</v>
      </c>
      <c r="W365" s="809">
        <f t="shared" si="126"/>
        <v>1000000</v>
      </c>
      <c r="X365" s="809">
        <f t="shared" si="127"/>
        <v>1000000</v>
      </c>
    </row>
    <row r="366" spans="2:24" s="363" customFormat="1" ht="12.75">
      <c r="B366" s="357"/>
      <c r="C366" s="59"/>
      <c r="D366" s="365"/>
      <c r="E366" s="378"/>
      <c r="F366" s="375">
        <v>251</v>
      </c>
      <c r="G366" s="371">
        <v>425</v>
      </c>
      <c r="H366" s="1185" t="s">
        <v>1370</v>
      </c>
      <c r="I366" s="1186"/>
      <c r="J366" s="1187"/>
      <c r="K366" s="1017">
        <v>2000000</v>
      </c>
      <c r="L366" s="1017">
        <v>1999310</v>
      </c>
      <c r="M366" s="1017">
        <v>2000000</v>
      </c>
      <c r="N366" s="1017">
        <v>4000000</v>
      </c>
      <c r="O366" s="672">
        <v>0</v>
      </c>
      <c r="P366" s="672">
        <v>0</v>
      </c>
      <c r="Q366" s="807">
        <v>0</v>
      </c>
      <c r="R366" s="807">
        <v>0</v>
      </c>
      <c r="S366" s="807">
        <v>0</v>
      </c>
      <c r="T366" s="807">
        <v>0</v>
      </c>
      <c r="U366" s="738">
        <f t="shared" si="131"/>
        <v>0</v>
      </c>
      <c r="V366" s="809">
        <f t="shared" si="132"/>
        <v>4000000</v>
      </c>
      <c r="W366" s="809">
        <f t="shared" si="126"/>
        <v>4000000</v>
      </c>
      <c r="X366" s="809">
        <f t="shared" si="127"/>
        <v>4000000</v>
      </c>
    </row>
    <row r="367" spans="2:24" s="363" customFormat="1" ht="12.75">
      <c r="B367" s="357"/>
      <c r="C367" s="59"/>
      <c r="D367" s="365"/>
      <c r="E367" s="378"/>
      <c r="F367" s="375">
        <v>252</v>
      </c>
      <c r="G367" s="371">
        <v>425</v>
      </c>
      <c r="H367" s="1185" t="s">
        <v>1446</v>
      </c>
      <c r="I367" s="1186"/>
      <c r="J367" s="1187"/>
      <c r="K367" s="1021">
        <v>1500000</v>
      </c>
      <c r="L367" s="1021">
        <v>18792</v>
      </c>
      <c r="M367" s="1021">
        <v>1500000</v>
      </c>
      <c r="N367" s="1021">
        <v>3500000</v>
      </c>
      <c r="O367" s="465">
        <v>0</v>
      </c>
      <c r="P367" s="465">
        <v>0</v>
      </c>
      <c r="Q367" s="651">
        <v>0</v>
      </c>
      <c r="R367" s="651">
        <v>0</v>
      </c>
      <c r="S367" s="651">
        <v>0</v>
      </c>
      <c r="T367" s="651">
        <v>0</v>
      </c>
      <c r="U367" s="650">
        <f t="shared" si="131"/>
        <v>0</v>
      </c>
      <c r="V367" s="809">
        <f t="shared" si="132"/>
        <v>3500000</v>
      </c>
      <c r="W367" s="809">
        <f t="shared" si="126"/>
        <v>3500000</v>
      </c>
      <c r="X367" s="809">
        <f t="shared" si="127"/>
        <v>3500000</v>
      </c>
    </row>
    <row r="368" spans="2:24" s="363" customFormat="1" ht="12.75">
      <c r="B368" s="357"/>
      <c r="C368" s="59"/>
      <c r="D368" s="56"/>
      <c r="E368" s="554"/>
      <c r="F368" s="359">
        <v>253</v>
      </c>
      <c r="G368" s="371">
        <v>511</v>
      </c>
      <c r="H368" s="1193" t="s">
        <v>1473</v>
      </c>
      <c r="I368" s="1194"/>
      <c r="J368" s="1195"/>
      <c r="K368" s="1017">
        <v>16310000</v>
      </c>
      <c r="L368" s="1017">
        <v>7558731.34</v>
      </c>
      <c r="M368" s="1017">
        <v>16310000</v>
      </c>
      <c r="N368" s="1017">
        <v>30000000</v>
      </c>
      <c r="O368" s="465">
        <v>0</v>
      </c>
      <c r="P368" s="465">
        <v>0</v>
      </c>
      <c r="Q368" s="640">
        <v>0</v>
      </c>
      <c r="R368" s="640">
        <v>35000000</v>
      </c>
      <c r="S368" s="651">
        <v>0</v>
      </c>
      <c r="T368" s="640">
        <v>0</v>
      </c>
      <c r="U368" s="768">
        <f t="shared" si="131"/>
        <v>35000000</v>
      </c>
      <c r="V368" s="383">
        <f t="shared" si="132"/>
        <v>65000000</v>
      </c>
      <c r="W368" s="383">
        <f t="shared" si="126"/>
        <v>65000000</v>
      </c>
      <c r="X368" s="383">
        <f t="shared" si="127"/>
        <v>65000000</v>
      </c>
    </row>
    <row r="369" spans="2:24" s="363" customFormat="1" ht="12.75">
      <c r="B369" s="51"/>
      <c r="C369" s="52" t="s">
        <v>1320</v>
      </c>
      <c r="D369" s="53"/>
      <c r="E369" s="285"/>
      <c r="F369" s="53"/>
      <c r="G369" s="67"/>
      <c r="H369" s="1191" t="s">
        <v>95</v>
      </c>
      <c r="I369" s="1192"/>
      <c r="J369" s="1192"/>
      <c r="K369" s="1022">
        <f>K372</f>
        <v>50195036</v>
      </c>
      <c r="L369" s="1022">
        <f>L372</f>
        <v>39988788.71000001</v>
      </c>
      <c r="M369" s="1022">
        <f>M372</f>
        <v>50809844</v>
      </c>
      <c r="N369" s="1022">
        <f>N372</f>
        <v>57491686</v>
      </c>
      <c r="O369" s="775">
        <f aca="true" t="shared" si="148" ref="O369:T369">O372</f>
        <v>0</v>
      </c>
      <c r="P369" s="775">
        <f t="shared" si="148"/>
        <v>0</v>
      </c>
      <c r="Q369" s="775">
        <f t="shared" si="148"/>
        <v>4000000</v>
      </c>
      <c r="R369" s="775">
        <f t="shared" si="148"/>
        <v>999000</v>
      </c>
      <c r="S369" s="775">
        <f t="shared" si="148"/>
        <v>0</v>
      </c>
      <c r="T369" s="775">
        <f t="shared" si="148"/>
        <v>505000</v>
      </c>
      <c r="U369" s="808">
        <f t="shared" si="131"/>
        <v>5504000</v>
      </c>
      <c r="V369" s="908">
        <f t="shared" si="132"/>
        <v>62995686</v>
      </c>
      <c r="W369" s="908">
        <f t="shared" si="126"/>
        <v>62995686</v>
      </c>
      <c r="X369" s="908">
        <f t="shared" si="127"/>
        <v>62995686</v>
      </c>
    </row>
    <row r="370" spans="2:24" ht="12.75">
      <c r="B370" s="287"/>
      <c r="C370" s="288"/>
      <c r="D370" s="436"/>
      <c r="E370" s="636" t="s">
        <v>298</v>
      </c>
      <c r="F370" s="637"/>
      <c r="G370" s="638"/>
      <c r="H370" s="1188" t="s">
        <v>1283</v>
      </c>
      <c r="I370" s="1189"/>
      <c r="J370" s="1190"/>
      <c r="K370" s="1004">
        <f aca="true" t="shared" si="149" ref="K370:T371">K371</f>
        <v>50195036</v>
      </c>
      <c r="L370" s="1004">
        <f t="shared" si="149"/>
        <v>39988788.71000001</v>
      </c>
      <c r="M370" s="1004">
        <f t="shared" si="149"/>
        <v>50809844</v>
      </c>
      <c r="N370" s="1004">
        <f t="shared" si="149"/>
        <v>57491686</v>
      </c>
      <c r="O370" s="289">
        <f t="shared" si="149"/>
        <v>0</v>
      </c>
      <c r="P370" s="289">
        <f t="shared" si="149"/>
        <v>0</v>
      </c>
      <c r="Q370" s="289">
        <f t="shared" si="149"/>
        <v>4000000</v>
      </c>
      <c r="R370" s="289">
        <f t="shared" si="149"/>
        <v>999000</v>
      </c>
      <c r="S370" s="289">
        <f t="shared" si="149"/>
        <v>0</v>
      </c>
      <c r="T370" s="289">
        <f t="shared" si="149"/>
        <v>505000</v>
      </c>
      <c r="U370" s="340">
        <f t="shared" si="131"/>
        <v>5504000</v>
      </c>
      <c r="V370" s="682">
        <f t="shared" si="132"/>
        <v>62995686</v>
      </c>
      <c r="W370" s="682">
        <f t="shared" si="126"/>
        <v>62995686</v>
      </c>
      <c r="X370" s="682">
        <f t="shared" si="127"/>
        <v>62995686</v>
      </c>
    </row>
    <row r="371" spans="2:24" ht="12.75" customHeight="1">
      <c r="B371" s="287"/>
      <c r="C371" s="288"/>
      <c r="D371" s="436"/>
      <c r="E371" s="353" t="s">
        <v>294</v>
      </c>
      <c r="F371" s="436"/>
      <c r="G371" s="437"/>
      <c r="H371" s="1168" t="s">
        <v>1358</v>
      </c>
      <c r="I371" s="1169"/>
      <c r="J371" s="1170"/>
      <c r="K371" s="981">
        <f t="shared" si="149"/>
        <v>50195036</v>
      </c>
      <c r="L371" s="981">
        <f t="shared" si="149"/>
        <v>39988788.71000001</v>
      </c>
      <c r="M371" s="981">
        <f t="shared" si="149"/>
        <v>50809844</v>
      </c>
      <c r="N371" s="981">
        <f t="shared" si="149"/>
        <v>57491686</v>
      </c>
      <c r="O371" s="293">
        <f t="shared" si="149"/>
        <v>0</v>
      </c>
      <c r="P371" s="293">
        <f t="shared" si="149"/>
        <v>0</v>
      </c>
      <c r="Q371" s="293">
        <f t="shared" si="149"/>
        <v>4000000</v>
      </c>
      <c r="R371" s="293">
        <f t="shared" si="149"/>
        <v>999000</v>
      </c>
      <c r="S371" s="293">
        <f t="shared" si="149"/>
        <v>0</v>
      </c>
      <c r="T371" s="293">
        <f t="shared" si="149"/>
        <v>505000</v>
      </c>
      <c r="U371" s="341">
        <f t="shared" si="131"/>
        <v>5504000</v>
      </c>
      <c r="V371" s="682">
        <f t="shared" si="132"/>
        <v>62995686</v>
      </c>
      <c r="W371" s="682">
        <f t="shared" si="126"/>
        <v>62995686</v>
      </c>
      <c r="X371" s="682">
        <f t="shared" si="127"/>
        <v>62995686</v>
      </c>
    </row>
    <row r="372" spans="2:24" s="363" customFormat="1" ht="12.75">
      <c r="B372" s="357"/>
      <c r="C372" s="364"/>
      <c r="D372" s="56">
        <v>911</v>
      </c>
      <c r="E372" s="182"/>
      <c r="F372" s="359"/>
      <c r="G372" s="360"/>
      <c r="H372" s="1162" t="s">
        <v>96</v>
      </c>
      <c r="I372" s="1163"/>
      <c r="J372" s="1164"/>
      <c r="K372" s="183">
        <f>SUM(K373:K390)</f>
        <v>50195036</v>
      </c>
      <c r="L372" s="183">
        <f>SUM(L373:L390)</f>
        <v>39988788.71000001</v>
      </c>
      <c r="M372" s="183">
        <f>SUM(M373:M390)</f>
        <v>50809844</v>
      </c>
      <c r="N372" s="183">
        <f>SUM(N373:N390)</f>
        <v>57491686</v>
      </c>
      <c r="O372" s="183">
        <f aca="true" t="shared" si="150" ref="O372:T372">SUM(O373:O390)</f>
        <v>0</v>
      </c>
      <c r="P372" s="183">
        <f t="shared" si="150"/>
        <v>0</v>
      </c>
      <c r="Q372" s="183">
        <f t="shared" si="150"/>
        <v>4000000</v>
      </c>
      <c r="R372" s="183">
        <f t="shared" si="150"/>
        <v>999000</v>
      </c>
      <c r="S372" s="183">
        <f t="shared" si="150"/>
        <v>0</v>
      </c>
      <c r="T372" s="183">
        <f t="shared" si="150"/>
        <v>505000</v>
      </c>
      <c r="U372" s="342">
        <f t="shared" si="131"/>
        <v>5504000</v>
      </c>
      <c r="V372" s="382">
        <f t="shared" si="132"/>
        <v>62995686</v>
      </c>
      <c r="W372" s="382">
        <f t="shared" si="126"/>
        <v>62995686</v>
      </c>
      <c r="X372" s="382">
        <f t="shared" si="127"/>
        <v>62995686</v>
      </c>
    </row>
    <row r="373" spans="2:24" s="363" customFormat="1" ht="12.75">
      <c r="B373" s="357"/>
      <c r="C373" s="364"/>
      <c r="D373" s="359"/>
      <c r="E373" s="364"/>
      <c r="F373" s="375">
        <v>254</v>
      </c>
      <c r="G373" s="452">
        <v>411</v>
      </c>
      <c r="H373" s="1165" t="s">
        <v>27</v>
      </c>
      <c r="I373" s="1166"/>
      <c r="J373" s="1167"/>
      <c r="K373" s="788">
        <v>32439806</v>
      </c>
      <c r="L373" s="788">
        <v>27691788.499999996</v>
      </c>
      <c r="M373" s="788">
        <v>33599206</v>
      </c>
      <c r="N373" s="788">
        <v>38782252</v>
      </c>
      <c r="O373" s="418">
        <v>0</v>
      </c>
      <c r="P373" s="418">
        <v>0</v>
      </c>
      <c r="Q373" s="418">
        <v>500000</v>
      </c>
      <c r="R373" s="421">
        <v>0</v>
      </c>
      <c r="S373" s="418">
        <v>0</v>
      </c>
      <c r="T373" s="421">
        <v>0</v>
      </c>
      <c r="U373" s="424">
        <f t="shared" si="131"/>
        <v>500000</v>
      </c>
      <c r="V373" s="634">
        <f aca="true" t="shared" si="151" ref="V373:V390">SUM(N373:T373)</f>
        <v>39282252</v>
      </c>
      <c r="W373" s="634">
        <f t="shared" si="126"/>
        <v>39282252</v>
      </c>
      <c r="X373" s="634">
        <f t="shared" si="127"/>
        <v>39282252</v>
      </c>
    </row>
    <row r="374" spans="2:24" s="363" customFormat="1" ht="12.75">
      <c r="B374" s="357"/>
      <c r="C374" s="364"/>
      <c r="D374" s="359"/>
      <c r="E374" s="364"/>
      <c r="F374" s="375">
        <v>256</v>
      </c>
      <c r="G374" s="452">
        <v>412</v>
      </c>
      <c r="H374" s="1165" t="s">
        <v>79</v>
      </c>
      <c r="I374" s="1166"/>
      <c r="J374" s="1167"/>
      <c r="K374" s="788">
        <v>5925795</v>
      </c>
      <c r="L374" s="788">
        <v>4842301.08</v>
      </c>
      <c r="M374" s="788">
        <v>5925795</v>
      </c>
      <c r="N374" s="788">
        <v>6741444</v>
      </c>
      <c r="O374" s="418">
        <v>0</v>
      </c>
      <c r="P374" s="418">
        <v>0</v>
      </c>
      <c r="Q374" s="418">
        <v>0</v>
      </c>
      <c r="R374" s="421">
        <v>0</v>
      </c>
      <c r="S374" s="418">
        <v>0</v>
      </c>
      <c r="T374" s="421">
        <v>0</v>
      </c>
      <c r="U374" s="424">
        <f t="shared" si="131"/>
        <v>0</v>
      </c>
      <c r="V374" s="634">
        <f t="shared" si="151"/>
        <v>6741444</v>
      </c>
      <c r="W374" s="634">
        <f t="shared" si="126"/>
        <v>6741444</v>
      </c>
      <c r="X374" s="634">
        <f t="shared" si="127"/>
        <v>6741444</v>
      </c>
    </row>
    <row r="375" spans="2:24" s="363" customFormat="1" ht="12.75">
      <c r="B375" s="357"/>
      <c r="C375" s="364"/>
      <c r="D375" s="359"/>
      <c r="E375" s="364"/>
      <c r="F375" s="375">
        <v>257</v>
      </c>
      <c r="G375" s="452">
        <v>413</v>
      </c>
      <c r="H375" s="355" t="s">
        <v>29</v>
      </c>
      <c r="I375" s="450"/>
      <c r="J375" s="451"/>
      <c r="K375" s="788">
        <v>255000</v>
      </c>
      <c r="L375" s="788">
        <v>60774.99</v>
      </c>
      <c r="M375" s="788">
        <v>255000</v>
      </c>
      <c r="N375" s="788">
        <v>200000</v>
      </c>
      <c r="O375" s="418">
        <v>0</v>
      </c>
      <c r="P375" s="418">
        <v>0</v>
      </c>
      <c r="Q375" s="418">
        <v>150000</v>
      </c>
      <c r="R375" s="421">
        <v>50000</v>
      </c>
      <c r="S375" s="418">
        <v>0</v>
      </c>
      <c r="T375" s="421">
        <v>0</v>
      </c>
      <c r="U375" s="424">
        <f t="shared" si="131"/>
        <v>200000</v>
      </c>
      <c r="V375" s="634">
        <f t="shared" si="151"/>
        <v>400000</v>
      </c>
      <c r="W375" s="634">
        <f t="shared" si="126"/>
        <v>400000</v>
      </c>
      <c r="X375" s="634">
        <f t="shared" si="127"/>
        <v>400000</v>
      </c>
    </row>
    <row r="376" spans="2:24" s="363" customFormat="1" ht="12.75">
      <c r="B376" s="357"/>
      <c r="C376" s="364"/>
      <c r="D376" s="359"/>
      <c r="E376" s="364"/>
      <c r="F376" s="375">
        <v>258</v>
      </c>
      <c r="G376" s="452">
        <v>414</v>
      </c>
      <c r="H376" s="1165" t="s">
        <v>205</v>
      </c>
      <c r="I376" s="1166"/>
      <c r="J376" s="1167"/>
      <c r="K376" s="788">
        <v>451000</v>
      </c>
      <c r="L376" s="788">
        <v>332800</v>
      </c>
      <c r="M376" s="788">
        <v>420000</v>
      </c>
      <c r="N376" s="788">
        <v>300990</v>
      </c>
      <c r="O376" s="418">
        <v>0</v>
      </c>
      <c r="P376" s="418">
        <v>0</v>
      </c>
      <c r="Q376" s="418">
        <v>25000</v>
      </c>
      <c r="R376" s="421">
        <v>0</v>
      </c>
      <c r="S376" s="418">
        <v>0</v>
      </c>
      <c r="T376" s="421">
        <v>0</v>
      </c>
      <c r="U376" s="424">
        <f t="shared" si="131"/>
        <v>25000</v>
      </c>
      <c r="V376" s="634">
        <f t="shared" si="151"/>
        <v>325990</v>
      </c>
      <c r="W376" s="634">
        <f t="shared" si="126"/>
        <v>325990</v>
      </c>
      <c r="X376" s="634">
        <f t="shared" si="127"/>
        <v>325990</v>
      </c>
    </row>
    <row r="377" spans="2:24" s="363" customFormat="1" ht="12.75">
      <c r="B377" s="357"/>
      <c r="C377" s="364"/>
      <c r="D377" s="359"/>
      <c r="E377" s="364"/>
      <c r="F377" s="375">
        <v>259</v>
      </c>
      <c r="G377" s="452">
        <v>415</v>
      </c>
      <c r="H377" s="1165" t="s">
        <v>31</v>
      </c>
      <c r="I377" s="1166"/>
      <c r="J377" s="1167"/>
      <c r="K377" s="788">
        <v>250000</v>
      </c>
      <c r="L377" s="788">
        <v>250000</v>
      </c>
      <c r="M377" s="788">
        <v>300000</v>
      </c>
      <c r="N377" s="788">
        <v>600000</v>
      </c>
      <c r="O377" s="418">
        <v>0</v>
      </c>
      <c r="P377" s="418">
        <v>0</v>
      </c>
      <c r="Q377" s="418">
        <v>400000</v>
      </c>
      <c r="R377" s="421">
        <v>200000</v>
      </c>
      <c r="S377" s="418">
        <v>0</v>
      </c>
      <c r="T377" s="421">
        <v>0</v>
      </c>
      <c r="U377" s="424">
        <f t="shared" si="131"/>
        <v>600000</v>
      </c>
      <c r="V377" s="634">
        <f t="shared" si="151"/>
        <v>1200000</v>
      </c>
      <c r="W377" s="634">
        <f t="shared" si="126"/>
        <v>1200000</v>
      </c>
      <c r="X377" s="634">
        <f t="shared" si="127"/>
        <v>1200000</v>
      </c>
    </row>
    <row r="378" spans="2:24" s="363" customFormat="1" ht="12.75">
      <c r="B378" s="357"/>
      <c r="C378" s="364"/>
      <c r="D378" s="359"/>
      <c r="E378" s="364"/>
      <c r="F378" s="375">
        <v>260</v>
      </c>
      <c r="G378" s="452">
        <v>416</v>
      </c>
      <c r="H378" s="1182" t="s">
        <v>203</v>
      </c>
      <c r="I378" s="1183"/>
      <c r="J378" s="1184"/>
      <c r="K378" s="788">
        <v>1350000</v>
      </c>
      <c r="L378" s="788">
        <v>0</v>
      </c>
      <c r="M378" s="788">
        <v>1150000</v>
      </c>
      <c r="N378" s="788">
        <v>800000</v>
      </c>
      <c r="O378" s="418">
        <v>0</v>
      </c>
      <c r="P378" s="418">
        <v>0</v>
      </c>
      <c r="Q378" s="418">
        <v>0</v>
      </c>
      <c r="R378" s="421">
        <v>0</v>
      </c>
      <c r="S378" s="418">
        <v>0</v>
      </c>
      <c r="T378" s="421">
        <v>0</v>
      </c>
      <c r="U378" s="424">
        <f t="shared" si="131"/>
        <v>0</v>
      </c>
      <c r="V378" s="634">
        <f t="shared" si="151"/>
        <v>800000</v>
      </c>
      <c r="W378" s="634">
        <f t="shared" si="126"/>
        <v>800000</v>
      </c>
      <c r="X378" s="634">
        <f t="shared" si="127"/>
        <v>800000</v>
      </c>
    </row>
    <row r="379" spans="2:24" s="363" customFormat="1" ht="12.75">
      <c r="B379" s="357"/>
      <c r="C379" s="364"/>
      <c r="D379" s="359"/>
      <c r="E379" s="364"/>
      <c r="F379" s="375">
        <v>261</v>
      </c>
      <c r="G379" s="452">
        <v>421</v>
      </c>
      <c r="H379" s="1182" t="s">
        <v>33</v>
      </c>
      <c r="I379" s="1183"/>
      <c r="J379" s="1184"/>
      <c r="K379" s="788">
        <v>1820400</v>
      </c>
      <c r="L379" s="788">
        <v>955610.79</v>
      </c>
      <c r="M379" s="788">
        <v>1451019</v>
      </c>
      <c r="N379" s="788">
        <v>1930500</v>
      </c>
      <c r="O379" s="418">
        <v>0</v>
      </c>
      <c r="P379" s="418">
        <v>0</v>
      </c>
      <c r="Q379" s="418">
        <v>984500</v>
      </c>
      <c r="R379" s="421">
        <v>258000</v>
      </c>
      <c r="S379" s="418">
        <v>0</v>
      </c>
      <c r="T379" s="421">
        <v>80000</v>
      </c>
      <c r="U379" s="424">
        <f t="shared" si="131"/>
        <v>1322500</v>
      </c>
      <c r="V379" s="634">
        <f t="shared" si="151"/>
        <v>3253000</v>
      </c>
      <c r="W379" s="634">
        <f t="shared" si="126"/>
        <v>3253000</v>
      </c>
      <c r="X379" s="634">
        <f t="shared" si="127"/>
        <v>3253000</v>
      </c>
    </row>
    <row r="380" spans="2:24" s="363" customFormat="1" ht="12.75">
      <c r="B380" s="357"/>
      <c r="C380" s="364"/>
      <c r="D380" s="359"/>
      <c r="E380" s="364"/>
      <c r="F380" s="375">
        <v>262</v>
      </c>
      <c r="G380" s="452">
        <v>422</v>
      </c>
      <c r="H380" s="1182" t="s">
        <v>34</v>
      </c>
      <c r="I380" s="1183"/>
      <c r="J380" s="1184"/>
      <c r="K380" s="788">
        <v>220000</v>
      </c>
      <c r="L380" s="788">
        <v>120690</v>
      </c>
      <c r="M380" s="788">
        <v>160000</v>
      </c>
      <c r="N380" s="788">
        <v>160000</v>
      </c>
      <c r="O380" s="418">
        <v>0</v>
      </c>
      <c r="P380" s="418">
        <v>0</v>
      </c>
      <c r="Q380" s="418">
        <v>0</v>
      </c>
      <c r="R380" s="421">
        <v>0</v>
      </c>
      <c r="S380" s="418">
        <v>0</v>
      </c>
      <c r="T380" s="421">
        <v>40000</v>
      </c>
      <c r="U380" s="421">
        <f t="shared" si="131"/>
        <v>40000</v>
      </c>
      <c r="V380" s="634">
        <f t="shared" si="151"/>
        <v>200000</v>
      </c>
      <c r="W380" s="634">
        <f t="shared" si="126"/>
        <v>200000</v>
      </c>
      <c r="X380" s="634">
        <f t="shared" si="127"/>
        <v>200000</v>
      </c>
    </row>
    <row r="381" spans="2:24" s="363" customFormat="1" ht="12.75">
      <c r="B381" s="357"/>
      <c r="C381" s="364"/>
      <c r="D381" s="359"/>
      <c r="E381" s="364"/>
      <c r="F381" s="375">
        <v>263</v>
      </c>
      <c r="G381" s="452">
        <v>423</v>
      </c>
      <c r="H381" s="1182" t="s">
        <v>35</v>
      </c>
      <c r="I381" s="1183"/>
      <c r="J381" s="1184"/>
      <c r="K381" s="788">
        <v>454500</v>
      </c>
      <c r="L381" s="788">
        <v>193438.42</v>
      </c>
      <c r="M381" s="788">
        <v>303000</v>
      </c>
      <c r="N381" s="788">
        <v>317500</v>
      </c>
      <c r="O381" s="418">
        <v>0</v>
      </c>
      <c r="P381" s="418">
        <v>0</v>
      </c>
      <c r="Q381" s="418">
        <v>160500</v>
      </c>
      <c r="R381" s="421">
        <v>63000</v>
      </c>
      <c r="S381" s="418">
        <v>0</v>
      </c>
      <c r="T381" s="421">
        <v>385000</v>
      </c>
      <c r="U381" s="421">
        <f t="shared" si="131"/>
        <v>608500</v>
      </c>
      <c r="V381" s="634">
        <f t="shared" si="151"/>
        <v>926000</v>
      </c>
      <c r="W381" s="634">
        <f t="shared" si="126"/>
        <v>926000</v>
      </c>
      <c r="X381" s="634">
        <f t="shared" si="127"/>
        <v>926000</v>
      </c>
    </row>
    <row r="382" spans="2:24" s="363" customFormat="1" ht="12.75">
      <c r="B382" s="357"/>
      <c r="C382" s="364"/>
      <c r="D382" s="359"/>
      <c r="E382" s="364"/>
      <c r="F382" s="375">
        <v>264</v>
      </c>
      <c r="G382" s="452">
        <v>424</v>
      </c>
      <c r="H382" s="1165" t="s">
        <v>36</v>
      </c>
      <c r="I382" s="1166"/>
      <c r="J382" s="1167"/>
      <c r="K382" s="788">
        <v>350000</v>
      </c>
      <c r="L382" s="788">
        <v>217350</v>
      </c>
      <c r="M382" s="788">
        <v>275600</v>
      </c>
      <c r="N382" s="788">
        <v>266000</v>
      </c>
      <c r="O382" s="418">
        <v>0</v>
      </c>
      <c r="P382" s="418">
        <v>0</v>
      </c>
      <c r="Q382" s="418">
        <v>220500</v>
      </c>
      <c r="R382" s="421">
        <v>145500</v>
      </c>
      <c r="S382" s="418">
        <v>0</v>
      </c>
      <c r="T382" s="421">
        <v>0</v>
      </c>
      <c r="U382" s="421">
        <f t="shared" si="131"/>
        <v>366000</v>
      </c>
      <c r="V382" s="634">
        <f t="shared" si="151"/>
        <v>632000</v>
      </c>
      <c r="W382" s="634">
        <f t="shared" si="126"/>
        <v>632000</v>
      </c>
      <c r="X382" s="634">
        <f t="shared" si="127"/>
        <v>632000</v>
      </c>
    </row>
    <row r="383" spans="2:24" s="363" customFormat="1" ht="12.75">
      <c r="B383" s="357"/>
      <c r="C383" s="364"/>
      <c r="D383" s="359"/>
      <c r="E383" s="364"/>
      <c r="F383" s="375">
        <v>265</v>
      </c>
      <c r="G383" s="452">
        <v>425</v>
      </c>
      <c r="H383" s="1165" t="s">
        <v>91</v>
      </c>
      <c r="I383" s="1166"/>
      <c r="J383" s="1167"/>
      <c r="K383" s="788">
        <v>340000</v>
      </c>
      <c r="L383" s="788">
        <v>264236</v>
      </c>
      <c r="M383" s="788">
        <v>275000</v>
      </c>
      <c r="N383" s="788">
        <v>90000</v>
      </c>
      <c r="O383" s="418">
        <v>0</v>
      </c>
      <c r="P383" s="418">
        <v>0</v>
      </c>
      <c r="Q383" s="418">
        <v>90000</v>
      </c>
      <c r="R383" s="421">
        <v>0</v>
      </c>
      <c r="S383" s="418">
        <v>0</v>
      </c>
      <c r="T383" s="421">
        <v>0</v>
      </c>
      <c r="U383" s="421">
        <f t="shared" si="131"/>
        <v>90000</v>
      </c>
      <c r="V383" s="634">
        <f t="shared" si="151"/>
        <v>180000</v>
      </c>
      <c r="W383" s="634">
        <f t="shared" si="126"/>
        <v>180000</v>
      </c>
      <c r="X383" s="634">
        <f t="shared" si="127"/>
        <v>180000</v>
      </c>
    </row>
    <row r="384" spans="2:24" s="363" customFormat="1" ht="12.75">
      <c r="B384" s="357"/>
      <c r="C384" s="364"/>
      <c r="D384" s="359"/>
      <c r="E384" s="364"/>
      <c r="F384" s="375">
        <v>266</v>
      </c>
      <c r="G384" s="452">
        <v>426</v>
      </c>
      <c r="H384" s="1182" t="s">
        <v>38</v>
      </c>
      <c r="I384" s="1183"/>
      <c r="J384" s="1184"/>
      <c r="K384" s="788">
        <v>2984100</v>
      </c>
      <c r="L384" s="788">
        <v>2556122.0800000005</v>
      </c>
      <c r="M384" s="788">
        <v>3277100</v>
      </c>
      <c r="N384" s="788">
        <v>3304000</v>
      </c>
      <c r="O384" s="418">
        <v>0</v>
      </c>
      <c r="P384" s="418">
        <v>0</v>
      </c>
      <c r="Q384" s="418">
        <v>1469500</v>
      </c>
      <c r="R384" s="421">
        <v>282500</v>
      </c>
      <c r="S384" s="418">
        <v>0</v>
      </c>
      <c r="T384" s="421">
        <v>0</v>
      </c>
      <c r="U384" s="421">
        <f t="shared" si="131"/>
        <v>1752000</v>
      </c>
      <c r="V384" s="634">
        <f t="shared" si="151"/>
        <v>5056000</v>
      </c>
      <c r="W384" s="634">
        <f t="shared" si="126"/>
        <v>5056000</v>
      </c>
      <c r="X384" s="634">
        <f t="shared" si="127"/>
        <v>5056000</v>
      </c>
    </row>
    <row r="385" spans="2:24" s="363" customFormat="1" ht="12.75">
      <c r="B385" s="357"/>
      <c r="C385" s="364"/>
      <c r="D385" s="359"/>
      <c r="E385" s="364"/>
      <c r="F385" s="375">
        <v>267</v>
      </c>
      <c r="G385" s="452">
        <v>444</v>
      </c>
      <c r="H385" s="1182" t="s">
        <v>1447</v>
      </c>
      <c r="I385" s="1183"/>
      <c r="J385" s="1184"/>
      <c r="K385" s="788">
        <v>1000</v>
      </c>
      <c r="L385" s="788">
        <v>7.949999999999999</v>
      </c>
      <c r="M385" s="788">
        <v>1000</v>
      </c>
      <c r="N385" s="788">
        <v>1000</v>
      </c>
      <c r="O385" s="418">
        <v>0</v>
      </c>
      <c r="P385" s="418">
        <v>0</v>
      </c>
      <c r="Q385" s="418">
        <v>0</v>
      </c>
      <c r="R385" s="421">
        <v>0</v>
      </c>
      <c r="S385" s="418">
        <v>0</v>
      </c>
      <c r="T385" s="421">
        <v>0</v>
      </c>
      <c r="U385" s="421">
        <f t="shared" si="131"/>
        <v>0</v>
      </c>
      <c r="V385" s="634">
        <f t="shared" si="151"/>
        <v>1000</v>
      </c>
      <c r="W385" s="634">
        <f t="shared" si="126"/>
        <v>1000</v>
      </c>
      <c r="X385" s="634">
        <f t="shared" si="127"/>
        <v>1000</v>
      </c>
    </row>
    <row r="386" spans="2:24" s="363" customFormat="1" ht="12.75">
      <c r="B386" s="357"/>
      <c r="C386" s="364"/>
      <c r="D386" s="359"/>
      <c r="E386" s="364"/>
      <c r="F386" s="375">
        <v>268</v>
      </c>
      <c r="G386" s="452">
        <v>465</v>
      </c>
      <c r="H386" s="1182" t="s">
        <v>216</v>
      </c>
      <c r="I386" s="1183"/>
      <c r="J386" s="1184"/>
      <c r="K386" s="788">
        <v>2461143</v>
      </c>
      <c r="L386" s="788">
        <v>1707651.6999999997</v>
      </c>
      <c r="M386" s="788">
        <v>2261113</v>
      </c>
      <c r="N386" s="788">
        <v>2350000</v>
      </c>
      <c r="O386" s="418">
        <v>0</v>
      </c>
      <c r="P386" s="418">
        <v>0</v>
      </c>
      <c r="Q386" s="418">
        <v>0</v>
      </c>
      <c r="R386" s="421">
        <v>0</v>
      </c>
      <c r="S386" s="418">
        <v>0</v>
      </c>
      <c r="T386" s="421">
        <v>0</v>
      </c>
      <c r="U386" s="421">
        <f t="shared" si="131"/>
        <v>0</v>
      </c>
      <c r="V386" s="634">
        <f t="shared" si="151"/>
        <v>2350000</v>
      </c>
      <c r="W386" s="634">
        <f t="shared" si="126"/>
        <v>2350000</v>
      </c>
      <c r="X386" s="634">
        <f t="shared" si="127"/>
        <v>2350000</v>
      </c>
    </row>
    <row r="387" spans="2:24" s="363" customFormat="1" ht="12.75">
      <c r="B387" s="357"/>
      <c r="C387" s="364"/>
      <c r="D387" s="359"/>
      <c r="E387" s="364"/>
      <c r="F387" s="375">
        <v>269</v>
      </c>
      <c r="G387" s="452">
        <v>482</v>
      </c>
      <c r="H387" s="1165" t="s">
        <v>82</v>
      </c>
      <c r="I387" s="1166"/>
      <c r="J387" s="1167"/>
      <c r="K387" s="788">
        <v>173192</v>
      </c>
      <c r="L387" s="788">
        <v>122906.19999999997</v>
      </c>
      <c r="M387" s="788">
        <v>178000</v>
      </c>
      <c r="N387" s="788">
        <v>65000</v>
      </c>
      <c r="O387" s="418">
        <v>0</v>
      </c>
      <c r="P387" s="418">
        <v>0</v>
      </c>
      <c r="Q387" s="418">
        <v>0</v>
      </c>
      <c r="R387" s="421">
        <v>0</v>
      </c>
      <c r="S387" s="418">
        <v>0</v>
      </c>
      <c r="T387" s="421">
        <v>0</v>
      </c>
      <c r="U387" s="421">
        <f t="shared" si="131"/>
        <v>0</v>
      </c>
      <c r="V387" s="634">
        <f t="shared" si="151"/>
        <v>65000</v>
      </c>
      <c r="W387" s="634">
        <f t="shared" si="126"/>
        <v>65000</v>
      </c>
      <c r="X387" s="634">
        <f t="shared" si="127"/>
        <v>65000</v>
      </c>
    </row>
    <row r="388" spans="2:24" s="363" customFormat="1" ht="12.75">
      <c r="B388" s="583"/>
      <c r="C388" s="493"/>
      <c r="D388" s="584"/>
      <c r="E388" s="493"/>
      <c r="F388" s="375">
        <v>270</v>
      </c>
      <c r="G388" s="550">
        <v>511</v>
      </c>
      <c r="H388" s="560" t="s">
        <v>114</v>
      </c>
      <c r="I388" s="752"/>
      <c r="J388" s="753"/>
      <c r="K388" s="1008">
        <v>0</v>
      </c>
      <c r="L388" s="1008">
        <v>0</v>
      </c>
      <c r="M388" s="1008">
        <v>300000</v>
      </c>
      <c r="N388" s="1008">
        <v>653000</v>
      </c>
      <c r="O388" s="418">
        <v>0</v>
      </c>
      <c r="P388" s="547">
        <v>0</v>
      </c>
      <c r="Q388" s="547">
        <v>0</v>
      </c>
      <c r="R388" s="459">
        <v>0</v>
      </c>
      <c r="S388" s="547">
        <v>0</v>
      </c>
      <c r="T388" s="459">
        <v>0</v>
      </c>
      <c r="U388" s="459">
        <f t="shared" si="131"/>
        <v>0</v>
      </c>
      <c r="V388" s="634">
        <f t="shared" si="151"/>
        <v>653000</v>
      </c>
      <c r="W388" s="634">
        <f t="shared" si="126"/>
        <v>653000</v>
      </c>
      <c r="X388" s="634">
        <f t="shared" si="127"/>
        <v>653000</v>
      </c>
    </row>
    <row r="389" spans="2:24" s="363" customFormat="1" ht="12.75">
      <c r="B389" s="583"/>
      <c r="C389" s="493"/>
      <c r="D389" s="584"/>
      <c r="E389" s="493"/>
      <c r="F389" s="375">
        <v>271</v>
      </c>
      <c r="G389" s="550">
        <v>512</v>
      </c>
      <c r="H389" s="1196" t="s">
        <v>83</v>
      </c>
      <c r="I389" s="1197"/>
      <c r="J389" s="1198"/>
      <c r="K389" s="1008">
        <v>674100</v>
      </c>
      <c r="L389" s="1008">
        <v>673111</v>
      </c>
      <c r="M389" s="1008">
        <v>678011</v>
      </c>
      <c r="N389" s="1008">
        <v>880000</v>
      </c>
      <c r="O389" s="418">
        <v>0</v>
      </c>
      <c r="P389" s="547">
        <v>0</v>
      </c>
      <c r="Q389" s="547">
        <v>0</v>
      </c>
      <c r="R389" s="459">
        <v>0</v>
      </c>
      <c r="S389" s="547">
        <v>0</v>
      </c>
      <c r="T389" s="459">
        <v>0</v>
      </c>
      <c r="U389" s="459">
        <f t="shared" si="131"/>
        <v>0</v>
      </c>
      <c r="V389" s="634">
        <f t="shared" si="151"/>
        <v>880000</v>
      </c>
      <c r="W389" s="634">
        <f t="shared" si="126"/>
        <v>880000</v>
      </c>
      <c r="X389" s="634">
        <f t="shared" si="127"/>
        <v>880000</v>
      </c>
    </row>
    <row r="390" spans="2:24" s="363" customFormat="1" ht="12.75">
      <c r="B390" s="495"/>
      <c r="C390" s="495"/>
      <c r="D390" s="548"/>
      <c r="E390" s="495"/>
      <c r="F390" s="375">
        <v>272</v>
      </c>
      <c r="G390" s="492">
        <v>515</v>
      </c>
      <c r="H390" s="1185" t="s">
        <v>1180</v>
      </c>
      <c r="I390" s="1186"/>
      <c r="J390" s="1187"/>
      <c r="K390" s="1021">
        <v>45000</v>
      </c>
      <c r="L390" s="1021">
        <v>0</v>
      </c>
      <c r="M390" s="1021">
        <v>0</v>
      </c>
      <c r="N390" s="1021">
        <v>50000</v>
      </c>
      <c r="O390" s="411">
        <v>0</v>
      </c>
      <c r="P390" s="465">
        <v>0</v>
      </c>
      <c r="Q390" s="465">
        <v>0</v>
      </c>
      <c r="R390" s="465">
        <v>0</v>
      </c>
      <c r="S390" s="465">
        <v>0</v>
      </c>
      <c r="T390" s="465">
        <v>0</v>
      </c>
      <c r="U390" s="770">
        <f t="shared" si="131"/>
        <v>0</v>
      </c>
      <c r="V390" s="634">
        <f t="shared" si="151"/>
        <v>50000</v>
      </c>
      <c r="W390" s="634">
        <f t="shared" si="126"/>
        <v>50000</v>
      </c>
      <c r="X390" s="634">
        <f t="shared" si="127"/>
        <v>50000</v>
      </c>
    </row>
    <row r="391" spans="2:24" ht="12.75">
      <c r="B391" s="51"/>
      <c r="C391" s="52" t="s">
        <v>1222</v>
      </c>
      <c r="D391" s="53"/>
      <c r="E391" s="285"/>
      <c r="F391" s="53"/>
      <c r="G391" s="67"/>
      <c r="H391" s="1191" t="s">
        <v>285</v>
      </c>
      <c r="I391" s="1192"/>
      <c r="J391" s="1192"/>
      <c r="K391" s="1023">
        <f>K392</f>
        <v>11475282</v>
      </c>
      <c r="L391" s="1023">
        <f>L392</f>
        <v>7912751.390000001</v>
      </c>
      <c r="M391" s="1023">
        <f>M392</f>
        <v>11475282</v>
      </c>
      <c r="N391" s="1023">
        <f>N392</f>
        <v>14073935</v>
      </c>
      <c r="O391" s="68">
        <f aca="true" t="shared" si="152" ref="O391:T391">O392</f>
        <v>205000</v>
      </c>
      <c r="P391" s="68">
        <f t="shared" si="152"/>
        <v>810000</v>
      </c>
      <c r="Q391" s="68">
        <f t="shared" si="152"/>
        <v>230000</v>
      </c>
      <c r="R391" s="68">
        <f t="shared" si="152"/>
        <v>166590</v>
      </c>
      <c r="S391" s="68">
        <f t="shared" si="152"/>
        <v>0</v>
      </c>
      <c r="T391" s="68">
        <f t="shared" si="152"/>
        <v>0</v>
      </c>
      <c r="U391" s="343">
        <f t="shared" si="131"/>
        <v>1411590</v>
      </c>
      <c r="V391" s="908">
        <f aca="true" t="shared" si="153" ref="V391:V435">SUM(N391:T391)</f>
        <v>15485525</v>
      </c>
      <c r="W391" s="908">
        <f t="shared" si="126"/>
        <v>15485525</v>
      </c>
      <c r="X391" s="908">
        <f t="shared" si="127"/>
        <v>15485525</v>
      </c>
    </row>
    <row r="392" spans="2:24" ht="12.75">
      <c r="B392" s="287"/>
      <c r="C392" s="288"/>
      <c r="D392" s="436"/>
      <c r="E392" s="636" t="s">
        <v>300</v>
      </c>
      <c r="F392" s="637"/>
      <c r="G392" s="638"/>
      <c r="H392" s="1188" t="s">
        <v>1284</v>
      </c>
      <c r="I392" s="1189"/>
      <c r="J392" s="1190"/>
      <c r="K392" s="1004">
        <f aca="true" t="shared" si="154" ref="K392:T392">K393+K410+K415</f>
        <v>11475282</v>
      </c>
      <c r="L392" s="1004">
        <f t="shared" si="154"/>
        <v>7912751.390000001</v>
      </c>
      <c r="M392" s="1004">
        <f t="shared" si="154"/>
        <v>11475282</v>
      </c>
      <c r="N392" s="1004">
        <f t="shared" si="154"/>
        <v>14073935</v>
      </c>
      <c r="O392" s="289">
        <f t="shared" si="154"/>
        <v>205000</v>
      </c>
      <c r="P392" s="289">
        <f t="shared" si="154"/>
        <v>810000</v>
      </c>
      <c r="Q392" s="289">
        <f t="shared" si="154"/>
        <v>230000</v>
      </c>
      <c r="R392" s="289">
        <f t="shared" si="154"/>
        <v>166590</v>
      </c>
      <c r="S392" s="289">
        <f t="shared" si="154"/>
        <v>0</v>
      </c>
      <c r="T392" s="289">
        <f t="shared" si="154"/>
        <v>0</v>
      </c>
      <c r="U392" s="340">
        <f t="shared" si="131"/>
        <v>1411590</v>
      </c>
      <c r="V392" s="682">
        <f t="shared" si="153"/>
        <v>15485525</v>
      </c>
      <c r="W392" s="682">
        <f aca="true" t="shared" si="155" ref="W392:W453">V392</f>
        <v>15485525</v>
      </c>
      <c r="X392" s="682">
        <f aca="true" t="shared" si="156" ref="X392:X453">V392</f>
        <v>15485525</v>
      </c>
    </row>
    <row r="393" spans="2:24" s="363" customFormat="1" ht="12.75" customHeight="1">
      <c r="B393" s="287"/>
      <c r="C393" s="288"/>
      <c r="D393" s="436"/>
      <c r="E393" s="353" t="s">
        <v>301</v>
      </c>
      <c r="F393" s="436"/>
      <c r="G393" s="437"/>
      <c r="H393" s="1168" t="s">
        <v>330</v>
      </c>
      <c r="I393" s="1169"/>
      <c r="J393" s="1170"/>
      <c r="K393" s="981">
        <f aca="true" t="shared" si="157" ref="K393:T393">K394</f>
        <v>9898282</v>
      </c>
      <c r="L393" s="981">
        <f t="shared" si="157"/>
        <v>6892972.82</v>
      </c>
      <c r="M393" s="981">
        <f t="shared" si="157"/>
        <v>9873282</v>
      </c>
      <c r="N393" s="981">
        <f t="shared" si="157"/>
        <v>12177935</v>
      </c>
      <c r="O393" s="293">
        <f t="shared" si="157"/>
        <v>138000</v>
      </c>
      <c r="P393" s="293">
        <f t="shared" si="157"/>
        <v>430000</v>
      </c>
      <c r="Q393" s="293">
        <f t="shared" si="157"/>
        <v>230000</v>
      </c>
      <c r="R393" s="293">
        <f t="shared" si="157"/>
        <v>114590</v>
      </c>
      <c r="S393" s="293">
        <f t="shared" si="157"/>
        <v>0</v>
      </c>
      <c r="T393" s="293">
        <f t="shared" si="157"/>
        <v>0</v>
      </c>
      <c r="U393" s="341">
        <f t="shared" si="131"/>
        <v>912590</v>
      </c>
      <c r="V393" s="682">
        <f t="shared" si="153"/>
        <v>13090525</v>
      </c>
      <c r="W393" s="682">
        <f t="shared" si="155"/>
        <v>13090525</v>
      </c>
      <c r="X393" s="682">
        <f t="shared" si="156"/>
        <v>13090525</v>
      </c>
    </row>
    <row r="394" spans="2:24" s="363" customFormat="1" ht="12.75">
      <c r="B394" s="357"/>
      <c r="C394" s="364"/>
      <c r="D394" s="182" t="s">
        <v>558</v>
      </c>
      <c r="E394" s="182"/>
      <c r="F394" s="359"/>
      <c r="G394" s="360"/>
      <c r="H394" s="1162" t="s">
        <v>173</v>
      </c>
      <c r="I394" s="1163"/>
      <c r="J394" s="1164"/>
      <c r="K394" s="183">
        <f>SUM(K395:K409)</f>
        <v>9898282</v>
      </c>
      <c r="L394" s="183">
        <f>SUM(L395:L409)</f>
        <v>6892972.82</v>
      </c>
      <c r="M394" s="183">
        <f>SUM(M395:M409)</f>
        <v>9873282</v>
      </c>
      <c r="N394" s="183">
        <f>SUM(N395:N409)</f>
        <v>12177935</v>
      </c>
      <c r="O394" s="66">
        <f aca="true" t="shared" si="158" ref="O394:T394">SUM(O395:O409)</f>
        <v>138000</v>
      </c>
      <c r="P394" s="66">
        <f t="shared" si="158"/>
        <v>430000</v>
      </c>
      <c r="Q394" s="66">
        <f t="shared" si="158"/>
        <v>230000</v>
      </c>
      <c r="R394" s="66">
        <f t="shared" si="158"/>
        <v>114590</v>
      </c>
      <c r="S394" s="66">
        <f t="shared" si="158"/>
        <v>0</v>
      </c>
      <c r="T394" s="66">
        <f t="shared" si="158"/>
        <v>0</v>
      </c>
      <c r="U394" s="346">
        <f t="shared" si="131"/>
        <v>912590</v>
      </c>
      <c r="V394" s="382">
        <f t="shared" si="153"/>
        <v>13090525</v>
      </c>
      <c r="W394" s="382">
        <f t="shared" si="155"/>
        <v>13090525</v>
      </c>
      <c r="X394" s="382">
        <f t="shared" si="156"/>
        <v>13090525</v>
      </c>
    </row>
    <row r="395" spans="2:24" s="363" customFormat="1" ht="12.75">
      <c r="B395" s="357"/>
      <c r="C395" s="364"/>
      <c r="D395" s="359"/>
      <c r="E395" s="364"/>
      <c r="F395" s="375">
        <v>273</v>
      </c>
      <c r="G395" s="452">
        <v>411</v>
      </c>
      <c r="H395" s="1165" t="s">
        <v>27</v>
      </c>
      <c r="I395" s="1166"/>
      <c r="J395" s="1167"/>
      <c r="K395" s="788">
        <v>5280862</v>
      </c>
      <c r="L395" s="788">
        <v>3931245.2399999998</v>
      </c>
      <c r="M395" s="788">
        <v>5280862</v>
      </c>
      <c r="N395" s="788">
        <v>5808948</v>
      </c>
      <c r="O395" s="418">
        <v>0</v>
      </c>
      <c r="P395" s="418">
        <v>0</v>
      </c>
      <c r="Q395" s="418">
        <v>0</v>
      </c>
      <c r="R395" s="415">
        <v>0</v>
      </c>
      <c r="S395" s="418">
        <v>0</v>
      </c>
      <c r="T395" s="421">
        <v>0</v>
      </c>
      <c r="U395" s="421">
        <f t="shared" si="131"/>
        <v>0</v>
      </c>
      <c r="V395" s="383">
        <f t="shared" si="153"/>
        <v>5808948</v>
      </c>
      <c r="W395" s="383">
        <f t="shared" si="155"/>
        <v>5808948</v>
      </c>
      <c r="X395" s="383">
        <f t="shared" si="156"/>
        <v>5808948</v>
      </c>
    </row>
    <row r="396" spans="2:24" s="363" customFormat="1" ht="12.75" customHeight="1">
      <c r="B396" s="357"/>
      <c r="C396" s="364"/>
      <c r="D396" s="359"/>
      <c r="E396" s="364"/>
      <c r="F396" s="375">
        <v>274</v>
      </c>
      <c r="G396" s="452">
        <v>412</v>
      </c>
      <c r="H396" s="1165" t="s">
        <v>79</v>
      </c>
      <c r="I396" s="1166"/>
      <c r="J396" s="1167"/>
      <c r="K396" s="788">
        <v>905667</v>
      </c>
      <c r="L396" s="788">
        <v>674208.56</v>
      </c>
      <c r="M396" s="788">
        <v>905667</v>
      </c>
      <c r="N396" s="788">
        <v>996234</v>
      </c>
      <c r="O396" s="418">
        <v>0</v>
      </c>
      <c r="P396" s="418">
        <v>0</v>
      </c>
      <c r="Q396" s="418">
        <v>0</v>
      </c>
      <c r="R396" s="415">
        <v>0</v>
      </c>
      <c r="S396" s="418">
        <v>0</v>
      </c>
      <c r="T396" s="421">
        <v>0</v>
      </c>
      <c r="U396" s="421">
        <f t="shared" si="131"/>
        <v>0</v>
      </c>
      <c r="V396" s="383">
        <f t="shared" si="153"/>
        <v>996234</v>
      </c>
      <c r="W396" s="383">
        <f t="shared" si="155"/>
        <v>996234</v>
      </c>
      <c r="X396" s="383">
        <f t="shared" si="156"/>
        <v>996234</v>
      </c>
    </row>
    <row r="397" spans="2:24" s="363" customFormat="1" ht="12.75">
      <c r="B397" s="357"/>
      <c r="C397" s="364"/>
      <c r="D397" s="359"/>
      <c r="E397" s="364"/>
      <c r="F397" s="375">
        <v>275</v>
      </c>
      <c r="G397" s="452">
        <v>414</v>
      </c>
      <c r="H397" s="1165" t="s">
        <v>30</v>
      </c>
      <c r="I397" s="1166"/>
      <c r="J397" s="1167"/>
      <c r="K397" s="788">
        <v>200000</v>
      </c>
      <c r="L397" s="788">
        <v>0</v>
      </c>
      <c r="M397" s="788">
        <v>200000</v>
      </c>
      <c r="N397" s="788">
        <v>200000</v>
      </c>
      <c r="O397" s="418">
        <v>0</v>
      </c>
      <c r="P397" s="418">
        <v>0</v>
      </c>
      <c r="Q397" s="418">
        <v>0</v>
      </c>
      <c r="R397" s="415">
        <v>0</v>
      </c>
      <c r="S397" s="418">
        <v>0</v>
      </c>
      <c r="T397" s="421">
        <v>0</v>
      </c>
      <c r="U397" s="421">
        <f t="shared" si="131"/>
        <v>0</v>
      </c>
      <c r="V397" s="383">
        <f t="shared" si="153"/>
        <v>200000</v>
      </c>
      <c r="W397" s="383">
        <f t="shared" si="155"/>
        <v>200000</v>
      </c>
      <c r="X397" s="383">
        <f t="shared" si="156"/>
        <v>200000</v>
      </c>
    </row>
    <row r="398" spans="2:24" s="363" customFormat="1" ht="12.75">
      <c r="B398" s="357"/>
      <c r="C398" s="364"/>
      <c r="D398" s="359"/>
      <c r="E398" s="364"/>
      <c r="F398" s="375">
        <v>276</v>
      </c>
      <c r="G398" s="452">
        <v>415</v>
      </c>
      <c r="H398" s="1165" t="s">
        <v>31</v>
      </c>
      <c r="I398" s="1166"/>
      <c r="J398" s="1167"/>
      <c r="K398" s="788">
        <v>100000</v>
      </c>
      <c r="L398" s="788">
        <v>60720</v>
      </c>
      <c r="M398" s="788">
        <v>100000</v>
      </c>
      <c r="N398" s="788">
        <v>100000</v>
      </c>
      <c r="O398" s="418">
        <v>0</v>
      </c>
      <c r="P398" s="418">
        <v>0</v>
      </c>
      <c r="Q398" s="418">
        <v>0</v>
      </c>
      <c r="R398" s="415">
        <v>0</v>
      </c>
      <c r="S398" s="418">
        <v>0</v>
      </c>
      <c r="T398" s="421">
        <v>0</v>
      </c>
      <c r="U398" s="421">
        <f t="shared" si="131"/>
        <v>0</v>
      </c>
      <c r="V398" s="383">
        <f t="shared" si="153"/>
        <v>100000</v>
      </c>
      <c r="W398" s="383">
        <f t="shared" si="155"/>
        <v>100000</v>
      </c>
      <c r="X398" s="383">
        <f t="shared" si="156"/>
        <v>100000</v>
      </c>
    </row>
    <row r="399" spans="2:24" s="363" customFormat="1" ht="12.75">
      <c r="B399" s="357"/>
      <c r="C399" s="364"/>
      <c r="D399" s="359"/>
      <c r="E399" s="364"/>
      <c r="F399" s="375">
        <v>277</v>
      </c>
      <c r="G399" s="452">
        <v>421</v>
      </c>
      <c r="H399" s="1165" t="s">
        <v>33</v>
      </c>
      <c r="I399" s="1166"/>
      <c r="J399" s="1167"/>
      <c r="K399" s="788">
        <v>1216606</v>
      </c>
      <c r="L399" s="788">
        <v>891629.2800000005</v>
      </c>
      <c r="M399" s="788">
        <v>1216606</v>
      </c>
      <c r="N399" s="788">
        <v>1307606</v>
      </c>
      <c r="O399" s="418">
        <v>23000</v>
      </c>
      <c r="P399" s="418">
        <v>0</v>
      </c>
      <c r="Q399" s="418">
        <v>0</v>
      </c>
      <c r="R399" s="415">
        <v>0</v>
      </c>
      <c r="S399" s="418">
        <v>0</v>
      </c>
      <c r="T399" s="421">
        <v>0</v>
      </c>
      <c r="U399" s="421">
        <f t="shared" si="131"/>
        <v>23000</v>
      </c>
      <c r="V399" s="383">
        <f t="shared" si="153"/>
        <v>1330606</v>
      </c>
      <c r="W399" s="383">
        <f t="shared" si="155"/>
        <v>1330606</v>
      </c>
      <c r="X399" s="383">
        <f t="shared" si="156"/>
        <v>1330606</v>
      </c>
    </row>
    <row r="400" spans="2:24" s="363" customFormat="1" ht="12.75">
      <c r="B400" s="357"/>
      <c r="C400" s="364"/>
      <c r="D400" s="359"/>
      <c r="E400" s="364"/>
      <c r="F400" s="375">
        <v>279</v>
      </c>
      <c r="G400" s="452">
        <v>422</v>
      </c>
      <c r="H400" s="1165" t="s">
        <v>34</v>
      </c>
      <c r="I400" s="1166"/>
      <c r="J400" s="1167"/>
      <c r="K400" s="788">
        <v>100000</v>
      </c>
      <c r="L400" s="788">
        <v>25583</v>
      </c>
      <c r="M400" s="788">
        <v>100000</v>
      </c>
      <c r="N400" s="788">
        <v>100000</v>
      </c>
      <c r="O400" s="418">
        <v>10000</v>
      </c>
      <c r="P400" s="418">
        <v>0</v>
      </c>
      <c r="Q400" s="418">
        <v>0</v>
      </c>
      <c r="R400" s="415">
        <v>0</v>
      </c>
      <c r="S400" s="418">
        <v>0</v>
      </c>
      <c r="T400" s="421">
        <v>0</v>
      </c>
      <c r="U400" s="421">
        <f t="shared" si="131"/>
        <v>10000</v>
      </c>
      <c r="V400" s="383">
        <f t="shared" si="153"/>
        <v>110000</v>
      </c>
      <c r="W400" s="383">
        <f t="shared" si="155"/>
        <v>110000</v>
      </c>
      <c r="X400" s="383">
        <f t="shared" si="156"/>
        <v>110000</v>
      </c>
    </row>
    <row r="401" spans="2:24" s="363" customFormat="1" ht="12.75">
      <c r="B401" s="357"/>
      <c r="C401" s="364"/>
      <c r="D401" s="359"/>
      <c r="E401" s="364"/>
      <c r="F401" s="375">
        <v>280</v>
      </c>
      <c r="G401" s="452">
        <v>423</v>
      </c>
      <c r="H401" s="1182" t="s">
        <v>35</v>
      </c>
      <c r="I401" s="1183"/>
      <c r="J401" s="1184"/>
      <c r="K401" s="788">
        <v>645000</v>
      </c>
      <c r="L401" s="788">
        <v>412994.05000000005</v>
      </c>
      <c r="M401" s="788">
        <v>645000</v>
      </c>
      <c r="N401" s="788">
        <v>915000</v>
      </c>
      <c r="O401" s="418">
        <v>10000</v>
      </c>
      <c r="P401" s="418">
        <v>60000</v>
      </c>
      <c r="Q401" s="418">
        <v>0</v>
      </c>
      <c r="R401" s="415">
        <v>54590</v>
      </c>
      <c r="S401" s="418">
        <v>0</v>
      </c>
      <c r="T401" s="421">
        <v>0</v>
      </c>
      <c r="U401" s="421">
        <f aca="true" t="shared" si="159" ref="U401:U464">SUM(O401:T401)</f>
        <v>124590</v>
      </c>
      <c r="V401" s="383">
        <f t="shared" si="153"/>
        <v>1039590</v>
      </c>
      <c r="W401" s="383">
        <f t="shared" si="155"/>
        <v>1039590</v>
      </c>
      <c r="X401" s="383">
        <f t="shared" si="156"/>
        <v>1039590</v>
      </c>
    </row>
    <row r="402" spans="2:24" s="363" customFormat="1" ht="12.75">
      <c r="B402" s="357"/>
      <c r="C402" s="364"/>
      <c r="D402" s="359"/>
      <c r="E402" s="364"/>
      <c r="F402" s="375">
        <v>281</v>
      </c>
      <c r="G402" s="452">
        <v>423</v>
      </c>
      <c r="H402" s="1182" t="s">
        <v>1448</v>
      </c>
      <c r="I402" s="1183"/>
      <c r="J402" s="1184"/>
      <c r="K402" s="788">
        <v>10534</v>
      </c>
      <c r="L402" s="788">
        <v>0</v>
      </c>
      <c r="M402" s="788">
        <v>10534</v>
      </c>
      <c r="N402" s="788">
        <v>10534</v>
      </c>
      <c r="O402" s="418">
        <v>0</v>
      </c>
      <c r="P402" s="418">
        <v>0</v>
      </c>
      <c r="Q402" s="418">
        <v>0</v>
      </c>
      <c r="R402" s="415">
        <v>0</v>
      </c>
      <c r="S402" s="418">
        <v>0</v>
      </c>
      <c r="T402" s="421">
        <v>0</v>
      </c>
      <c r="U402" s="421">
        <f t="shared" si="159"/>
        <v>0</v>
      </c>
      <c r="V402" s="383">
        <f t="shared" si="153"/>
        <v>10534</v>
      </c>
      <c r="W402" s="383">
        <f t="shared" si="155"/>
        <v>10534</v>
      </c>
      <c r="X402" s="383">
        <f t="shared" si="156"/>
        <v>10534</v>
      </c>
    </row>
    <row r="403" spans="2:24" s="363" customFormat="1" ht="12.75">
      <c r="B403" s="357"/>
      <c r="C403" s="364"/>
      <c r="D403" s="359"/>
      <c r="E403" s="364"/>
      <c r="F403" s="375">
        <v>282</v>
      </c>
      <c r="G403" s="452">
        <v>424</v>
      </c>
      <c r="H403" s="1165" t="s">
        <v>36</v>
      </c>
      <c r="I403" s="1166"/>
      <c r="J403" s="1167"/>
      <c r="K403" s="788">
        <v>87000</v>
      </c>
      <c r="L403" s="788">
        <v>81800</v>
      </c>
      <c r="M403" s="788">
        <v>87000</v>
      </c>
      <c r="N403" s="788">
        <v>87000</v>
      </c>
      <c r="O403" s="418">
        <v>20000</v>
      </c>
      <c r="P403" s="418">
        <v>0</v>
      </c>
      <c r="Q403" s="418">
        <v>50000</v>
      </c>
      <c r="R403" s="415">
        <v>0</v>
      </c>
      <c r="S403" s="418">
        <v>0</v>
      </c>
      <c r="T403" s="421">
        <v>0</v>
      </c>
      <c r="U403" s="421">
        <f t="shared" si="159"/>
        <v>70000</v>
      </c>
      <c r="V403" s="383">
        <f t="shared" si="153"/>
        <v>157000</v>
      </c>
      <c r="W403" s="383">
        <f t="shared" si="155"/>
        <v>157000</v>
      </c>
      <c r="X403" s="383">
        <f t="shared" si="156"/>
        <v>157000</v>
      </c>
    </row>
    <row r="404" spans="2:24" s="363" customFormat="1" ht="12.75">
      <c r="B404" s="357"/>
      <c r="C404" s="364"/>
      <c r="D404" s="359"/>
      <c r="E404" s="364"/>
      <c r="F404" s="375">
        <v>283</v>
      </c>
      <c r="G404" s="452">
        <v>425</v>
      </c>
      <c r="H404" s="1165" t="s">
        <v>91</v>
      </c>
      <c r="I404" s="1166"/>
      <c r="J404" s="1167"/>
      <c r="K404" s="788">
        <v>95000</v>
      </c>
      <c r="L404" s="788">
        <v>67687</v>
      </c>
      <c r="M404" s="788">
        <v>125000</v>
      </c>
      <c r="N404" s="788">
        <v>160000</v>
      </c>
      <c r="O404" s="418">
        <v>5000</v>
      </c>
      <c r="P404" s="418">
        <v>0</v>
      </c>
      <c r="Q404" s="418">
        <v>80000</v>
      </c>
      <c r="R404" s="415">
        <v>0</v>
      </c>
      <c r="S404" s="418">
        <v>0</v>
      </c>
      <c r="T404" s="421">
        <v>0</v>
      </c>
      <c r="U404" s="421">
        <f t="shared" si="159"/>
        <v>85000</v>
      </c>
      <c r="V404" s="383">
        <f t="shared" si="153"/>
        <v>245000</v>
      </c>
      <c r="W404" s="383">
        <f t="shared" si="155"/>
        <v>245000</v>
      </c>
      <c r="X404" s="383">
        <f t="shared" si="156"/>
        <v>245000</v>
      </c>
    </row>
    <row r="405" spans="2:24" s="363" customFormat="1" ht="12.75">
      <c r="B405" s="357"/>
      <c r="C405" s="364"/>
      <c r="D405" s="359"/>
      <c r="E405" s="364"/>
      <c r="F405" s="375">
        <v>284</v>
      </c>
      <c r="G405" s="452">
        <v>426</v>
      </c>
      <c r="H405" s="1165" t="s">
        <v>38</v>
      </c>
      <c r="I405" s="1166"/>
      <c r="J405" s="1167"/>
      <c r="K405" s="788">
        <v>375000</v>
      </c>
      <c r="L405" s="788">
        <v>187378.02000000002</v>
      </c>
      <c r="M405" s="788">
        <v>320000</v>
      </c>
      <c r="N405" s="788">
        <v>385000</v>
      </c>
      <c r="O405" s="418">
        <v>40000</v>
      </c>
      <c r="P405" s="418">
        <v>0</v>
      </c>
      <c r="Q405" s="418">
        <v>0</v>
      </c>
      <c r="R405" s="415">
        <v>0</v>
      </c>
      <c r="S405" s="418">
        <v>0</v>
      </c>
      <c r="T405" s="421">
        <v>0</v>
      </c>
      <c r="U405" s="421">
        <f t="shared" si="159"/>
        <v>40000</v>
      </c>
      <c r="V405" s="383">
        <f t="shared" si="153"/>
        <v>425000</v>
      </c>
      <c r="W405" s="383">
        <f t="shared" si="155"/>
        <v>425000</v>
      </c>
      <c r="X405" s="383">
        <f t="shared" si="156"/>
        <v>425000</v>
      </c>
    </row>
    <row r="406" spans="2:24" s="363" customFormat="1" ht="12.75">
      <c r="B406" s="357"/>
      <c r="C406" s="364"/>
      <c r="D406" s="359"/>
      <c r="E406" s="364"/>
      <c r="F406" s="375">
        <v>285</v>
      </c>
      <c r="G406" s="452">
        <v>465</v>
      </c>
      <c r="H406" s="1182" t="s">
        <v>216</v>
      </c>
      <c r="I406" s="1183"/>
      <c r="J406" s="1184"/>
      <c r="K406" s="788">
        <v>622613</v>
      </c>
      <c r="L406" s="788">
        <v>422836.43</v>
      </c>
      <c r="M406" s="788">
        <v>622613</v>
      </c>
      <c r="N406" s="788">
        <v>622613</v>
      </c>
      <c r="O406" s="418">
        <v>0</v>
      </c>
      <c r="P406" s="418">
        <v>0</v>
      </c>
      <c r="Q406" s="418">
        <v>0</v>
      </c>
      <c r="R406" s="415">
        <v>0</v>
      </c>
      <c r="S406" s="418">
        <v>0</v>
      </c>
      <c r="T406" s="421">
        <v>0</v>
      </c>
      <c r="U406" s="421">
        <f t="shared" si="159"/>
        <v>0</v>
      </c>
      <c r="V406" s="383">
        <f t="shared" si="153"/>
        <v>622613</v>
      </c>
      <c r="W406" s="383">
        <f t="shared" si="155"/>
        <v>622613</v>
      </c>
      <c r="X406" s="383">
        <f t="shared" si="156"/>
        <v>622613</v>
      </c>
    </row>
    <row r="407" spans="2:24" s="363" customFormat="1" ht="12.75">
      <c r="B407" s="357"/>
      <c r="C407" s="364"/>
      <c r="D407" s="359"/>
      <c r="E407" s="364"/>
      <c r="F407" s="375">
        <v>286</v>
      </c>
      <c r="G407" s="452">
        <v>482</v>
      </c>
      <c r="H407" s="1165" t="s">
        <v>82</v>
      </c>
      <c r="I407" s="1166"/>
      <c r="J407" s="1167"/>
      <c r="K407" s="788">
        <v>35000</v>
      </c>
      <c r="L407" s="788">
        <v>0</v>
      </c>
      <c r="M407" s="788">
        <v>35000</v>
      </c>
      <c r="N407" s="788">
        <v>35000</v>
      </c>
      <c r="O407" s="418">
        <v>1000</v>
      </c>
      <c r="P407" s="418">
        <v>0</v>
      </c>
      <c r="Q407" s="418">
        <v>0</v>
      </c>
      <c r="R407" s="415">
        <v>0</v>
      </c>
      <c r="S407" s="418">
        <v>0</v>
      </c>
      <c r="T407" s="421">
        <v>0</v>
      </c>
      <c r="U407" s="421">
        <f t="shared" si="159"/>
        <v>1000</v>
      </c>
      <c r="V407" s="383">
        <f t="shared" si="153"/>
        <v>36000</v>
      </c>
      <c r="W407" s="383">
        <f t="shared" si="155"/>
        <v>36000</v>
      </c>
      <c r="X407" s="383">
        <f t="shared" si="156"/>
        <v>36000</v>
      </c>
    </row>
    <row r="408" spans="2:24" s="363" customFormat="1" ht="12.75">
      <c r="B408" s="357"/>
      <c r="C408" s="364"/>
      <c r="D408" s="359"/>
      <c r="E408" s="364"/>
      <c r="F408" s="375">
        <v>287</v>
      </c>
      <c r="G408" s="452">
        <v>512</v>
      </c>
      <c r="H408" s="1165" t="s">
        <v>83</v>
      </c>
      <c r="I408" s="1166"/>
      <c r="J408" s="1167"/>
      <c r="K408" s="788">
        <v>150000</v>
      </c>
      <c r="L408" s="788">
        <v>86911.2</v>
      </c>
      <c r="M408" s="788">
        <v>150000</v>
      </c>
      <c r="N408" s="788">
        <v>1350000</v>
      </c>
      <c r="O408" s="418">
        <v>9000</v>
      </c>
      <c r="P408" s="418">
        <v>370000</v>
      </c>
      <c r="Q408" s="418">
        <v>50000</v>
      </c>
      <c r="R408" s="415">
        <v>30000</v>
      </c>
      <c r="S408" s="418">
        <v>0</v>
      </c>
      <c r="T408" s="421">
        <v>0</v>
      </c>
      <c r="U408" s="424">
        <f t="shared" si="159"/>
        <v>459000</v>
      </c>
      <c r="V408" s="383">
        <f t="shared" si="153"/>
        <v>1809000</v>
      </c>
      <c r="W408" s="383">
        <f t="shared" si="155"/>
        <v>1809000</v>
      </c>
      <c r="X408" s="383">
        <f t="shared" si="156"/>
        <v>1809000</v>
      </c>
    </row>
    <row r="409" spans="2:24" s="363" customFormat="1" ht="12.75">
      <c r="B409" s="357"/>
      <c r="C409" s="364"/>
      <c r="D409" s="359"/>
      <c r="E409" s="364"/>
      <c r="F409" s="375">
        <v>288</v>
      </c>
      <c r="G409" s="452">
        <v>515</v>
      </c>
      <c r="H409" s="1165" t="s">
        <v>212</v>
      </c>
      <c r="I409" s="1166"/>
      <c r="J409" s="1167"/>
      <c r="K409" s="788">
        <v>75000</v>
      </c>
      <c r="L409" s="788">
        <v>49980.04</v>
      </c>
      <c r="M409" s="788">
        <v>75000</v>
      </c>
      <c r="N409" s="788">
        <v>100000</v>
      </c>
      <c r="O409" s="418">
        <v>20000</v>
      </c>
      <c r="P409" s="418">
        <v>0</v>
      </c>
      <c r="Q409" s="418">
        <v>50000</v>
      </c>
      <c r="R409" s="415">
        <v>30000</v>
      </c>
      <c r="S409" s="418">
        <v>0</v>
      </c>
      <c r="T409" s="421">
        <v>0</v>
      </c>
      <c r="U409" s="424">
        <f t="shared" si="159"/>
        <v>100000</v>
      </c>
      <c r="V409" s="383">
        <f t="shared" si="153"/>
        <v>200000</v>
      </c>
      <c r="W409" s="383">
        <f t="shared" si="155"/>
        <v>200000</v>
      </c>
      <c r="X409" s="383">
        <f t="shared" si="156"/>
        <v>200000</v>
      </c>
    </row>
    <row r="410" spans="2:28" s="363" customFormat="1" ht="15" customHeight="1">
      <c r="B410" s="287"/>
      <c r="C410" s="288"/>
      <c r="D410" s="436"/>
      <c r="E410" s="353" t="s">
        <v>316</v>
      </c>
      <c r="F410" s="436"/>
      <c r="G410" s="437"/>
      <c r="H410" s="1269" t="s">
        <v>1360</v>
      </c>
      <c r="I410" s="1270"/>
      <c r="J410" s="1271"/>
      <c r="K410" s="1018">
        <f>SUM(K412:K414)</f>
        <v>1577000</v>
      </c>
      <c r="L410" s="1018">
        <f>SUM(L412:L414)</f>
        <v>1019778.57</v>
      </c>
      <c r="M410" s="1018">
        <f>SUM(M412:M414)</f>
        <v>1602000</v>
      </c>
      <c r="N410" s="1018">
        <f>SUM(N412:N414)</f>
        <v>1896000</v>
      </c>
      <c r="O410" s="293">
        <f aca="true" t="shared" si="160" ref="O410:T410">SUM(O412:O414)</f>
        <v>42000</v>
      </c>
      <c r="P410" s="293">
        <f t="shared" si="160"/>
        <v>380000</v>
      </c>
      <c r="Q410" s="293">
        <f t="shared" si="160"/>
        <v>0</v>
      </c>
      <c r="R410" s="293">
        <f t="shared" si="160"/>
        <v>52000</v>
      </c>
      <c r="S410" s="293">
        <f t="shared" si="160"/>
        <v>0</v>
      </c>
      <c r="T410" s="341">
        <f t="shared" si="160"/>
        <v>0</v>
      </c>
      <c r="U410" s="341">
        <f t="shared" si="159"/>
        <v>474000</v>
      </c>
      <c r="V410" s="903">
        <f t="shared" si="153"/>
        <v>2370000</v>
      </c>
      <c r="W410" s="903">
        <f t="shared" si="155"/>
        <v>2370000</v>
      </c>
      <c r="X410" s="903">
        <f t="shared" si="156"/>
        <v>2370000</v>
      </c>
      <c r="AB410" s="860"/>
    </row>
    <row r="411" spans="2:29" s="363" customFormat="1" ht="12.75">
      <c r="B411" s="357"/>
      <c r="C411" s="364"/>
      <c r="D411" s="182" t="s">
        <v>558</v>
      </c>
      <c r="E411" s="182"/>
      <c r="F411" s="359"/>
      <c r="G411" s="360"/>
      <c r="H411" s="1162" t="s">
        <v>173</v>
      </c>
      <c r="I411" s="1163"/>
      <c r="J411" s="1164"/>
      <c r="K411" s="183">
        <f>SUM(K412:K414)</f>
        <v>1577000</v>
      </c>
      <c r="L411" s="183">
        <f>SUM(L412:L414)</f>
        <v>1019778.57</v>
      </c>
      <c r="M411" s="183">
        <f>SUM(M412:M414)</f>
        <v>1602000</v>
      </c>
      <c r="N411" s="183">
        <f>SUM(N412:N414)</f>
        <v>1896000</v>
      </c>
      <c r="O411" s="66">
        <f aca="true" t="shared" si="161" ref="O411:T411">SUM(O412:O414)</f>
        <v>42000</v>
      </c>
      <c r="P411" s="66">
        <f t="shared" si="161"/>
        <v>380000</v>
      </c>
      <c r="Q411" s="66">
        <f t="shared" si="161"/>
        <v>0</v>
      </c>
      <c r="R411" s="66">
        <f t="shared" si="161"/>
        <v>52000</v>
      </c>
      <c r="S411" s="66">
        <f t="shared" si="161"/>
        <v>0</v>
      </c>
      <c r="T411" s="345">
        <f t="shared" si="161"/>
        <v>0</v>
      </c>
      <c r="U411" s="345">
        <f t="shared" si="159"/>
        <v>474000</v>
      </c>
      <c r="V411" s="382">
        <f t="shared" si="153"/>
        <v>2370000</v>
      </c>
      <c r="W411" s="382">
        <f t="shared" si="155"/>
        <v>2370000</v>
      </c>
      <c r="X411" s="382">
        <f t="shared" si="156"/>
        <v>2370000</v>
      </c>
      <c r="AA411" s="464"/>
      <c r="AB411" s="855"/>
      <c r="AC411" s="464"/>
    </row>
    <row r="412" spans="2:28" s="363" customFormat="1" ht="12.75">
      <c r="B412" s="357"/>
      <c r="C412" s="364"/>
      <c r="D412" s="359"/>
      <c r="E412" s="364"/>
      <c r="F412" s="375">
        <v>289</v>
      </c>
      <c r="G412" s="452">
        <v>423</v>
      </c>
      <c r="H412" s="1165" t="s">
        <v>35</v>
      </c>
      <c r="I412" s="1166"/>
      <c r="J412" s="1167"/>
      <c r="K412" s="788">
        <v>866000</v>
      </c>
      <c r="L412" s="788">
        <v>411379.45</v>
      </c>
      <c r="M412" s="788">
        <v>816000</v>
      </c>
      <c r="N412" s="788">
        <v>1035000</v>
      </c>
      <c r="O412" s="418">
        <v>20000</v>
      </c>
      <c r="P412" s="418">
        <v>280000</v>
      </c>
      <c r="Q412" s="418">
        <v>0</v>
      </c>
      <c r="R412" s="415">
        <v>30000</v>
      </c>
      <c r="S412" s="418">
        <v>0</v>
      </c>
      <c r="T412" s="421">
        <v>0</v>
      </c>
      <c r="U412" s="424">
        <f t="shared" si="159"/>
        <v>330000</v>
      </c>
      <c r="V412" s="634">
        <f t="shared" si="153"/>
        <v>1365000</v>
      </c>
      <c r="W412" s="634">
        <f t="shared" si="155"/>
        <v>1365000</v>
      </c>
      <c r="X412" s="634">
        <f t="shared" si="156"/>
        <v>1365000</v>
      </c>
      <c r="AA412" s="464"/>
      <c r="AB412" s="855"/>
    </row>
    <row r="413" spans="2:29" s="363" customFormat="1" ht="12.75">
      <c r="B413" s="357"/>
      <c r="C413" s="364"/>
      <c r="D413" s="359"/>
      <c r="E413" s="364"/>
      <c r="F413" s="375">
        <v>290</v>
      </c>
      <c r="G413" s="452">
        <v>424</v>
      </c>
      <c r="H413" s="355" t="s">
        <v>36</v>
      </c>
      <c r="I413" s="450"/>
      <c r="J413" s="451"/>
      <c r="K413" s="788">
        <v>480000</v>
      </c>
      <c r="L413" s="788">
        <v>476106.5</v>
      </c>
      <c r="M413" s="788">
        <v>555000</v>
      </c>
      <c r="N413" s="788">
        <v>630000</v>
      </c>
      <c r="O413" s="418">
        <v>10000</v>
      </c>
      <c r="P413" s="418">
        <v>100000</v>
      </c>
      <c r="Q413" s="418">
        <v>0</v>
      </c>
      <c r="R413" s="418">
        <v>0</v>
      </c>
      <c r="S413" s="418">
        <v>0</v>
      </c>
      <c r="T413" s="421">
        <v>0</v>
      </c>
      <c r="U413" s="424">
        <f t="shared" si="159"/>
        <v>110000</v>
      </c>
      <c r="V413" s="634">
        <f t="shared" si="153"/>
        <v>740000</v>
      </c>
      <c r="W413" s="634">
        <f t="shared" si="155"/>
        <v>740000</v>
      </c>
      <c r="X413" s="634">
        <f t="shared" si="156"/>
        <v>740000</v>
      </c>
      <c r="AA413" s="464"/>
      <c r="AB413" s="854"/>
      <c r="AC413" s="464"/>
    </row>
    <row r="414" spans="2:29" s="363" customFormat="1" ht="15.75">
      <c r="B414" s="357"/>
      <c r="C414" s="364"/>
      <c r="D414" s="359"/>
      <c r="E414" s="364"/>
      <c r="F414" s="375">
        <v>291</v>
      </c>
      <c r="G414" s="452">
        <v>426</v>
      </c>
      <c r="H414" s="355" t="s">
        <v>38</v>
      </c>
      <c r="I414" s="450"/>
      <c r="J414" s="451"/>
      <c r="K414" s="788">
        <v>231000</v>
      </c>
      <c r="L414" s="788">
        <v>132292.62</v>
      </c>
      <c r="M414" s="788">
        <v>231000</v>
      </c>
      <c r="N414" s="788">
        <v>231000</v>
      </c>
      <c r="O414" s="418">
        <v>12000</v>
      </c>
      <c r="P414" s="418">
        <v>0</v>
      </c>
      <c r="Q414" s="418">
        <v>0</v>
      </c>
      <c r="R414" s="418">
        <v>22000</v>
      </c>
      <c r="S414" s="418">
        <v>0</v>
      </c>
      <c r="T414" s="421">
        <v>0</v>
      </c>
      <c r="U414" s="424">
        <f t="shared" si="159"/>
        <v>34000</v>
      </c>
      <c r="V414" s="634">
        <f t="shared" si="153"/>
        <v>265000</v>
      </c>
      <c r="W414" s="634">
        <f t="shared" si="155"/>
        <v>265000</v>
      </c>
      <c r="X414" s="634">
        <f t="shared" si="156"/>
        <v>265000</v>
      </c>
      <c r="AA414" s="464"/>
      <c r="AB414" s="856"/>
      <c r="AC414" s="464"/>
    </row>
    <row r="415" spans="2:28" s="363" customFormat="1" ht="27.75" customHeight="1">
      <c r="B415" s="287"/>
      <c r="C415" s="288"/>
      <c r="D415" s="436"/>
      <c r="E415" s="353" t="s">
        <v>1285</v>
      </c>
      <c r="F415" s="436"/>
      <c r="G415" s="437"/>
      <c r="H415" s="1168" t="s">
        <v>1286</v>
      </c>
      <c r="I415" s="1169"/>
      <c r="J415" s="1170"/>
      <c r="K415" s="996">
        <f>SUM(K417:K418)</f>
        <v>0</v>
      </c>
      <c r="L415" s="996">
        <f>SUM(L417:L418)</f>
        <v>0</v>
      </c>
      <c r="M415" s="996">
        <f>SUM(M417:M418)</f>
        <v>0</v>
      </c>
      <c r="N415" s="996">
        <f>SUM(N417:N418)</f>
        <v>0</v>
      </c>
      <c r="O415" s="293">
        <f>O417+O418</f>
        <v>25000</v>
      </c>
      <c r="P415" s="293">
        <f>SUM(P417:P418)</f>
        <v>0</v>
      </c>
      <c r="Q415" s="293">
        <f>SUM(Q417:Q418)</f>
        <v>0</v>
      </c>
      <c r="R415" s="293">
        <f>SUM(R417:R418)</f>
        <v>0</v>
      </c>
      <c r="S415" s="293">
        <f>SUM(S417:S418)</f>
        <v>0</v>
      </c>
      <c r="T415" s="341">
        <f>SUM(T417:T418)</f>
        <v>0</v>
      </c>
      <c r="U415" s="341">
        <f t="shared" si="159"/>
        <v>25000</v>
      </c>
      <c r="V415" s="682">
        <f t="shared" si="153"/>
        <v>25000</v>
      </c>
      <c r="W415" s="682">
        <f t="shared" si="155"/>
        <v>25000</v>
      </c>
      <c r="X415" s="682">
        <f t="shared" si="156"/>
        <v>25000</v>
      </c>
      <c r="AA415" s="464"/>
      <c r="AB415" s="854"/>
    </row>
    <row r="416" spans="2:28" s="363" customFormat="1" ht="12.75">
      <c r="B416" s="357"/>
      <c r="C416" s="364"/>
      <c r="D416" s="182" t="s">
        <v>558</v>
      </c>
      <c r="E416" s="182"/>
      <c r="F416" s="359"/>
      <c r="G416" s="360"/>
      <c r="H416" s="1162" t="s">
        <v>173</v>
      </c>
      <c r="I416" s="1163"/>
      <c r="J416" s="1164"/>
      <c r="K416" s="183">
        <f>SUM(K417:K418)</f>
        <v>0</v>
      </c>
      <c r="L416" s="183">
        <f>SUM(L417:L418)</f>
        <v>0</v>
      </c>
      <c r="M416" s="183">
        <f>SUM(M417:M418)</f>
        <v>0</v>
      </c>
      <c r="N416" s="183">
        <f>SUM(N417:N418)</f>
        <v>0</v>
      </c>
      <c r="O416" s="66">
        <f aca="true" t="shared" si="162" ref="O416:T416">SUM(O417:O418)</f>
        <v>25000</v>
      </c>
      <c r="P416" s="66">
        <f t="shared" si="162"/>
        <v>0</v>
      </c>
      <c r="Q416" s="66">
        <f t="shared" si="162"/>
        <v>0</v>
      </c>
      <c r="R416" s="596">
        <f t="shared" si="162"/>
        <v>0</v>
      </c>
      <c r="S416" s="596">
        <f t="shared" si="162"/>
        <v>0</v>
      </c>
      <c r="T416" s="345">
        <f t="shared" si="162"/>
        <v>0</v>
      </c>
      <c r="U416" s="345">
        <f t="shared" si="159"/>
        <v>25000</v>
      </c>
      <c r="V416" s="382">
        <f t="shared" si="153"/>
        <v>25000</v>
      </c>
      <c r="W416" s="382">
        <f t="shared" si="155"/>
        <v>25000</v>
      </c>
      <c r="X416" s="382">
        <f t="shared" si="156"/>
        <v>25000</v>
      </c>
      <c r="AA416" s="464"/>
      <c r="AB416" s="854"/>
    </row>
    <row r="417" spans="2:28" s="363" customFormat="1" ht="12.75">
      <c r="B417" s="368"/>
      <c r="C417" s="369"/>
      <c r="D417" s="370"/>
      <c r="E417" s="369"/>
      <c r="F417" s="370">
        <v>292</v>
      </c>
      <c r="G417" s="371">
        <v>423</v>
      </c>
      <c r="H417" s="1165" t="s">
        <v>35</v>
      </c>
      <c r="I417" s="1166"/>
      <c r="J417" s="1167"/>
      <c r="K417" s="379">
        <v>0</v>
      </c>
      <c r="L417" s="379">
        <v>0</v>
      </c>
      <c r="M417" s="379">
        <v>0</v>
      </c>
      <c r="N417" s="379">
        <v>0</v>
      </c>
      <c r="O417" s="418">
        <v>20000</v>
      </c>
      <c r="P417" s="372">
        <v>0</v>
      </c>
      <c r="Q417" s="372">
        <v>0</v>
      </c>
      <c r="R417" s="383">
        <v>0</v>
      </c>
      <c r="S417" s="383">
        <v>0</v>
      </c>
      <c r="T417" s="373">
        <v>0</v>
      </c>
      <c r="U417" s="373">
        <f t="shared" si="159"/>
        <v>20000</v>
      </c>
      <c r="V417" s="383">
        <f t="shared" si="153"/>
        <v>20000</v>
      </c>
      <c r="W417" s="383">
        <f t="shared" si="155"/>
        <v>20000</v>
      </c>
      <c r="X417" s="383">
        <f t="shared" si="156"/>
        <v>20000</v>
      </c>
      <c r="AA417" s="464"/>
      <c r="AB417" s="854"/>
    </row>
    <row r="418" spans="2:28" s="363" customFormat="1" ht="12" customHeight="1">
      <c r="B418" s="357"/>
      <c r="C418" s="364"/>
      <c r="D418" s="359"/>
      <c r="E418" s="364"/>
      <c r="F418" s="375">
        <v>293</v>
      </c>
      <c r="G418" s="452">
        <v>426</v>
      </c>
      <c r="H418" s="1165" t="s">
        <v>38</v>
      </c>
      <c r="I418" s="1166"/>
      <c r="J418" s="1167"/>
      <c r="K418" s="379">
        <v>0</v>
      </c>
      <c r="L418" s="379">
        <v>0</v>
      </c>
      <c r="M418" s="379">
        <v>0</v>
      </c>
      <c r="N418" s="379">
        <v>0</v>
      </c>
      <c r="O418" s="418">
        <v>5000</v>
      </c>
      <c r="P418" s="418">
        <v>0</v>
      </c>
      <c r="Q418" s="418">
        <v>0</v>
      </c>
      <c r="R418" s="811">
        <v>0</v>
      </c>
      <c r="S418" s="418">
        <v>0</v>
      </c>
      <c r="T418" s="421">
        <v>0</v>
      </c>
      <c r="U418" s="424">
        <f t="shared" si="159"/>
        <v>5000</v>
      </c>
      <c r="V418" s="634">
        <f t="shared" si="153"/>
        <v>5000</v>
      </c>
      <c r="W418" s="634">
        <f t="shared" si="155"/>
        <v>5000</v>
      </c>
      <c r="X418" s="634">
        <f t="shared" si="156"/>
        <v>5000</v>
      </c>
      <c r="AA418" s="464"/>
      <c r="AB418" s="858"/>
    </row>
    <row r="419" spans="2:28" s="363" customFormat="1" ht="12.75">
      <c r="B419" s="51"/>
      <c r="C419" s="52" t="s">
        <v>1321</v>
      </c>
      <c r="D419" s="53"/>
      <c r="E419" s="285"/>
      <c r="F419" s="543"/>
      <c r="G419" s="544"/>
      <c r="H419" s="1304" t="s">
        <v>117</v>
      </c>
      <c r="I419" s="1305"/>
      <c r="J419" s="1306"/>
      <c r="K419" s="1024">
        <f aca="true" t="shared" si="163" ref="K419:T419">K420+K429+K447+K460+K472+K485+K496</f>
        <v>14454000</v>
      </c>
      <c r="L419" s="1024">
        <f t="shared" si="163"/>
        <v>8305670.419999999</v>
      </c>
      <c r="M419" s="1024">
        <f t="shared" si="163"/>
        <v>14778000</v>
      </c>
      <c r="N419" s="1024">
        <f t="shared" si="163"/>
        <v>15378836</v>
      </c>
      <c r="O419" s="68">
        <f t="shared" si="163"/>
        <v>0</v>
      </c>
      <c r="P419" s="68">
        <f t="shared" si="163"/>
        <v>0</v>
      </c>
      <c r="Q419" s="68">
        <f t="shared" si="163"/>
        <v>0</v>
      </c>
      <c r="R419" s="68">
        <f t="shared" si="163"/>
        <v>2250000</v>
      </c>
      <c r="S419" s="68">
        <f t="shared" si="163"/>
        <v>0</v>
      </c>
      <c r="T419" s="343">
        <f t="shared" si="163"/>
        <v>0</v>
      </c>
      <c r="U419" s="343">
        <f t="shared" si="159"/>
        <v>2250000</v>
      </c>
      <c r="V419" s="908">
        <f t="shared" si="153"/>
        <v>17628836</v>
      </c>
      <c r="W419" s="908">
        <f t="shared" si="155"/>
        <v>17628836</v>
      </c>
      <c r="X419" s="908">
        <f t="shared" si="156"/>
        <v>17628836</v>
      </c>
      <c r="AA419" s="464"/>
      <c r="AB419" s="854"/>
    </row>
    <row r="420" spans="2:28" s="363" customFormat="1" ht="12.75">
      <c r="B420" s="466"/>
      <c r="C420" s="474" t="s">
        <v>1322</v>
      </c>
      <c r="D420" s="475"/>
      <c r="E420" s="476"/>
      <c r="F420" s="475"/>
      <c r="G420" s="477"/>
      <c r="H420" s="1177" t="s">
        <v>118</v>
      </c>
      <c r="I420" s="1178"/>
      <c r="J420" s="1268"/>
      <c r="K420" s="1025">
        <f aca="true" t="shared" si="164" ref="K420:T422">K421</f>
        <v>2400000</v>
      </c>
      <c r="L420" s="1025">
        <f t="shared" si="164"/>
        <v>803901.89</v>
      </c>
      <c r="M420" s="1025">
        <f t="shared" si="164"/>
        <v>2400000</v>
      </c>
      <c r="N420" s="1025">
        <f t="shared" si="164"/>
        <v>2400000</v>
      </c>
      <c r="O420" s="417">
        <f t="shared" si="164"/>
        <v>0</v>
      </c>
      <c r="P420" s="417">
        <f t="shared" si="164"/>
        <v>0</v>
      </c>
      <c r="Q420" s="417">
        <f t="shared" si="164"/>
        <v>0</v>
      </c>
      <c r="R420" s="417">
        <f t="shared" si="164"/>
        <v>350000</v>
      </c>
      <c r="S420" s="417">
        <f t="shared" si="164"/>
        <v>0</v>
      </c>
      <c r="T420" s="478">
        <f t="shared" si="164"/>
        <v>0</v>
      </c>
      <c r="U420" s="479">
        <f t="shared" si="159"/>
        <v>350000</v>
      </c>
      <c r="V420" s="909">
        <f t="shared" si="153"/>
        <v>2750000</v>
      </c>
      <c r="W420" s="909">
        <f t="shared" si="155"/>
        <v>2750000</v>
      </c>
      <c r="X420" s="909">
        <f t="shared" si="156"/>
        <v>2750000</v>
      </c>
      <c r="AA420" s="464"/>
      <c r="AB420" s="857"/>
    </row>
    <row r="421" spans="2:28" s="665" customFormat="1" ht="12.75">
      <c r="B421" s="661"/>
      <c r="C421" s="662"/>
      <c r="D421" s="637"/>
      <c r="E421" s="636" t="s">
        <v>290</v>
      </c>
      <c r="F421" s="637"/>
      <c r="G421" s="638"/>
      <c r="H421" s="1280" t="s">
        <v>1362</v>
      </c>
      <c r="I421" s="1281"/>
      <c r="J421" s="1282"/>
      <c r="K421" s="1004">
        <f t="shared" si="164"/>
        <v>2400000</v>
      </c>
      <c r="L421" s="1004">
        <f t="shared" si="164"/>
        <v>803901.89</v>
      </c>
      <c r="M421" s="1004">
        <f t="shared" si="164"/>
        <v>2400000</v>
      </c>
      <c r="N421" s="1004">
        <f t="shared" si="164"/>
        <v>2400000</v>
      </c>
      <c r="O421" s="663">
        <f t="shared" si="164"/>
        <v>0</v>
      </c>
      <c r="P421" s="663">
        <f t="shared" si="164"/>
        <v>0</v>
      </c>
      <c r="Q421" s="663">
        <f t="shared" si="164"/>
        <v>0</v>
      </c>
      <c r="R421" s="663">
        <f t="shared" si="164"/>
        <v>350000</v>
      </c>
      <c r="S421" s="663">
        <f t="shared" si="164"/>
        <v>0</v>
      </c>
      <c r="T421" s="664">
        <f t="shared" si="164"/>
        <v>0</v>
      </c>
      <c r="U421" s="664">
        <f t="shared" si="159"/>
        <v>350000</v>
      </c>
      <c r="V421" s="910">
        <f t="shared" si="153"/>
        <v>2750000</v>
      </c>
      <c r="W421" s="910">
        <f t="shared" si="155"/>
        <v>2750000</v>
      </c>
      <c r="X421" s="910">
        <f t="shared" si="156"/>
        <v>2750000</v>
      </c>
      <c r="AA421" s="859"/>
      <c r="AB421" s="857"/>
    </row>
    <row r="422" spans="2:28" s="363" customFormat="1" ht="12.75">
      <c r="B422" s="287"/>
      <c r="C422" s="288"/>
      <c r="D422" s="436"/>
      <c r="E422" s="353" t="s">
        <v>308</v>
      </c>
      <c r="F422" s="436"/>
      <c r="G422" s="437"/>
      <c r="H422" s="1171" t="s">
        <v>1361</v>
      </c>
      <c r="I422" s="1172"/>
      <c r="J422" s="1173"/>
      <c r="K422" s="1009">
        <f t="shared" si="164"/>
        <v>2400000</v>
      </c>
      <c r="L422" s="1009">
        <f t="shared" si="164"/>
        <v>803901.89</v>
      </c>
      <c r="M422" s="1009">
        <f t="shared" si="164"/>
        <v>2400000</v>
      </c>
      <c r="N422" s="1009">
        <f t="shared" si="164"/>
        <v>2400000</v>
      </c>
      <c r="O422" s="293">
        <f aca="true" t="shared" si="165" ref="O422:T422">O423</f>
        <v>0</v>
      </c>
      <c r="P422" s="293">
        <f t="shared" si="165"/>
        <v>0</v>
      </c>
      <c r="Q422" s="293">
        <f t="shared" si="165"/>
        <v>0</v>
      </c>
      <c r="R422" s="293">
        <f t="shared" si="165"/>
        <v>350000</v>
      </c>
      <c r="S422" s="293">
        <f t="shared" si="165"/>
        <v>0</v>
      </c>
      <c r="T422" s="341">
        <f t="shared" si="165"/>
        <v>0</v>
      </c>
      <c r="U422" s="341">
        <f t="shared" si="159"/>
        <v>350000</v>
      </c>
      <c r="V422" s="682">
        <f t="shared" si="153"/>
        <v>2750000</v>
      </c>
      <c r="W422" s="682">
        <f t="shared" si="155"/>
        <v>2750000</v>
      </c>
      <c r="X422" s="682">
        <f t="shared" si="156"/>
        <v>2750000</v>
      </c>
      <c r="AA422" s="464"/>
      <c r="AB422" s="857"/>
    </row>
    <row r="423" spans="2:28" s="363" customFormat="1" ht="12.75">
      <c r="B423" s="438"/>
      <c r="C423" s="439"/>
      <c r="D423" s="182" t="s">
        <v>284</v>
      </c>
      <c r="E423" s="58"/>
      <c r="F423" s="440"/>
      <c r="G423" s="441"/>
      <c r="H423" s="1162" t="s">
        <v>119</v>
      </c>
      <c r="I423" s="1163"/>
      <c r="J423" s="453"/>
      <c r="K423" s="994">
        <f>SUM(K424:K428)</f>
        <v>2400000</v>
      </c>
      <c r="L423" s="994">
        <f>SUM(L424:L428)</f>
        <v>803901.89</v>
      </c>
      <c r="M423" s="994">
        <f>SUM(M424:M428)</f>
        <v>2400000</v>
      </c>
      <c r="N423" s="994">
        <f>SUM(N424:N428)</f>
        <v>2400000</v>
      </c>
      <c r="O423" s="558">
        <f aca="true" t="shared" si="166" ref="O423:T423">SUM(O424:O428)</f>
        <v>0</v>
      </c>
      <c r="P423" s="558">
        <f t="shared" si="166"/>
        <v>0</v>
      </c>
      <c r="Q423" s="558">
        <f t="shared" si="166"/>
        <v>0</v>
      </c>
      <c r="R423" s="810">
        <f t="shared" si="166"/>
        <v>350000</v>
      </c>
      <c r="S423" s="558">
        <f t="shared" si="166"/>
        <v>0</v>
      </c>
      <c r="T423" s="558">
        <f t="shared" si="166"/>
        <v>0</v>
      </c>
      <c r="U423" s="344">
        <f t="shared" si="159"/>
        <v>350000</v>
      </c>
      <c r="V423" s="896">
        <f t="shared" si="153"/>
        <v>2750000</v>
      </c>
      <c r="W423" s="896">
        <f t="shared" si="155"/>
        <v>2750000</v>
      </c>
      <c r="X423" s="896">
        <f t="shared" si="156"/>
        <v>2750000</v>
      </c>
      <c r="AA423" s="464"/>
      <c r="AB423" s="857"/>
    </row>
    <row r="424" spans="2:28" s="363" customFormat="1" ht="12.75">
      <c r="B424" s="357"/>
      <c r="C424" s="364"/>
      <c r="D424" s="359"/>
      <c r="E424" s="364"/>
      <c r="F424" s="375">
        <v>294</v>
      </c>
      <c r="G424" s="452">
        <v>421</v>
      </c>
      <c r="H424" s="1179" t="s">
        <v>33</v>
      </c>
      <c r="I424" s="1180"/>
      <c r="J424" s="1181"/>
      <c r="K424" s="979">
        <v>189000</v>
      </c>
      <c r="L424" s="979">
        <v>88111.79</v>
      </c>
      <c r="M424" s="979">
        <v>189000</v>
      </c>
      <c r="N424" s="979">
        <v>189000</v>
      </c>
      <c r="O424" s="418">
        <v>0</v>
      </c>
      <c r="P424" s="418">
        <v>0</v>
      </c>
      <c r="Q424" s="421">
        <v>0</v>
      </c>
      <c r="R424" s="465">
        <v>0</v>
      </c>
      <c r="S424" s="416">
        <v>0</v>
      </c>
      <c r="T424" s="421">
        <v>0</v>
      </c>
      <c r="U424" s="424">
        <f t="shared" si="159"/>
        <v>0</v>
      </c>
      <c r="V424" s="634">
        <f t="shared" si="153"/>
        <v>189000</v>
      </c>
      <c r="W424" s="634">
        <f t="shared" si="155"/>
        <v>189000</v>
      </c>
      <c r="X424" s="465">
        <f t="shared" si="156"/>
        <v>189000</v>
      </c>
      <c r="AB424" s="861"/>
    </row>
    <row r="425" spans="2:24" ht="12.75" customHeight="1">
      <c r="B425" s="357"/>
      <c r="C425" s="364"/>
      <c r="D425" s="359"/>
      <c r="E425" s="364"/>
      <c r="F425" s="375">
        <v>295</v>
      </c>
      <c r="G425" s="452">
        <v>423</v>
      </c>
      <c r="H425" s="1179" t="s">
        <v>35</v>
      </c>
      <c r="I425" s="1180"/>
      <c r="J425" s="1181"/>
      <c r="K425" s="979">
        <v>915000</v>
      </c>
      <c r="L425" s="979">
        <v>617728.44</v>
      </c>
      <c r="M425" s="979">
        <v>915000</v>
      </c>
      <c r="N425" s="979">
        <v>915000</v>
      </c>
      <c r="O425" s="418">
        <v>0</v>
      </c>
      <c r="P425" s="418">
        <v>0</v>
      </c>
      <c r="Q425" s="421">
        <v>0</v>
      </c>
      <c r="R425" s="465">
        <v>200000</v>
      </c>
      <c r="S425" s="416">
        <v>0</v>
      </c>
      <c r="T425" s="421">
        <v>0</v>
      </c>
      <c r="U425" s="424">
        <f t="shared" si="159"/>
        <v>200000</v>
      </c>
      <c r="V425" s="634">
        <f t="shared" si="153"/>
        <v>1115000</v>
      </c>
      <c r="W425" s="634">
        <f t="shared" si="155"/>
        <v>1115000</v>
      </c>
      <c r="X425" s="465">
        <f t="shared" si="156"/>
        <v>1115000</v>
      </c>
    </row>
    <row r="426" spans="2:24" s="363" customFormat="1" ht="12.75">
      <c r="B426" s="357"/>
      <c r="C426" s="364"/>
      <c r="D426" s="359"/>
      <c r="E426" s="364"/>
      <c r="F426" s="375">
        <v>296</v>
      </c>
      <c r="G426" s="452">
        <v>425</v>
      </c>
      <c r="H426" s="1227" t="s">
        <v>91</v>
      </c>
      <c r="I426" s="1228"/>
      <c r="J426" s="1229"/>
      <c r="K426" s="979">
        <v>1020000</v>
      </c>
      <c r="L426" s="979">
        <v>58212.11</v>
      </c>
      <c r="M426" s="979">
        <v>1020000</v>
      </c>
      <c r="N426" s="979">
        <v>1020000</v>
      </c>
      <c r="O426" s="418">
        <v>0</v>
      </c>
      <c r="P426" s="418">
        <v>0</v>
      </c>
      <c r="Q426" s="421">
        <v>0</v>
      </c>
      <c r="R426" s="465">
        <v>0</v>
      </c>
      <c r="S426" s="416">
        <v>0</v>
      </c>
      <c r="T426" s="421">
        <v>0</v>
      </c>
      <c r="U426" s="424">
        <f t="shared" si="159"/>
        <v>0</v>
      </c>
      <c r="V426" s="634">
        <f t="shared" si="153"/>
        <v>1020000</v>
      </c>
      <c r="W426" s="634">
        <f t="shared" si="155"/>
        <v>1020000</v>
      </c>
      <c r="X426" s="465">
        <f t="shared" si="156"/>
        <v>1020000</v>
      </c>
    </row>
    <row r="427" spans="2:24" s="363" customFormat="1" ht="12.75">
      <c r="B427" s="357"/>
      <c r="C427" s="364"/>
      <c r="D427" s="359"/>
      <c r="E427" s="364"/>
      <c r="F427" s="375">
        <v>297</v>
      </c>
      <c r="G427" s="452">
        <v>426</v>
      </c>
      <c r="H427" s="1179" t="s">
        <v>38</v>
      </c>
      <c r="I427" s="1180"/>
      <c r="J427" s="1181"/>
      <c r="K427" s="979">
        <v>243000</v>
      </c>
      <c r="L427" s="979">
        <v>39745.55</v>
      </c>
      <c r="M427" s="979">
        <v>243000</v>
      </c>
      <c r="N427" s="979">
        <v>243000</v>
      </c>
      <c r="O427" s="418">
        <v>0</v>
      </c>
      <c r="P427" s="418">
        <v>0</v>
      </c>
      <c r="Q427" s="459">
        <v>0</v>
      </c>
      <c r="R427" s="465">
        <v>150000</v>
      </c>
      <c r="S427" s="416">
        <v>0</v>
      </c>
      <c r="T427" s="421">
        <v>0</v>
      </c>
      <c r="U427" s="424">
        <f t="shared" si="159"/>
        <v>150000</v>
      </c>
      <c r="V427" s="634">
        <f t="shared" si="153"/>
        <v>393000</v>
      </c>
      <c r="W427" s="634">
        <f t="shared" si="155"/>
        <v>393000</v>
      </c>
      <c r="X427" s="465">
        <f t="shared" si="156"/>
        <v>393000</v>
      </c>
    </row>
    <row r="428" spans="2:24" s="363" customFormat="1" ht="12.75">
      <c r="B428" s="357"/>
      <c r="C428" s="364"/>
      <c r="D428" s="359"/>
      <c r="E428" s="364"/>
      <c r="F428" s="375">
        <v>298</v>
      </c>
      <c r="G428" s="452">
        <v>482</v>
      </c>
      <c r="H428" s="739" t="s">
        <v>82</v>
      </c>
      <c r="I428" s="486"/>
      <c r="J428" s="740"/>
      <c r="K428" s="980">
        <v>33000</v>
      </c>
      <c r="L428" s="980">
        <v>104</v>
      </c>
      <c r="M428" s="980">
        <v>33000</v>
      </c>
      <c r="N428" s="980">
        <v>33000</v>
      </c>
      <c r="O428" s="418">
        <v>0</v>
      </c>
      <c r="P428" s="421">
        <v>0</v>
      </c>
      <c r="Q428" s="465">
        <v>0</v>
      </c>
      <c r="R428" s="465">
        <v>0</v>
      </c>
      <c r="S428" s="416">
        <v>0</v>
      </c>
      <c r="T428" s="421">
        <v>0</v>
      </c>
      <c r="U428" s="424">
        <f t="shared" si="159"/>
        <v>0</v>
      </c>
      <c r="V428" s="634">
        <f t="shared" si="153"/>
        <v>33000</v>
      </c>
      <c r="W428" s="634">
        <f t="shared" si="155"/>
        <v>33000</v>
      </c>
      <c r="X428" s="465">
        <f t="shared" si="156"/>
        <v>33000</v>
      </c>
    </row>
    <row r="429" spans="2:24" s="363" customFormat="1" ht="12.75">
      <c r="B429" s="466"/>
      <c r="C429" s="474" t="s">
        <v>1323</v>
      </c>
      <c r="D429" s="475"/>
      <c r="E429" s="476"/>
      <c r="F429" s="475"/>
      <c r="G429" s="477"/>
      <c r="H429" s="1177" t="s">
        <v>120</v>
      </c>
      <c r="I429" s="1178"/>
      <c r="J429" s="1178"/>
      <c r="K429" s="1025">
        <f>K432</f>
        <v>4500000</v>
      </c>
      <c r="L429" s="1025">
        <f>L432</f>
        <v>2749474.31</v>
      </c>
      <c r="M429" s="1025">
        <f>M432</f>
        <v>4800000</v>
      </c>
      <c r="N429" s="1025">
        <f>N432</f>
        <v>5300000</v>
      </c>
      <c r="O429" s="431">
        <f aca="true" t="shared" si="167" ref="O429:T429">O432</f>
        <v>0</v>
      </c>
      <c r="P429" s="431">
        <f>P432</f>
        <v>0</v>
      </c>
      <c r="Q429" s="617">
        <f t="shared" si="167"/>
        <v>0</v>
      </c>
      <c r="R429" s="617">
        <f t="shared" si="167"/>
        <v>700000</v>
      </c>
      <c r="S429" s="431">
        <f>S432</f>
        <v>0</v>
      </c>
      <c r="T429" s="480">
        <f t="shared" si="167"/>
        <v>0</v>
      </c>
      <c r="U429" s="479">
        <f t="shared" si="159"/>
        <v>700000</v>
      </c>
      <c r="V429" s="909">
        <f t="shared" si="153"/>
        <v>6000000</v>
      </c>
      <c r="W429" s="909">
        <f t="shared" si="155"/>
        <v>6000000</v>
      </c>
      <c r="X429" s="909">
        <f t="shared" si="156"/>
        <v>6000000</v>
      </c>
    </row>
    <row r="430" spans="2:24" s="665" customFormat="1" ht="12.75">
      <c r="B430" s="661"/>
      <c r="C430" s="662"/>
      <c r="D430" s="637"/>
      <c r="E430" s="636" t="s">
        <v>290</v>
      </c>
      <c r="F430" s="637"/>
      <c r="G430" s="638"/>
      <c r="H430" s="1280" t="s">
        <v>291</v>
      </c>
      <c r="I430" s="1281"/>
      <c r="J430" s="1282"/>
      <c r="K430" s="1004">
        <f aca="true" t="shared" si="168" ref="K430:T431">K431</f>
        <v>4500000</v>
      </c>
      <c r="L430" s="1004">
        <f t="shared" si="168"/>
        <v>2749474.31</v>
      </c>
      <c r="M430" s="1004">
        <f t="shared" si="168"/>
        <v>4800000</v>
      </c>
      <c r="N430" s="1004">
        <f t="shared" si="168"/>
        <v>5300000</v>
      </c>
      <c r="O430" s="663">
        <f t="shared" si="168"/>
        <v>0</v>
      </c>
      <c r="P430" s="663">
        <f t="shared" si="168"/>
        <v>0</v>
      </c>
      <c r="Q430" s="663">
        <f t="shared" si="168"/>
        <v>0</v>
      </c>
      <c r="R430" s="663">
        <f t="shared" si="168"/>
        <v>700000</v>
      </c>
      <c r="S430" s="663">
        <f t="shared" si="168"/>
        <v>0</v>
      </c>
      <c r="T430" s="664">
        <f t="shared" si="168"/>
        <v>0</v>
      </c>
      <c r="U430" s="664">
        <f t="shared" si="159"/>
        <v>700000</v>
      </c>
      <c r="V430" s="910">
        <f t="shared" si="153"/>
        <v>6000000</v>
      </c>
      <c r="W430" s="910">
        <f t="shared" si="155"/>
        <v>6000000</v>
      </c>
      <c r="X430" s="910">
        <f t="shared" si="156"/>
        <v>6000000</v>
      </c>
    </row>
    <row r="431" spans="2:24" ht="12.75" customHeight="1">
      <c r="B431" s="287"/>
      <c r="C431" s="288"/>
      <c r="D431" s="436"/>
      <c r="E431" s="353" t="s">
        <v>308</v>
      </c>
      <c r="F431" s="436"/>
      <c r="G431" s="437"/>
      <c r="H431" s="1171" t="s">
        <v>1361</v>
      </c>
      <c r="I431" s="1172"/>
      <c r="J431" s="1173"/>
      <c r="K431" s="1009">
        <f t="shared" si="168"/>
        <v>4500000</v>
      </c>
      <c r="L431" s="1009">
        <f t="shared" si="168"/>
        <v>2749474.31</v>
      </c>
      <c r="M431" s="1009">
        <f t="shared" si="168"/>
        <v>4800000</v>
      </c>
      <c r="N431" s="1009">
        <f t="shared" si="168"/>
        <v>5300000</v>
      </c>
      <c r="O431" s="293">
        <f t="shared" si="168"/>
        <v>0</v>
      </c>
      <c r="P431" s="293">
        <f t="shared" si="168"/>
        <v>0</v>
      </c>
      <c r="Q431" s="293">
        <f t="shared" si="168"/>
        <v>0</v>
      </c>
      <c r="R431" s="293">
        <f t="shared" si="168"/>
        <v>700000</v>
      </c>
      <c r="S431" s="293">
        <f t="shared" si="168"/>
        <v>0</v>
      </c>
      <c r="T431" s="341">
        <f t="shared" si="168"/>
        <v>0</v>
      </c>
      <c r="U431" s="341">
        <f t="shared" si="159"/>
        <v>700000</v>
      </c>
      <c r="V431" s="682">
        <f t="shared" si="153"/>
        <v>6000000</v>
      </c>
      <c r="W431" s="682">
        <f t="shared" si="155"/>
        <v>6000000</v>
      </c>
      <c r="X431" s="682">
        <f t="shared" si="156"/>
        <v>6000000</v>
      </c>
    </row>
    <row r="432" spans="2:24" ht="12.75" customHeight="1">
      <c r="B432" s="438"/>
      <c r="C432" s="439"/>
      <c r="D432" s="182" t="s">
        <v>284</v>
      </c>
      <c r="E432" s="58"/>
      <c r="F432" s="440"/>
      <c r="G432" s="441"/>
      <c r="H432" s="1162" t="s">
        <v>119</v>
      </c>
      <c r="I432" s="1163"/>
      <c r="J432" s="453"/>
      <c r="K432" s="994">
        <f aca="true" t="shared" si="169" ref="K432:T432">SUM(K433:K446)</f>
        <v>4500000</v>
      </c>
      <c r="L432" s="994">
        <f t="shared" si="169"/>
        <v>2749474.31</v>
      </c>
      <c r="M432" s="994">
        <f t="shared" si="169"/>
        <v>4800000</v>
      </c>
      <c r="N432" s="994">
        <f t="shared" si="169"/>
        <v>5300000</v>
      </c>
      <c r="O432" s="69">
        <f t="shared" si="169"/>
        <v>0</v>
      </c>
      <c r="P432" s="69">
        <f t="shared" si="169"/>
        <v>0</v>
      </c>
      <c r="Q432" s="69">
        <f t="shared" si="169"/>
        <v>0</v>
      </c>
      <c r="R432" s="69">
        <f t="shared" si="169"/>
        <v>700000</v>
      </c>
      <c r="S432" s="69">
        <f t="shared" si="169"/>
        <v>0</v>
      </c>
      <c r="T432" s="69">
        <f t="shared" si="169"/>
        <v>0</v>
      </c>
      <c r="U432" s="344">
        <f t="shared" si="159"/>
        <v>700000</v>
      </c>
      <c r="V432" s="896">
        <f t="shared" si="153"/>
        <v>6000000</v>
      </c>
      <c r="W432" s="896">
        <f t="shared" si="155"/>
        <v>6000000</v>
      </c>
      <c r="X432" s="896">
        <f t="shared" si="156"/>
        <v>6000000</v>
      </c>
    </row>
    <row r="433" spans="2:24" ht="12.75">
      <c r="B433" s="357"/>
      <c r="C433" s="364"/>
      <c r="D433" s="359"/>
      <c r="E433" s="364"/>
      <c r="F433" s="375">
        <v>299</v>
      </c>
      <c r="G433" s="452">
        <v>411</v>
      </c>
      <c r="H433" s="1227" t="s">
        <v>27</v>
      </c>
      <c r="I433" s="1228"/>
      <c r="J433" s="1229"/>
      <c r="K433" s="979">
        <v>510000</v>
      </c>
      <c r="L433" s="979">
        <v>406016.82999999996</v>
      </c>
      <c r="M433" s="979">
        <v>510000</v>
      </c>
      <c r="N433" s="979">
        <v>570000</v>
      </c>
      <c r="O433" s="418">
        <v>0</v>
      </c>
      <c r="P433" s="418">
        <v>0</v>
      </c>
      <c r="Q433" s="418">
        <v>0</v>
      </c>
      <c r="R433" s="421">
        <v>0</v>
      </c>
      <c r="S433" s="415">
        <v>0</v>
      </c>
      <c r="T433" s="421">
        <v>0</v>
      </c>
      <c r="U433" s="424">
        <f t="shared" si="159"/>
        <v>0</v>
      </c>
      <c r="V433" s="634">
        <f t="shared" si="153"/>
        <v>570000</v>
      </c>
      <c r="W433" s="634">
        <f t="shared" si="155"/>
        <v>570000</v>
      </c>
      <c r="X433" s="634">
        <f t="shared" si="156"/>
        <v>570000</v>
      </c>
    </row>
    <row r="434" spans="2:24" ht="12.75">
      <c r="B434" s="357"/>
      <c r="C434" s="364"/>
      <c r="D434" s="359"/>
      <c r="E434" s="364"/>
      <c r="F434" s="375">
        <v>300</v>
      </c>
      <c r="G434" s="452">
        <v>412</v>
      </c>
      <c r="H434" s="1227" t="s">
        <v>79</v>
      </c>
      <c r="I434" s="1228"/>
      <c r="J434" s="1229"/>
      <c r="K434" s="979">
        <v>93000</v>
      </c>
      <c r="L434" s="979">
        <v>69631.83999999998</v>
      </c>
      <c r="M434" s="979">
        <v>93000</v>
      </c>
      <c r="N434" s="979">
        <v>98000</v>
      </c>
      <c r="O434" s="418">
        <v>0</v>
      </c>
      <c r="P434" s="418">
        <v>0</v>
      </c>
      <c r="Q434" s="418">
        <v>0</v>
      </c>
      <c r="R434" s="421">
        <v>0</v>
      </c>
      <c r="S434" s="415">
        <v>0</v>
      </c>
      <c r="T434" s="421">
        <v>0</v>
      </c>
      <c r="U434" s="424">
        <f t="shared" si="159"/>
        <v>0</v>
      </c>
      <c r="V434" s="634">
        <f t="shared" si="153"/>
        <v>98000</v>
      </c>
      <c r="W434" s="634">
        <f t="shared" si="155"/>
        <v>98000</v>
      </c>
      <c r="X434" s="634">
        <f t="shared" si="156"/>
        <v>98000</v>
      </c>
    </row>
    <row r="435" spans="2:24" ht="12.75">
      <c r="B435" s="357"/>
      <c r="C435" s="364"/>
      <c r="D435" s="359"/>
      <c r="E435" s="364"/>
      <c r="F435" s="375">
        <v>301</v>
      </c>
      <c r="G435" s="452">
        <v>414</v>
      </c>
      <c r="H435" s="1165" t="s">
        <v>30</v>
      </c>
      <c r="I435" s="1166"/>
      <c r="J435" s="1167"/>
      <c r="K435" s="788">
        <v>50000</v>
      </c>
      <c r="L435" s="788">
        <v>35000</v>
      </c>
      <c r="M435" s="788">
        <v>50000</v>
      </c>
      <c r="N435" s="788">
        <v>50000</v>
      </c>
      <c r="O435" s="418">
        <v>0</v>
      </c>
      <c r="P435" s="418">
        <v>0</v>
      </c>
      <c r="Q435" s="418">
        <v>0</v>
      </c>
      <c r="R435" s="421">
        <v>0</v>
      </c>
      <c r="S435" s="415">
        <v>0</v>
      </c>
      <c r="T435" s="421">
        <v>0</v>
      </c>
      <c r="U435" s="424">
        <f t="shared" si="159"/>
        <v>0</v>
      </c>
      <c r="V435" s="634">
        <f t="shared" si="153"/>
        <v>50000</v>
      </c>
      <c r="W435" s="634">
        <f t="shared" si="155"/>
        <v>50000</v>
      </c>
      <c r="X435" s="634">
        <f t="shared" si="156"/>
        <v>50000</v>
      </c>
    </row>
    <row r="436" spans="2:24" s="363" customFormat="1" ht="12.75">
      <c r="B436" s="357"/>
      <c r="C436" s="364"/>
      <c r="D436" s="359"/>
      <c r="E436" s="364"/>
      <c r="F436" s="375">
        <v>302</v>
      </c>
      <c r="G436" s="452">
        <v>421</v>
      </c>
      <c r="H436" s="1179" t="s">
        <v>33</v>
      </c>
      <c r="I436" s="1180"/>
      <c r="J436" s="1181"/>
      <c r="K436" s="979">
        <v>410000</v>
      </c>
      <c r="L436" s="979">
        <v>257344.43000000005</v>
      </c>
      <c r="M436" s="979">
        <v>430000</v>
      </c>
      <c r="N436" s="979">
        <v>340000</v>
      </c>
      <c r="O436" s="418">
        <v>0</v>
      </c>
      <c r="P436" s="418">
        <v>0</v>
      </c>
      <c r="Q436" s="418">
        <v>0</v>
      </c>
      <c r="R436" s="421">
        <v>0</v>
      </c>
      <c r="S436" s="415">
        <v>0</v>
      </c>
      <c r="T436" s="421">
        <v>0</v>
      </c>
      <c r="U436" s="424">
        <f t="shared" si="159"/>
        <v>0</v>
      </c>
      <c r="V436" s="634">
        <f aca="true" t="shared" si="170" ref="V436:V485">SUM(N436:T436)</f>
        <v>340000</v>
      </c>
      <c r="W436" s="634">
        <f t="shared" si="155"/>
        <v>340000</v>
      </c>
      <c r="X436" s="634">
        <f t="shared" si="156"/>
        <v>340000</v>
      </c>
    </row>
    <row r="437" spans="2:24" s="363" customFormat="1" ht="12.75">
      <c r="B437" s="357"/>
      <c r="C437" s="364"/>
      <c r="D437" s="359"/>
      <c r="E437" s="364"/>
      <c r="F437" s="375">
        <v>303</v>
      </c>
      <c r="G437" s="452">
        <v>422</v>
      </c>
      <c r="H437" s="1179" t="s">
        <v>34</v>
      </c>
      <c r="I437" s="1180"/>
      <c r="J437" s="1181"/>
      <c r="K437" s="979">
        <v>50000</v>
      </c>
      <c r="L437" s="979">
        <v>0</v>
      </c>
      <c r="M437" s="979">
        <v>50000</v>
      </c>
      <c r="N437" s="979">
        <v>100000</v>
      </c>
      <c r="O437" s="418">
        <v>0</v>
      </c>
      <c r="P437" s="418">
        <v>0</v>
      </c>
      <c r="Q437" s="418">
        <v>0</v>
      </c>
      <c r="R437" s="421">
        <v>0</v>
      </c>
      <c r="S437" s="421">
        <v>0</v>
      </c>
      <c r="T437" s="421">
        <v>0</v>
      </c>
      <c r="U437" s="424">
        <f t="shared" si="159"/>
        <v>0</v>
      </c>
      <c r="V437" s="634">
        <f t="shared" si="170"/>
        <v>100000</v>
      </c>
      <c r="W437" s="634">
        <f t="shared" si="155"/>
        <v>100000</v>
      </c>
      <c r="X437" s="634">
        <f t="shared" si="156"/>
        <v>100000</v>
      </c>
    </row>
    <row r="438" spans="2:24" s="363" customFormat="1" ht="12.75">
      <c r="B438" s="357"/>
      <c r="C438" s="364"/>
      <c r="D438" s="359"/>
      <c r="E438" s="364"/>
      <c r="F438" s="375">
        <v>304</v>
      </c>
      <c r="G438" s="452">
        <v>423</v>
      </c>
      <c r="H438" s="1179" t="s">
        <v>35</v>
      </c>
      <c r="I438" s="1180"/>
      <c r="J438" s="1181"/>
      <c r="K438" s="979">
        <v>890000</v>
      </c>
      <c r="L438" s="979">
        <v>530340.5399999999</v>
      </c>
      <c r="M438" s="979">
        <v>940000</v>
      </c>
      <c r="N438" s="979">
        <v>910000</v>
      </c>
      <c r="O438" s="418">
        <v>0</v>
      </c>
      <c r="P438" s="418">
        <v>0</v>
      </c>
      <c r="Q438" s="418">
        <v>0</v>
      </c>
      <c r="R438" s="418">
        <v>0</v>
      </c>
      <c r="S438" s="418">
        <v>0</v>
      </c>
      <c r="T438" s="418">
        <v>0</v>
      </c>
      <c r="U438" s="424">
        <f t="shared" si="159"/>
        <v>0</v>
      </c>
      <c r="V438" s="634">
        <f t="shared" si="170"/>
        <v>910000</v>
      </c>
      <c r="W438" s="634">
        <f t="shared" si="155"/>
        <v>910000</v>
      </c>
      <c r="X438" s="634">
        <f t="shared" si="156"/>
        <v>910000</v>
      </c>
    </row>
    <row r="439" spans="2:24" s="363" customFormat="1" ht="12.75">
      <c r="B439" s="357"/>
      <c r="C439" s="364"/>
      <c r="D439" s="359"/>
      <c r="E439" s="364"/>
      <c r="F439" s="375">
        <v>305</v>
      </c>
      <c r="G439" s="452">
        <v>424</v>
      </c>
      <c r="H439" s="1227" t="s">
        <v>36</v>
      </c>
      <c r="I439" s="1228"/>
      <c r="J439" s="1229"/>
      <c r="K439" s="979">
        <v>50000</v>
      </c>
      <c r="L439" s="979">
        <v>9315</v>
      </c>
      <c r="M439" s="979">
        <v>50000</v>
      </c>
      <c r="N439" s="979">
        <v>50000</v>
      </c>
      <c r="O439" s="418">
        <v>0</v>
      </c>
      <c r="P439" s="418">
        <v>0</v>
      </c>
      <c r="Q439" s="418">
        <v>0</v>
      </c>
      <c r="R439" s="418">
        <v>0</v>
      </c>
      <c r="S439" s="418">
        <v>0</v>
      </c>
      <c r="T439" s="418">
        <v>0</v>
      </c>
      <c r="U439" s="424">
        <f t="shared" si="159"/>
        <v>0</v>
      </c>
      <c r="V439" s="634">
        <f t="shared" si="170"/>
        <v>50000</v>
      </c>
      <c r="W439" s="634">
        <f t="shared" si="155"/>
        <v>50000</v>
      </c>
      <c r="X439" s="634">
        <f t="shared" si="156"/>
        <v>50000</v>
      </c>
    </row>
    <row r="440" spans="2:24" s="363" customFormat="1" ht="12.75">
      <c r="B440" s="357"/>
      <c r="C440" s="364"/>
      <c r="D440" s="359"/>
      <c r="E440" s="364"/>
      <c r="F440" s="404">
        <v>306</v>
      </c>
      <c r="G440" s="452">
        <v>425</v>
      </c>
      <c r="H440" s="1227" t="s">
        <v>121</v>
      </c>
      <c r="I440" s="1228"/>
      <c r="J440" s="1229"/>
      <c r="K440" s="979">
        <v>850000</v>
      </c>
      <c r="L440" s="979">
        <v>441033.14</v>
      </c>
      <c r="M440" s="979">
        <v>1025000</v>
      </c>
      <c r="N440" s="979">
        <v>1435000</v>
      </c>
      <c r="O440" s="418">
        <v>0</v>
      </c>
      <c r="P440" s="418">
        <v>0</v>
      </c>
      <c r="Q440" s="418">
        <v>0</v>
      </c>
      <c r="R440" s="418">
        <v>500000</v>
      </c>
      <c r="S440" s="418">
        <v>0</v>
      </c>
      <c r="T440" s="418">
        <v>0</v>
      </c>
      <c r="U440" s="424">
        <f t="shared" si="159"/>
        <v>500000</v>
      </c>
      <c r="V440" s="634">
        <f t="shared" si="170"/>
        <v>1935000</v>
      </c>
      <c r="W440" s="634">
        <f t="shared" si="155"/>
        <v>1935000</v>
      </c>
      <c r="X440" s="634">
        <f t="shared" si="156"/>
        <v>1935000</v>
      </c>
    </row>
    <row r="441" spans="2:24" s="363" customFormat="1" ht="12.75">
      <c r="B441" s="357"/>
      <c r="C441" s="364"/>
      <c r="D441" s="359"/>
      <c r="E441" s="364"/>
      <c r="F441" s="404">
        <v>307</v>
      </c>
      <c r="G441" s="452">
        <v>426</v>
      </c>
      <c r="H441" s="1227" t="s">
        <v>38</v>
      </c>
      <c r="I441" s="1228"/>
      <c r="J441" s="1229"/>
      <c r="K441" s="979">
        <v>580000</v>
      </c>
      <c r="L441" s="979">
        <v>400456.43000000005</v>
      </c>
      <c r="M441" s="979">
        <v>733000</v>
      </c>
      <c r="N441" s="979">
        <v>610000</v>
      </c>
      <c r="O441" s="418">
        <v>0</v>
      </c>
      <c r="P441" s="418">
        <v>0</v>
      </c>
      <c r="Q441" s="418">
        <v>0</v>
      </c>
      <c r="R441" s="418">
        <v>200000</v>
      </c>
      <c r="S441" s="418">
        <v>0</v>
      </c>
      <c r="T441" s="418">
        <v>0</v>
      </c>
      <c r="U441" s="424">
        <f t="shared" si="159"/>
        <v>200000</v>
      </c>
      <c r="V441" s="634">
        <f t="shared" si="170"/>
        <v>810000</v>
      </c>
      <c r="W441" s="634">
        <f t="shared" si="155"/>
        <v>810000</v>
      </c>
      <c r="X441" s="634">
        <f t="shared" si="156"/>
        <v>810000</v>
      </c>
    </row>
    <row r="442" spans="2:24" s="363" customFormat="1" ht="12.75">
      <c r="B442" s="357"/>
      <c r="C442" s="364"/>
      <c r="D442" s="359"/>
      <c r="E442" s="364"/>
      <c r="F442" s="404">
        <v>308</v>
      </c>
      <c r="G442" s="452">
        <v>441</v>
      </c>
      <c r="H442" s="1179" t="s">
        <v>1475</v>
      </c>
      <c r="I442" s="1180"/>
      <c r="J442" s="1181"/>
      <c r="K442" s="979">
        <v>10000</v>
      </c>
      <c r="L442" s="979">
        <v>0</v>
      </c>
      <c r="M442" s="979">
        <v>10000</v>
      </c>
      <c r="N442" s="979">
        <v>10000</v>
      </c>
      <c r="O442" s="418">
        <v>0</v>
      </c>
      <c r="P442" s="418">
        <v>0</v>
      </c>
      <c r="Q442" s="418">
        <v>0</v>
      </c>
      <c r="R442" s="421">
        <v>0</v>
      </c>
      <c r="S442" s="421">
        <v>0</v>
      </c>
      <c r="T442" s="421">
        <v>0</v>
      </c>
      <c r="U442" s="424">
        <f t="shared" si="159"/>
        <v>0</v>
      </c>
      <c r="V442" s="634">
        <f t="shared" si="170"/>
        <v>10000</v>
      </c>
      <c r="W442" s="634">
        <f t="shared" si="155"/>
        <v>10000</v>
      </c>
      <c r="X442" s="634">
        <f t="shared" si="156"/>
        <v>10000</v>
      </c>
    </row>
    <row r="443" spans="2:24" s="363" customFormat="1" ht="12.75">
      <c r="B443" s="357"/>
      <c r="C443" s="364"/>
      <c r="D443" s="359"/>
      <c r="E443" s="364"/>
      <c r="F443" s="404">
        <v>309</v>
      </c>
      <c r="G443" s="452">
        <v>465</v>
      </c>
      <c r="H443" s="1179" t="s">
        <v>216</v>
      </c>
      <c r="I443" s="1180"/>
      <c r="J443" s="1181"/>
      <c r="K443" s="979">
        <v>70000</v>
      </c>
      <c r="L443" s="979">
        <v>47337.100000000006</v>
      </c>
      <c r="M443" s="979">
        <v>70000</v>
      </c>
      <c r="N443" s="979">
        <v>70000</v>
      </c>
      <c r="O443" s="418">
        <v>0</v>
      </c>
      <c r="P443" s="418">
        <v>0</v>
      </c>
      <c r="Q443" s="418">
        <v>0</v>
      </c>
      <c r="R443" s="421">
        <v>0</v>
      </c>
      <c r="S443" s="415">
        <v>0</v>
      </c>
      <c r="T443" s="421">
        <v>0</v>
      </c>
      <c r="U443" s="424">
        <f t="shared" si="159"/>
        <v>0</v>
      </c>
      <c r="V443" s="634">
        <f t="shared" si="170"/>
        <v>70000</v>
      </c>
      <c r="W443" s="634">
        <f t="shared" si="155"/>
        <v>70000</v>
      </c>
      <c r="X443" s="634">
        <f t="shared" si="156"/>
        <v>70000</v>
      </c>
    </row>
    <row r="444" spans="2:24" s="363" customFormat="1" ht="12.75">
      <c r="B444" s="357"/>
      <c r="C444" s="364"/>
      <c r="D444" s="359"/>
      <c r="E444" s="364"/>
      <c r="F444" s="404">
        <v>310</v>
      </c>
      <c r="G444" s="452">
        <v>481</v>
      </c>
      <c r="H444" s="1227" t="s">
        <v>122</v>
      </c>
      <c r="I444" s="1228"/>
      <c r="J444" s="1229"/>
      <c r="K444" s="979">
        <v>750000</v>
      </c>
      <c r="L444" s="979">
        <v>500000</v>
      </c>
      <c r="M444" s="979">
        <v>700000</v>
      </c>
      <c r="N444" s="979">
        <v>800000</v>
      </c>
      <c r="O444" s="418">
        <v>0</v>
      </c>
      <c r="P444" s="418">
        <v>0</v>
      </c>
      <c r="Q444" s="418">
        <v>0</v>
      </c>
      <c r="R444" s="421">
        <v>0</v>
      </c>
      <c r="S444" s="415">
        <v>0</v>
      </c>
      <c r="T444" s="421">
        <v>0</v>
      </c>
      <c r="U444" s="424">
        <f t="shared" si="159"/>
        <v>0</v>
      </c>
      <c r="V444" s="634">
        <f t="shared" si="170"/>
        <v>800000</v>
      </c>
      <c r="W444" s="634">
        <f t="shared" si="155"/>
        <v>800000</v>
      </c>
      <c r="X444" s="634">
        <f t="shared" si="156"/>
        <v>800000</v>
      </c>
    </row>
    <row r="445" spans="2:24" s="363" customFormat="1" ht="12.75">
      <c r="B445" s="357"/>
      <c r="C445" s="364"/>
      <c r="D445" s="359"/>
      <c r="E445" s="364"/>
      <c r="F445" s="404">
        <v>311</v>
      </c>
      <c r="G445" s="452">
        <v>482</v>
      </c>
      <c r="H445" s="1227" t="s">
        <v>123</v>
      </c>
      <c r="I445" s="1228"/>
      <c r="J445" s="1229"/>
      <c r="K445" s="979">
        <v>37000</v>
      </c>
      <c r="L445" s="979">
        <v>0</v>
      </c>
      <c r="M445" s="979">
        <v>39000</v>
      </c>
      <c r="N445" s="979">
        <v>57000</v>
      </c>
      <c r="O445" s="418">
        <v>0</v>
      </c>
      <c r="P445" s="418">
        <v>0</v>
      </c>
      <c r="Q445" s="418">
        <v>0</v>
      </c>
      <c r="R445" s="421">
        <v>0</v>
      </c>
      <c r="S445" s="415">
        <v>0</v>
      </c>
      <c r="T445" s="421">
        <v>0</v>
      </c>
      <c r="U445" s="424">
        <f t="shared" si="159"/>
        <v>0</v>
      </c>
      <c r="V445" s="634">
        <f t="shared" si="170"/>
        <v>57000</v>
      </c>
      <c r="W445" s="634">
        <f t="shared" si="155"/>
        <v>57000</v>
      </c>
      <c r="X445" s="634">
        <f t="shared" si="156"/>
        <v>57000</v>
      </c>
    </row>
    <row r="446" spans="2:24" ht="12.75">
      <c r="B446" s="357"/>
      <c r="C446" s="364"/>
      <c r="D446" s="359"/>
      <c r="E446" s="364"/>
      <c r="F446" s="404">
        <v>312</v>
      </c>
      <c r="G446" s="452">
        <v>512</v>
      </c>
      <c r="H446" s="374" t="s">
        <v>83</v>
      </c>
      <c r="I446" s="445"/>
      <c r="J446" s="446"/>
      <c r="K446" s="979">
        <v>150000</v>
      </c>
      <c r="L446" s="979">
        <v>52999</v>
      </c>
      <c r="M446" s="979">
        <v>100000</v>
      </c>
      <c r="N446" s="979">
        <v>200000</v>
      </c>
      <c r="O446" s="418">
        <v>0</v>
      </c>
      <c r="P446" s="418">
        <v>0</v>
      </c>
      <c r="Q446" s="418">
        <v>0</v>
      </c>
      <c r="R446" s="418">
        <v>0</v>
      </c>
      <c r="S446" s="415">
        <v>0</v>
      </c>
      <c r="T446" s="418">
        <v>0</v>
      </c>
      <c r="U446" s="424">
        <f t="shared" si="159"/>
        <v>0</v>
      </c>
      <c r="V446" s="634">
        <f t="shared" si="170"/>
        <v>200000</v>
      </c>
      <c r="W446" s="634">
        <f t="shared" si="155"/>
        <v>200000</v>
      </c>
      <c r="X446" s="634">
        <f t="shared" si="156"/>
        <v>200000</v>
      </c>
    </row>
    <row r="447" spans="2:24" s="363" customFormat="1" ht="12.75">
      <c r="B447" s="466"/>
      <c r="C447" s="474" t="s">
        <v>1324</v>
      </c>
      <c r="D447" s="715"/>
      <c r="E447" s="476"/>
      <c r="F447" s="475"/>
      <c r="G447" s="477"/>
      <c r="H447" s="1177" t="s">
        <v>124</v>
      </c>
      <c r="I447" s="1178"/>
      <c r="J447" s="1178"/>
      <c r="K447" s="1025">
        <f>K450</f>
        <v>1714000</v>
      </c>
      <c r="L447" s="1025">
        <f>L450</f>
        <v>1278578.56</v>
      </c>
      <c r="M447" s="1025">
        <f>M450</f>
        <v>1714000</v>
      </c>
      <c r="N447" s="1025">
        <f>N450</f>
        <v>1760000</v>
      </c>
      <c r="O447" s="431">
        <f aca="true" t="shared" si="171" ref="O447:T447">O450</f>
        <v>0</v>
      </c>
      <c r="P447" s="431">
        <f>P450</f>
        <v>0</v>
      </c>
      <c r="Q447" s="431">
        <f t="shared" si="171"/>
        <v>0</v>
      </c>
      <c r="R447" s="431">
        <f t="shared" si="171"/>
        <v>0</v>
      </c>
      <c r="S447" s="431">
        <f>S450</f>
        <v>0</v>
      </c>
      <c r="T447" s="480">
        <f t="shared" si="171"/>
        <v>0</v>
      </c>
      <c r="U447" s="479">
        <f t="shared" si="159"/>
        <v>0</v>
      </c>
      <c r="V447" s="909">
        <f t="shared" si="170"/>
        <v>1760000</v>
      </c>
      <c r="W447" s="909">
        <f t="shared" si="155"/>
        <v>1760000</v>
      </c>
      <c r="X447" s="909">
        <f t="shared" si="156"/>
        <v>1760000</v>
      </c>
    </row>
    <row r="448" spans="2:24" s="665" customFormat="1" ht="12.75">
      <c r="B448" s="661"/>
      <c r="C448" s="662"/>
      <c r="D448" s="637"/>
      <c r="E448" s="636" t="s">
        <v>290</v>
      </c>
      <c r="F448" s="637"/>
      <c r="G448" s="638"/>
      <c r="H448" s="1258" t="s">
        <v>291</v>
      </c>
      <c r="I448" s="1259"/>
      <c r="J448" s="1260"/>
      <c r="K448" s="977">
        <f aca="true" t="shared" si="172" ref="K448:T449">K449</f>
        <v>1714000</v>
      </c>
      <c r="L448" s="977">
        <f t="shared" si="172"/>
        <v>1278578.56</v>
      </c>
      <c r="M448" s="977">
        <f t="shared" si="172"/>
        <v>1714000</v>
      </c>
      <c r="N448" s="977">
        <f t="shared" si="172"/>
        <v>1760000</v>
      </c>
      <c r="O448" s="663">
        <f t="shared" si="172"/>
        <v>0</v>
      </c>
      <c r="P448" s="663">
        <f t="shared" si="172"/>
        <v>0</v>
      </c>
      <c r="Q448" s="663">
        <f t="shared" si="172"/>
        <v>0</v>
      </c>
      <c r="R448" s="663">
        <f t="shared" si="172"/>
        <v>0</v>
      </c>
      <c r="S448" s="663">
        <f t="shared" si="172"/>
        <v>0</v>
      </c>
      <c r="T448" s="664">
        <f t="shared" si="172"/>
        <v>0</v>
      </c>
      <c r="U448" s="664">
        <f t="shared" si="159"/>
        <v>0</v>
      </c>
      <c r="V448" s="910">
        <f t="shared" si="170"/>
        <v>1760000</v>
      </c>
      <c r="W448" s="910">
        <f t="shared" si="155"/>
        <v>1760000</v>
      </c>
      <c r="X448" s="910">
        <f t="shared" si="156"/>
        <v>1760000</v>
      </c>
    </row>
    <row r="449" spans="2:24" s="363" customFormat="1" ht="12.75" customHeight="1">
      <c r="B449" s="287"/>
      <c r="C449" s="288"/>
      <c r="D449" s="436"/>
      <c r="E449" s="353" t="s">
        <v>308</v>
      </c>
      <c r="F449" s="436"/>
      <c r="G449" s="437"/>
      <c r="H449" s="1171" t="s">
        <v>1361</v>
      </c>
      <c r="I449" s="1172"/>
      <c r="J449" s="1173"/>
      <c r="K449" s="1009">
        <f t="shared" si="172"/>
        <v>1714000</v>
      </c>
      <c r="L449" s="1009">
        <f t="shared" si="172"/>
        <v>1278578.56</v>
      </c>
      <c r="M449" s="1009">
        <f t="shared" si="172"/>
        <v>1714000</v>
      </c>
      <c r="N449" s="1009">
        <f t="shared" si="172"/>
        <v>1760000</v>
      </c>
      <c r="O449" s="293">
        <f t="shared" si="172"/>
        <v>0</v>
      </c>
      <c r="P449" s="293">
        <f t="shared" si="172"/>
        <v>0</v>
      </c>
      <c r="Q449" s="293">
        <f t="shared" si="172"/>
        <v>0</v>
      </c>
      <c r="R449" s="293">
        <f t="shared" si="172"/>
        <v>0</v>
      </c>
      <c r="S449" s="293">
        <f t="shared" si="172"/>
        <v>0</v>
      </c>
      <c r="T449" s="341">
        <f t="shared" si="172"/>
        <v>0</v>
      </c>
      <c r="U449" s="341">
        <f t="shared" si="159"/>
        <v>0</v>
      </c>
      <c r="V449" s="682">
        <f t="shared" si="170"/>
        <v>1760000</v>
      </c>
      <c r="W449" s="682">
        <f t="shared" si="155"/>
        <v>1760000</v>
      </c>
      <c r="X449" s="682">
        <f t="shared" si="156"/>
        <v>1760000</v>
      </c>
    </row>
    <row r="450" spans="2:24" s="363" customFormat="1" ht="12.75">
      <c r="B450" s="438"/>
      <c r="C450" s="439"/>
      <c r="D450" s="182" t="s">
        <v>284</v>
      </c>
      <c r="E450" s="58"/>
      <c r="F450" s="440"/>
      <c r="G450" s="441"/>
      <c r="H450" s="1162" t="s">
        <v>119</v>
      </c>
      <c r="I450" s="1163"/>
      <c r="J450" s="453"/>
      <c r="K450" s="994">
        <f aca="true" t="shared" si="173" ref="K450:U450">SUM(K451:K458)</f>
        <v>1714000</v>
      </c>
      <c r="L450" s="994">
        <f t="shared" si="173"/>
        <v>1278578.56</v>
      </c>
      <c r="M450" s="994">
        <f t="shared" si="173"/>
        <v>1714000</v>
      </c>
      <c r="N450" s="994">
        <f>SUM(N451:N459)</f>
        <v>1760000</v>
      </c>
      <c r="O450" s="69">
        <f t="shared" si="173"/>
        <v>0</v>
      </c>
      <c r="P450" s="69">
        <f t="shared" si="173"/>
        <v>0</v>
      </c>
      <c r="Q450" s="69">
        <f t="shared" si="173"/>
        <v>0</v>
      </c>
      <c r="R450" s="69">
        <f t="shared" si="173"/>
        <v>0</v>
      </c>
      <c r="S450" s="69">
        <f t="shared" si="173"/>
        <v>0</v>
      </c>
      <c r="T450" s="69">
        <f t="shared" si="173"/>
        <v>0</v>
      </c>
      <c r="U450" s="69">
        <f t="shared" si="173"/>
        <v>0</v>
      </c>
      <c r="V450" s="896">
        <f t="shared" si="170"/>
        <v>1760000</v>
      </c>
      <c r="W450" s="896">
        <f t="shared" si="155"/>
        <v>1760000</v>
      </c>
      <c r="X450" s="896">
        <f t="shared" si="156"/>
        <v>1760000</v>
      </c>
    </row>
    <row r="451" spans="2:24" s="363" customFormat="1" ht="12.75">
      <c r="B451" s="481"/>
      <c r="C451" s="482"/>
      <c r="D451" s="483"/>
      <c r="E451" s="482"/>
      <c r="F451" s="440">
        <v>313</v>
      </c>
      <c r="G451" s="484">
        <v>411</v>
      </c>
      <c r="H451" s="1227" t="s">
        <v>27</v>
      </c>
      <c r="I451" s="1228"/>
      <c r="J451" s="1229"/>
      <c r="K451" s="979">
        <v>520000</v>
      </c>
      <c r="L451" s="979">
        <v>403172.56</v>
      </c>
      <c r="M451" s="979">
        <v>520000</v>
      </c>
      <c r="N451" s="979">
        <v>520000</v>
      </c>
      <c r="O451" s="418">
        <v>0</v>
      </c>
      <c r="P451" s="418">
        <v>0</v>
      </c>
      <c r="Q451" s="418">
        <v>0</v>
      </c>
      <c r="R451" s="421">
        <v>0</v>
      </c>
      <c r="S451" s="415">
        <v>0</v>
      </c>
      <c r="T451" s="421">
        <v>0</v>
      </c>
      <c r="U451" s="424">
        <f t="shared" si="159"/>
        <v>0</v>
      </c>
      <c r="V451" s="634">
        <f t="shared" si="170"/>
        <v>520000</v>
      </c>
      <c r="W451" s="634">
        <f t="shared" si="155"/>
        <v>520000</v>
      </c>
      <c r="X451" s="634">
        <f t="shared" si="156"/>
        <v>520000</v>
      </c>
    </row>
    <row r="452" spans="2:24" s="363" customFormat="1" ht="12.75">
      <c r="B452" s="357"/>
      <c r="C452" s="364"/>
      <c r="D452" s="359"/>
      <c r="E452" s="369"/>
      <c r="F452" s="440">
        <v>314</v>
      </c>
      <c r="G452" s="452">
        <v>412</v>
      </c>
      <c r="H452" s="1227" t="s">
        <v>79</v>
      </c>
      <c r="I452" s="1228"/>
      <c r="J452" s="1229"/>
      <c r="K452" s="979">
        <v>96000</v>
      </c>
      <c r="L452" s="979">
        <v>69144.09</v>
      </c>
      <c r="M452" s="979">
        <v>96000</v>
      </c>
      <c r="N452" s="979">
        <v>96000</v>
      </c>
      <c r="O452" s="418">
        <v>0</v>
      </c>
      <c r="P452" s="418">
        <v>0</v>
      </c>
      <c r="Q452" s="418">
        <v>0</v>
      </c>
      <c r="R452" s="421">
        <v>0</v>
      </c>
      <c r="S452" s="415">
        <v>0</v>
      </c>
      <c r="T452" s="421">
        <v>0</v>
      </c>
      <c r="U452" s="424">
        <f t="shared" si="159"/>
        <v>0</v>
      </c>
      <c r="V452" s="634">
        <f t="shared" si="170"/>
        <v>96000</v>
      </c>
      <c r="W452" s="634">
        <f t="shared" si="155"/>
        <v>96000</v>
      </c>
      <c r="X452" s="634">
        <f t="shared" si="156"/>
        <v>96000</v>
      </c>
    </row>
    <row r="453" spans="2:24" s="363" customFormat="1" ht="12.75">
      <c r="B453" s="357"/>
      <c r="C453" s="364"/>
      <c r="D453" s="359"/>
      <c r="E453" s="369"/>
      <c r="F453" s="440">
        <v>315</v>
      </c>
      <c r="G453" s="452">
        <v>421</v>
      </c>
      <c r="H453" s="1227" t="s">
        <v>33</v>
      </c>
      <c r="I453" s="1228"/>
      <c r="J453" s="461"/>
      <c r="K453" s="1006">
        <v>290000</v>
      </c>
      <c r="L453" s="1006">
        <v>253908.31000000003</v>
      </c>
      <c r="M453" s="1006">
        <v>310000</v>
      </c>
      <c r="N453" s="1006">
        <v>290000</v>
      </c>
      <c r="O453" s="418">
        <v>0</v>
      </c>
      <c r="P453" s="418">
        <v>0</v>
      </c>
      <c r="Q453" s="418">
        <v>0</v>
      </c>
      <c r="R453" s="421">
        <v>0</v>
      </c>
      <c r="S453" s="415">
        <v>0</v>
      </c>
      <c r="T453" s="421">
        <v>0</v>
      </c>
      <c r="U453" s="424">
        <f t="shared" si="159"/>
        <v>0</v>
      </c>
      <c r="V453" s="634">
        <f t="shared" si="170"/>
        <v>290000</v>
      </c>
      <c r="W453" s="634">
        <f t="shared" si="155"/>
        <v>290000</v>
      </c>
      <c r="X453" s="634">
        <f t="shared" si="156"/>
        <v>290000</v>
      </c>
    </row>
    <row r="454" spans="2:24" s="363" customFormat="1" ht="12.75">
      <c r="B454" s="357"/>
      <c r="C454" s="364"/>
      <c r="D454" s="359"/>
      <c r="E454" s="369"/>
      <c r="F454" s="440">
        <v>316</v>
      </c>
      <c r="G454" s="452">
        <v>423</v>
      </c>
      <c r="H454" s="1179" t="s">
        <v>35</v>
      </c>
      <c r="I454" s="1180"/>
      <c r="J454" s="1181"/>
      <c r="K454" s="979">
        <v>170000</v>
      </c>
      <c r="L454" s="979">
        <v>159959</v>
      </c>
      <c r="M454" s="979">
        <v>170000</v>
      </c>
      <c r="N454" s="979">
        <v>170000</v>
      </c>
      <c r="O454" s="418">
        <v>0</v>
      </c>
      <c r="P454" s="418">
        <v>0</v>
      </c>
      <c r="Q454" s="418">
        <v>0</v>
      </c>
      <c r="R454" s="421">
        <v>0</v>
      </c>
      <c r="S454" s="415">
        <v>0</v>
      </c>
      <c r="T454" s="421">
        <v>0</v>
      </c>
      <c r="U454" s="424">
        <f t="shared" si="159"/>
        <v>0</v>
      </c>
      <c r="V454" s="634">
        <f t="shared" si="170"/>
        <v>170000</v>
      </c>
      <c r="W454" s="634">
        <f aca="true" t="shared" si="174" ref="W454:W508">V454</f>
        <v>170000</v>
      </c>
      <c r="X454" s="634">
        <f aca="true" t="shared" si="175" ref="X454:X508">V454</f>
        <v>170000</v>
      </c>
    </row>
    <row r="455" spans="2:24" ht="12.75" customHeight="1">
      <c r="B455" s="357"/>
      <c r="C455" s="364"/>
      <c r="D455" s="359"/>
      <c r="E455" s="369"/>
      <c r="F455" s="440">
        <v>317</v>
      </c>
      <c r="G455" s="452">
        <v>425</v>
      </c>
      <c r="H455" s="1227" t="s">
        <v>91</v>
      </c>
      <c r="I455" s="1228"/>
      <c r="J455" s="1229"/>
      <c r="K455" s="979">
        <v>134000</v>
      </c>
      <c r="L455" s="979">
        <v>114190</v>
      </c>
      <c r="M455" s="979">
        <v>134000</v>
      </c>
      <c r="N455" s="979">
        <v>134000</v>
      </c>
      <c r="O455" s="418">
        <v>0</v>
      </c>
      <c r="P455" s="418">
        <v>0</v>
      </c>
      <c r="Q455" s="418">
        <v>0</v>
      </c>
      <c r="R455" s="421">
        <v>0</v>
      </c>
      <c r="S455" s="415">
        <v>0</v>
      </c>
      <c r="T455" s="421">
        <v>0</v>
      </c>
      <c r="U455" s="424">
        <f t="shared" si="159"/>
        <v>0</v>
      </c>
      <c r="V455" s="634">
        <f t="shared" si="170"/>
        <v>134000</v>
      </c>
      <c r="W455" s="634">
        <f t="shared" si="174"/>
        <v>134000</v>
      </c>
      <c r="X455" s="634">
        <f t="shared" si="175"/>
        <v>134000</v>
      </c>
    </row>
    <row r="456" spans="2:24" ht="12.75">
      <c r="B456" s="357"/>
      <c r="C456" s="364"/>
      <c r="D456" s="359"/>
      <c r="E456" s="369"/>
      <c r="F456" s="440">
        <v>318</v>
      </c>
      <c r="G456" s="452">
        <v>426</v>
      </c>
      <c r="H456" s="387" t="s">
        <v>38</v>
      </c>
      <c r="I456" s="485"/>
      <c r="J456" s="461"/>
      <c r="K456" s="1006">
        <v>224000</v>
      </c>
      <c r="L456" s="1006">
        <v>222198</v>
      </c>
      <c r="M456" s="1006">
        <v>254000</v>
      </c>
      <c r="N456" s="1006">
        <v>224000</v>
      </c>
      <c r="O456" s="418">
        <v>0</v>
      </c>
      <c r="P456" s="418">
        <v>0</v>
      </c>
      <c r="Q456" s="418">
        <v>0</v>
      </c>
      <c r="R456" s="421">
        <v>0</v>
      </c>
      <c r="S456" s="415">
        <v>0</v>
      </c>
      <c r="T456" s="421">
        <v>0</v>
      </c>
      <c r="U456" s="424">
        <f t="shared" si="159"/>
        <v>0</v>
      </c>
      <c r="V456" s="634">
        <f t="shared" si="170"/>
        <v>224000</v>
      </c>
      <c r="W456" s="634">
        <f t="shared" si="174"/>
        <v>224000</v>
      </c>
      <c r="X456" s="634">
        <f t="shared" si="175"/>
        <v>224000</v>
      </c>
    </row>
    <row r="457" spans="2:24" s="363" customFormat="1" ht="12.75">
      <c r="B457" s="357"/>
      <c r="C457" s="364"/>
      <c r="D457" s="359"/>
      <c r="E457" s="369"/>
      <c r="F457" s="440">
        <v>320</v>
      </c>
      <c r="G457" s="452">
        <v>465</v>
      </c>
      <c r="H457" s="387" t="s">
        <v>216</v>
      </c>
      <c r="I457" s="443"/>
      <c r="J457" s="444"/>
      <c r="K457" s="979">
        <v>60000</v>
      </c>
      <c r="L457" s="979">
        <v>47006.6</v>
      </c>
      <c r="M457" s="979">
        <v>65000</v>
      </c>
      <c r="N457" s="979">
        <v>60000</v>
      </c>
      <c r="O457" s="418">
        <v>0</v>
      </c>
      <c r="P457" s="418">
        <v>0</v>
      </c>
      <c r="Q457" s="418">
        <v>0</v>
      </c>
      <c r="R457" s="421">
        <v>0</v>
      </c>
      <c r="S457" s="415">
        <v>0</v>
      </c>
      <c r="T457" s="421">
        <v>0</v>
      </c>
      <c r="U457" s="424">
        <f t="shared" si="159"/>
        <v>0</v>
      </c>
      <c r="V457" s="634">
        <f t="shared" si="170"/>
        <v>60000</v>
      </c>
      <c r="W457" s="634">
        <f t="shared" si="174"/>
        <v>60000</v>
      </c>
      <c r="X457" s="634">
        <f t="shared" si="175"/>
        <v>60000</v>
      </c>
    </row>
    <row r="458" spans="2:24" s="363" customFormat="1" ht="12.75">
      <c r="B458" s="357"/>
      <c r="C458" s="364"/>
      <c r="D458" s="359"/>
      <c r="E458" s="369"/>
      <c r="F458" s="440">
        <v>321</v>
      </c>
      <c r="G458" s="452">
        <v>482</v>
      </c>
      <c r="H458" s="1227" t="s">
        <v>82</v>
      </c>
      <c r="I458" s="1228"/>
      <c r="J458" s="1229"/>
      <c r="K458" s="979">
        <v>220000</v>
      </c>
      <c r="L458" s="979">
        <v>9000</v>
      </c>
      <c r="M458" s="979">
        <v>165000</v>
      </c>
      <c r="N458" s="979">
        <v>220000</v>
      </c>
      <c r="O458" s="418">
        <v>0</v>
      </c>
      <c r="P458" s="418">
        <v>0</v>
      </c>
      <c r="Q458" s="418">
        <v>0</v>
      </c>
      <c r="R458" s="421">
        <v>0</v>
      </c>
      <c r="S458" s="415">
        <v>0</v>
      </c>
      <c r="T458" s="421">
        <v>0</v>
      </c>
      <c r="U458" s="424">
        <f t="shared" si="159"/>
        <v>0</v>
      </c>
      <c r="V458" s="634">
        <f t="shared" si="170"/>
        <v>220000</v>
      </c>
      <c r="W458" s="634">
        <f t="shared" si="174"/>
        <v>220000</v>
      </c>
      <c r="X458" s="634">
        <f t="shared" si="175"/>
        <v>220000</v>
      </c>
    </row>
    <row r="459" spans="2:24" s="363" customFormat="1" ht="12.75">
      <c r="B459" s="357"/>
      <c r="C459" s="364"/>
      <c r="D459" s="359"/>
      <c r="E459" s="369"/>
      <c r="F459" s="440">
        <v>322</v>
      </c>
      <c r="G459" s="452">
        <v>512</v>
      </c>
      <c r="H459" s="387" t="s">
        <v>83</v>
      </c>
      <c r="I459" s="443"/>
      <c r="J459" s="443"/>
      <c r="K459" s="982"/>
      <c r="L459" s="982"/>
      <c r="M459" s="982">
        <v>46000</v>
      </c>
      <c r="N459" s="982">
        <v>46000</v>
      </c>
      <c r="O459" s="418">
        <v>0</v>
      </c>
      <c r="P459" s="418">
        <v>0</v>
      </c>
      <c r="Q459" s="418">
        <v>0</v>
      </c>
      <c r="R459" s="421">
        <v>0</v>
      </c>
      <c r="S459" s="415">
        <v>0</v>
      </c>
      <c r="T459" s="421">
        <v>0</v>
      </c>
      <c r="U459" s="424">
        <f t="shared" si="159"/>
        <v>0</v>
      </c>
      <c r="V459" s="634">
        <f t="shared" si="170"/>
        <v>46000</v>
      </c>
      <c r="W459" s="634">
        <f t="shared" si="174"/>
        <v>46000</v>
      </c>
      <c r="X459" s="634">
        <f t="shared" si="175"/>
        <v>46000</v>
      </c>
    </row>
    <row r="460" spans="2:24" s="363" customFormat="1" ht="12.75">
      <c r="B460" s="466"/>
      <c r="C460" s="474" t="s">
        <v>1325</v>
      </c>
      <c r="D460" s="475"/>
      <c r="E460" s="476"/>
      <c r="F460" s="475"/>
      <c r="G460" s="477"/>
      <c r="H460" s="1177" t="s">
        <v>125</v>
      </c>
      <c r="I460" s="1178"/>
      <c r="J460" s="1178"/>
      <c r="K460" s="1025">
        <f>K463</f>
        <v>1791000</v>
      </c>
      <c r="L460" s="1025">
        <f>L463</f>
        <v>830715.63</v>
      </c>
      <c r="M460" s="1025">
        <f>M463</f>
        <v>1791000</v>
      </c>
      <c r="N460" s="1025">
        <f>N463</f>
        <v>1791000</v>
      </c>
      <c r="O460" s="431">
        <f aca="true" t="shared" si="176" ref="O460:T460">O463</f>
        <v>0</v>
      </c>
      <c r="P460" s="431">
        <f>P463</f>
        <v>0</v>
      </c>
      <c r="Q460" s="431">
        <f t="shared" si="176"/>
        <v>0</v>
      </c>
      <c r="R460" s="431">
        <f t="shared" si="176"/>
        <v>0</v>
      </c>
      <c r="S460" s="431">
        <f>S463</f>
        <v>0</v>
      </c>
      <c r="T460" s="480">
        <f t="shared" si="176"/>
        <v>0</v>
      </c>
      <c r="U460" s="479">
        <f t="shared" si="159"/>
        <v>0</v>
      </c>
      <c r="V460" s="909">
        <f t="shared" si="170"/>
        <v>1791000</v>
      </c>
      <c r="W460" s="909">
        <f t="shared" si="174"/>
        <v>1791000</v>
      </c>
      <c r="X460" s="909">
        <f t="shared" si="175"/>
        <v>1791000</v>
      </c>
    </row>
    <row r="461" spans="2:24" s="665" customFormat="1" ht="12.75">
      <c r="B461" s="661"/>
      <c r="C461" s="662"/>
      <c r="D461" s="637"/>
      <c r="E461" s="636" t="s">
        <v>290</v>
      </c>
      <c r="F461" s="637"/>
      <c r="G461" s="638"/>
      <c r="H461" s="1258" t="s">
        <v>291</v>
      </c>
      <c r="I461" s="1259"/>
      <c r="J461" s="1260"/>
      <c r="K461" s="977">
        <f aca="true" t="shared" si="177" ref="K461:T462">K462</f>
        <v>1791000</v>
      </c>
      <c r="L461" s="977">
        <f t="shared" si="177"/>
        <v>830715.63</v>
      </c>
      <c r="M461" s="977">
        <f t="shared" si="177"/>
        <v>1791000</v>
      </c>
      <c r="N461" s="977">
        <f t="shared" si="177"/>
        <v>1791000</v>
      </c>
      <c r="O461" s="663">
        <f t="shared" si="177"/>
        <v>0</v>
      </c>
      <c r="P461" s="663">
        <f t="shared" si="177"/>
        <v>0</v>
      </c>
      <c r="Q461" s="663">
        <f t="shared" si="177"/>
        <v>0</v>
      </c>
      <c r="R461" s="663">
        <f t="shared" si="177"/>
        <v>0</v>
      </c>
      <c r="S461" s="663">
        <f t="shared" si="177"/>
        <v>0</v>
      </c>
      <c r="T461" s="664">
        <f t="shared" si="177"/>
        <v>0</v>
      </c>
      <c r="U461" s="664">
        <f t="shared" si="159"/>
        <v>0</v>
      </c>
      <c r="V461" s="910">
        <f t="shared" si="170"/>
        <v>1791000</v>
      </c>
      <c r="W461" s="910">
        <f t="shared" si="174"/>
        <v>1791000</v>
      </c>
      <c r="X461" s="910">
        <f t="shared" si="175"/>
        <v>1791000</v>
      </c>
    </row>
    <row r="462" spans="2:24" ht="12.75" customHeight="1">
      <c r="B462" s="287"/>
      <c r="C462" s="288"/>
      <c r="D462" s="436"/>
      <c r="E462" s="353" t="s">
        <v>308</v>
      </c>
      <c r="F462" s="436"/>
      <c r="G462" s="437"/>
      <c r="H462" s="1171" t="s">
        <v>1361</v>
      </c>
      <c r="I462" s="1172"/>
      <c r="J462" s="1173"/>
      <c r="K462" s="1009">
        <f t="shared" si="177"/>
        <v>1791000</v>
      </c>
      <c r="L462" s="1009">
        <f t="shared" si="177"/>
        <v>830715.63</v>
      </c>
      <c r="M462" s="1009">
        <f t="shared" si="177"/>
        <v>1791000</v>
      </c>
      <c r="N462" s="1009">
        <f t="shared" si="177"/>
        <v>1791000</v>
      </c>
      <c r="O462" s="293">
        <f t="shared" si="177"/>
        <v>0</v>
      </c>
      <c r="P462" s="293">
        <f t="shared" si="177"/>
        <v>0</v>
      </c>
      <c r="Q462" s="293">
        <f t="shared" si="177"/>
        <v>0</v>
      </c>
      <c r="R462" s="293">
        <f t="shared" si="177"/>
        <v>0</v>
      </c>
      <c r="S462" s="293">
        <f t="shared" si="177"/>
        <v>0</v>
      </c>
      <c r="T462" s="341">
        <f t="shared" si="177"/>
        <v>0</v>
      </c>
      <c r="U462" s="341">
        <f t="shared" si="159"/>
        <v>0</v>
      </c>
      <c r="V462" s="682">
        <f t="shared" si="170"/>
        <v>1791000</v>
      </c>
      <c r="W462" s="682">
        <f t="shared" si="174"/>
        <v>1791000</v>
      </c>
      <c r="X462" s="682">
        <f t="shared" si="175"/>
        <v>1791000</v>
      </c>
    </row>
    <row r="463" spans="2:24" ht="12" customHeight="1">
      <c r="B463" s="438"/>
      <c r="C463" s="439"/>
      <c r="D463" s="182" t="s">
        <v>284</v>
      </c>
      <c r="E463" s="58"/>
      <c r="F463" s="440"/>
      <c r="G463" s="441"/>
      <c r="H463" s="1289" t="s">
        <v>119</v>
      </c>
      <c r="I463" s="1290"/>
      <c r="J463" s="457"/>
      <c r="K463" s="1026">
        <f aca="true" t="shared" si="178" ref="K463:T463">SUM(K464:K471)</f>
        <v>1791000</v>
      </c>
      <c r="L463" s="1026">
        <f t="shared" si="178"/>
        <v>830715.63</v>
      </c>
      <c r="M463" s="1026">
        <f t="shared" si="178"/>
        <v>1791000</v>
      </c>
      <c r="N463" s="1026">
        <f t="shared" si="178"/>
        <v>1791000</v>
      </c>
      <c r="O463" s="737">
        <f t="shared" si="178"/>
        <v>0</v>
      </c>
      <c r="P463" s="737">
        <f t="shared" si="178"/>
        <v>0</v>
      </c>
      <c r="Q463" s="737">
        <f t="shared" si="178"/>
        <v>0</v>
      </c>
      <c r="R463" s="737">
        <f t="shared" si="178"/>
        <v>0</v>
      </c>
      <c r="S463" s="737">
        <f t="shared" si="178"/>
        <v>0</v>
      </c>
      <c r="T463" s="737">
        <f t="shared" si="178"/>
        <v>0</v>
      </c>
      <c r="U463" s="344">
        <f t="shared" si="159"/>
        <v>0</v>
      </c>
      <c r="V463" s="896">
        <f t="shared" si="170"/>
        <v>1791000</v>
      </c>
      <c r="W463" s="896">
        <f t="shared" si="174"/>
        <v>1791000</v>
      </c>
      <c r="X463" s="896">
        <f t="shared" si="175"/>
        <v>1791000</v>
      </c>
    </row>
    <row r="464" spans="2:24" ht="12.75">
      <c r="B464" s="438"/>
      <c r="C464" s="439"/>
      <c r="D464" s="58"/>
      <c r="E464" s="58"/>
      <c r="F464" s="490">
        <v>323</v>
      </c>
      <c r="G464" s="360">
        <v>411</v>
      </c>
      <c r="H464" s="1297" t="s">
        <v>27</v>
      </c>
      <c r="I464" s="1298"/>
      <c r="J464" s="486"/>
      <c r="K464" s="983">
        <v>460000</v>
      </c>
      <c r="L464" s="983">
        <v>365889</v>
      </c>
      <c r="M464" s="983">
        <v>478000</v>
      </c>
      <c r="N464" s="983">
        <v>460000</v>
      </c>
      <c r="O464" s="411">
        <v>0</v>
      </c>
      <c r="P464" s="411">
        <v>0</v>
      </c>
      <c r="Q464" s="411">
        <v>0</v>
      </c>
      <c r="R464" s="411">
        <v>0</v>
      </c>
      <c r="S464" s="415">
        <v>0</v>
      </c>
      <c r="T464" s="424">
        <v>0</v>
      </c>
      <c r="U464" s="424">
        <f t="shared" si="159"/>
        <v>0</v>
      </c>
      <c r="V464" s="834">
        <f t="shared" si="170"/>
        <v>460000</v>
      </c>
      <c r="W464" s="834">
        <f t="shared" si="174"/>
        <v>460000</v>
      </c>
      <c r="X464" s="834">
        <f t="shared" si="175"/>
        <v>460000</v>
      </c>
    </row>
    <row r="465" spans="2:24" s="363" customFormat="1" ht="12.75">
      <c r="B465" s="438"/>
      <c r="C465" s="439"/>
      <c r="D465" s="58"/>
      <c r="E465" s="58"/>
      <c r="F465" s="490">
        <v>324</v>
      </c>
      <c r="G465" s="360">
        <v>412</v>
      </c>
      <c r="H465" s="1294" t="s">
        <v>79</v>
      </c>
      <c r="I465" s="1239"/>
      <c r="J465" s="1295"/>
      <c r="K465" s="1005">
        <v>85000</v>
      </c>
      <c r="L465" s="1005">
        <v>62749</v>
      </c>
      <c r="M465" s="1005">
        <v>85000</v>
      </c>
      <c r="N465" s="1005">
        <v>85000</v>
      </c>
      <c r="O465" s="411">
        <v>0</v>
      </c>
      <c r="P465" s="411">
        <v>0</v>
      </c>
      <c r="Q465" s="411">
        <v>0</v>
      </c>
      <c r="R465" s="411">
        <v>0</v>
      </c>
      <c r="S465" s="415">
        <v>0</v>
      </c>
      <c r="T465" s="424">
        <v>0</v>
      </c>
      <c r="U465" s="424">
        <f aca="true" t="shared" si="179" ref="U465:U508">SUM(O465:T465)</f>
        <v>0</v>
      </c>
      <c r="V465" s="834">
        <f t="shared" si="170"/>
        <v>85000</v>
      </c>
      <c r="W465" s="834">
        <f t="shared" si="174"/>
        <v>85000</v>
      </c>
      <c r="X465" s="834">
        <f t="shared" si="175"/>
        <v>85000</v>
      </c>
    </row>
    <row r="466" spans="2:24" s="363" customFormat="1" ht="12.75">
      <c r="B466" s="357"/>
      <c r="C466" s="364"/>
      <c r="D466" s="359"/>
      <c r="E466" s="364"/>
      <c r="F466" s="490">
        <v>325</v>
      </c>
      <c r="G466" s="452">
        <v>421</v>
      </c>
      <c r="H466" s="1287" t="s">
        <v>33</v>
      </c>
      <c r="I466" s="1288"/>
      <c r="J466" s="487"/>
      <c r="K466" s="1027">
        <v>285000</v>
      </c>
      <c r="L466" s="1027">
        <v>133929.73000000004</v>
      </c>
      <c r="M466" s="1027">
        <v>257000</v>
      </c>
      <c r="N466" s="1027">
        <v>235000</v>
      </c>
      <c r="O466" s="411">
        <v>0</v>
      </c>
      <c r="P466" s="411">
        <v>0</v>
      </c>
      <c r="Q466" s="418">
        <v>0</v>
      </c>
      <c r="R466" s="421">
        <v>0</v>
      </c>
      <c r="S466" s="415">
        <v>0</v>
      </c>
      <c r="T466" s="421">
        <v>0</v>
      </c>
      <c r="U466" s="424">
        <f t="shared" si="179"/>
        <v>0</v>
      </c>
      <c r="V466" s="634">
        <f t="shared" si="170"/>
        <v>235000</v>
      </c>
      <c r="W466" s="634">
        <f t="shared" si="174"/>
        <v>235000</v>
      </c>
      <c r="X466" s="634">
        <f t="shared" si="175"/>
        <v>235000</v>
      </c>
    </row>
    <row r="467" spans="2:24" s="363" customFormat="1" ht="12.75">
      <c r="B467" s="357"/>
      <c r="C467" s="364"/>
      <c r="D467" s="359"/>
      <c r="E467" s="364"/>
      <c r="F467" s="490">
        <v>326</v>
      </c>
      <c r="G467" s="452">
        <v>423</v>
      </c>
      <c r="H467" s="387" t="s">
        <v>35</v>
      </c>
      <c r="I467" s="443"/>
      <c r="J467" s="461"/>
      <c r="K467" s="1006">
        <v>305000</v>
      </c>
      <c r="L467" s="1006">
        <v>166103.8</v>
      </c>
      <c r="M467" s="1006">
        <v>256000</v>
      </c>
      <c r="N467" s="1006">
        <v>305000</v>
      </c>
      <c r="O467" s="411">
        <v>0</v>
      </c>
      <c r="P467" s="411">
        <v>0</v>
      </c>
      <c r="Q467" s="418">
        <v>0</v>
      </c>
      <c r="R467" s="421">
        <v>0</v>
      </c>
      <c r="S467" s="415">
        <v>0</v>
      </c>
      <c r="T467" s="421">
        <v>0</v>
      </c>
      <c r="U467" s="424">
        <f t="shared" si="179"/>
        <v>0</v>
      </c>
      <c r="V467" s="634">
        <f t="shared" si="170"/>
        <v>305000</v>
      </c>
      <c r="W467" s="634">
        <f t="shared" si="174"/>
        <v>305000</v>
      </c>
      <c r="X467" s="634">
        <f t="shared" si="175"/>
        <v>305000</v>
      </c>
    </row>
    <row r="468" spans="2:24" s="363" customFormat="1" ht="12.75">
      <c r="B468" s="357"/>
      <c r="C468" s="364"/>
      <c r="D468" s="359"/>
      <c r="E468" s="364"/>
      <c r="F468" s="490">
        <v>327</v>
      </c>
      <c r="G468" s="452">
        <v>425</v>
      </c>
      <c r="H468" s="1227" t="s">
        <v>91</v>
      </c>
      <c r="I468" s="1228"/>
      <c r="J468" s="1229"/>
      <c r="K468" s="979">
        <v>480000</v>
      </c>
      <c r="L468" s="979">
        <v>36020.58</v>
      </c>
      <c r="M468" s="979">
        <v>460000</v>
      </c>
      <c r="N468" s="979">
        <v>530000</v>
      </c>
      <c r="O468" s="418">
        <v>0</v>
      </c>
      <c r="P468" s="418">
        <v>0</v>
      </c>
      <c r="Q468" s="418">
        <v>0</v>
      </c>
      <c r="R468" s="421">
        <v>0</v>
      </c>
      <c r="S468" s="640">
        <v>0</v>
      </c>
      <c r="T468" s="421">
        <v>0</v>
      </c>
      <c r="U468" s="424">
        <f t="shared" si="179"/>
        <v>0</v>
      </c>
      <c r="V468" s="634">
        <f t="shared" si="170"/>
        <v>530000</v>
      </c>
      <c r="W468" s="634">
        <f t="shared" si="174"/>
        <v>530000</v>
      </c>
      <c r="X468" s="634">
        <f t="shared" si="175"/>
        <v>530000</v>
      </c>
    </row>
    <row r="469" spans="2:24" s="363" customFormat="1" ht="12.75">
      <c r="B469" s="357"/>
      <c r="C469" s="493"/>
      <c r="D469" s="584"/>
      <c r="E469" s="493"/>
      <c r="F469" s="490">
        <v>328</v>
      </c>
      <c r="G469" s="550">
        <v>426</v>
      </c>
      <c r="H469" s="739" t="s">
        <v>38</v>
      </c>
      <c r="I469" s="783"/>
      <c r="J469" s="552"/>
      <c r="K469" s="1028">
        <v>51000</v>
      </c>
      <c r="L469" s="1028">
        <v>9939</v>
      </c>
      <c r="M469" s="1028">
        <v>74000</v>
      </c>
      <c r="N469" s="1028">
        <v>51000</v>
      </c>
      <c r="O469" s="547">
        <v>0</v>
      </c>
      <c r="P469" s="547">
        <v>0</v>
      </c>
      <c r="Q469" s="547">
        <v>0</v>
      </c>
      <c r="R469" s="459">
        <v>0</v>
      </c>
      <c r="S469" s="784">
        <v>0</v>
      </c>
      <c r="T469" s="459">
        <v>0</v>
      </c>
      <c r="U469" s="686">
        <f t="shared" si="179"/>
        <v>0</v>
      </c>
      <c r="V469" s="634">
        <f t="shared" si="170"/>
        <v>51000</v>
      </c>
      <c r="W469" s="634">
        <f t="shared" si="174"/>
        <v>51000</v>
      </c>
      <c r="X469" s="634">
        <f t="shared" si="175"/>
        <v>51000</v>
      </c>
    </row>
    <row r="470" spans="2:24" s="363" customFormat="1" ht="12.75">
      <c r="B470" s="782"/>
      <c r="C470" s="495"/>
      <c r="D470" s="548"/>
      <c r="E470" s="495"/>
      <c r="F470" s="490">
        <v>329</v>
      </c>
      <c r="G470" s="492">
        <v>482</v>
      </c>
      <c r="H470" s="1233" t="s">
        <v>82</v>
      </c>
      <c r="I470" s="1233"/>
      <c r="J470" s="1233"/>
      <c r="K470" s="1029">
        <v>25000</v>
      </c>
      <c r="L470" s="1029">
        <v>0</v>
      </c>
      <c r="M470" s="1029">
        <v>25000</v>
      </c>
      <c r="N470" s="1029">
        <v>25000</v>
      </c>
      <c r="O470" s="465">
        <v>0</v>
      </c>
      <c r="P470" s="465">
        <v>0</v>
      </c>
      <c r="Q470" s="465">
        <v>0</v>
      </c>
      <c r="R470" s="465">
        <v>0</v>
      </c>
      <c r="S470" s="640">
        <v>0</v>
      </c>
      <c r="T470" s="465">
        <v>0</v>
      </c>
      <c r="U470" s="770">
        <f t="shared" si="179"/>
        <v>0</v>
      </c>
      <c r="V470" s="634">
        <f t="shared" si="170"/>
        <v>25000</v>
      </c>
      <c r="W470" s="634">
        <f t="shared" si="174"/>
        <v>25000</v>
      </c>
      <c r="X470" s="634">
        <f t="shared" si="175"/>
        <v>25000</v>
      </c>
    </row>
    <row r="471" spans="2:24" s="363" customFormat="1" ht="12.75">
      <c r="B471" s="463"/>
      <c r="C471" s="495"/>
      <c r="D471" s="548"/>
      <c r="E471" s="495"/>
      <c r="F471" s="490">
        <v>330</v>
      </c>
      <c r="G471" s="492">
        <v>513</v>
      </c>
      <c r="H471" s="1296" t="s">
        <v>1365</v>
      </c>
      <c r="I471" s="1296"/>
      <c r="J471" s="1296"/>
      <c r="K471" s="1029">
        <v>100000</v>
      </c>
      <c r="L471" s="1029">
        <v>56084.52</v>
      </c>
      <c r="M471" s="1029">
        <v>156000</v>
      </c>
      <c r="N471" s="1029">
        <v>100000</v>
      </c>
      <c r="O471" s="465">
        <v>0</v>
      </c>
      <c r="P471" s="465">
        <v>0</v>
      </c>
      <c r="Q471" s="465">
        <v>0</v>
      </c>
      <c r="R471" s="465">
        <v>0</v>
      </c>
      <c r="S471" s="465">
        <v>0</v>
      </c>
      <c r="T471" s="465">
        <v>0</v>
      </c>
      <c r="U471" s="770">
        <f t="shared" si="179"/>
        <v>0</v>
      </c>
      <c r="V471" s="634">
        <f t="shared" si="170"/>
        <v>100000</v>
      </c>
      <c r="W471" s="634">
        <f t="shared" si="174"/>
        <v>100000</v>
      </c>
      <c r="X471" s="634">
        <f t="shared" si="175"/>
        <v>100000</v>
      </c>
    </row>
    <row r="472" spans="2:24" s="363" customFormat="1" ht="12.75">
      <c r="B472" s="729"/>
      <c r="C472" s="730" t="s">
        <v>1326</v>
      </c>
      <c r="D472" s="731"/>
      <c r="E472" s="729"/>
      <c r="F472" s="731"/>
      <c r="G472" s="731"/>
      <c r="H472" s="1291" t="s">
        <v>126</v>
      </c>
      <c r="I472" s="1292"/>
      <c r="J472" s="1293"/>
      <c r="K472" s="1030">
        <f>K475</f>
        <v>1836000</v>
      </c>
      <c r="L472" s="1030">
        <f>L475</f>
        <v>1210436.76</v>
      </c>
      <c r="M472" s="1030">
        <f>M475</f>
        <v>1860000</v>
      </c>
      <c r="N472" s="1030">
        <f>N475</f>
        <v>1856000</v>
      </c>
      <c r="O472" s="732">
        <f aca="true" t="shared" si="180" ref="O472:T472">O475</f>
        <v>0</v>
      </c>
      <c r="P472" s="733">
        <f>P475</f>
        <v>0</v>
      </c>
      <c r="Q472" s="734">
        <f t="shared" si="180"/>
        <v>0</v>
      </c>
      <c r="R472" s="734">
        <f t="shared" si="180"/>
        <v>100000</v>
      </c>
      <c r="S472" s="734">
        <f>S475</f>
        <v>0</v>
      </c>
      <c r="T472" s="735">
        <f t="shared" si="180"/>
        <v>0</v>
      </c>
      <c r="U472" s="736">
        <f t="shared" si="179"/>
        <v>100000</v>
      </c>
      <c r="V472" s="909">
        <f t="shared" si="170"/>
        <v>1956000</v>
      </c>
      <c r="W472" s="909">
        <f t="shared" si="174"/>
        <v>1956000</v>
      </c>
      <c r="X472" s="909">
        <f t="shared" si="175"/>
        <v>1956000</v>
      </c>
    </row>
    <row r="473" spans="2:24" s="665" customFormat="1" ht="12.75">
      <c r="B473" s="716"/>
      <c r="C473" s="717"/>
      <c r="D473" s="718"/>
      <c r="E473" s="719" t="s">
        <v>290</v>
      </c>
      <c r="F473" s="718"/>
      <c r="G473" s="718"/>
      <c r="H473" s="1299" t="s">
        <v>291</v>
      </c>
      <c r="I473" s="1300"/>
      <c r="J473" s="1300"/>
      <c r="K473" s="1031">
        <f aca="true" t="shared" si="181" ref="K473:T474">K474</f>
        <v>1836000</v>
      </c>
      <c r="L473" s="1031">
        <f t="shared" si="181"/>
        <v>1210436.76</v>
      </c>
      <c r="M473" s="1031">
        <f t="shared" si="181"/>
        <v>1860000</v>
      </c>
      <c r="N473" s="1031">
        <f t="shared" si="181"/>
        <v>1856000</v>
      </c>
      <c r="O473" s="720">
        <f t="shared" si="181"/>
        <v>0</v>
      </c>
      <c r="P473" s="663">
        <f t="shared" si="181"/>
        <v>0</v>
      </c>
      <c r="Q473" s="663">
        <f t="shared" si="181"/>
        <v>0</v>
      </c>
      <c r="R473" s="663">
        <f t="shared" si="181"/>
        <v>100000</v>
      </c>
      <c r="S473" s="663">
        <f t="shared" si="181"/>
        <v>0</v>
      </c>
      <c r="T473" s="664">
        <f t="shared" si="181"/>
        <v>0</v>
      </c>
      <c r="U473" s="664">
        <f t="shared" si="179"/>
        <v>100000</v>
      </c>
      <c r="V473" s="910">
        <f t="shared" si="170"/>
        <v>1956000</v>
      </c>
      <c r="W473" s="910">
        <f t="shared" si="174"/>
        <v>1956000</v>
      </c>
      <c r="X473" s="910">
        <f t="shared" si="175"/>
        <v>1956000</v>
      </c>
    </row>
    <row r="474" spans="2:24" s="363" customFormat="1" ht="12.75" customHeight="1">
      <c r="B474" s="287"/>
      <c r="C474" s="288"/>
      <c r="D474" s="436"/>
      <c r="E474" s="353" t="s">
        <v>308</v>
      </c>
      <c r="F474" s="436"/>
      <c r="G474" s="437"/>
      <c r="H474" s="1171" t="s">
        <v>1361</v>
      </c>
      <c r="I474" s="1172"/>
      <c r="J474" s="1173"/>
      <c r="K474" s="1009">
        <f t="shared" si="181"/>
        <v>1836000</v>
      </c>
      <c r="L474" s="1009">
        <f t="shared" si="181"/>
        <v>1210436.76</v>
      </c>
      <c r="M474" s="1009">
        <f t="shared" si="181"/>
        <v>1860000</v>
      </c>
      <c r="N474" s="1009">
        <f t="shared" si="181"/>
        <v>1856000</v>
      </c>
      <c r="O474" s="293">
        <f t="shared" si="181"/>
        <v>0</v>
      </c>
      <c r="P474" s="293">
        <f t="shared" si="181"/>
        <v>0</v>
      </c>
      <c r="Q474" s="293">
        <f t="shared" si="181"/>
        <v>0</v>
      </c>
      <c r="R474" s="293">
        <f t="shared" si="181"/>
        <v>100000</v>
      </c>
      <c r="S474" s="293">
        <f t="shared" si="181"/>
        <v>0</v>
      </c>
      <c r="T474" s="341">
        <f t="shared" si="181"/>
        <v>0</v>
      </c>
      <c r="U474" s="341">
        <f t="shared" si="179"/>
        <v>100000</v>
      </c>
      <c r="V474" s="682">
        <f t="shared" si="170"/>
        <v>1956000</v>
      </c>
      <c r="W474" s="682">
        <f t="shared" si="174"/>
        <v>1956000</v>
      </c>
      <c r="X474" s="682">
        <f t="shared" si="175"/>
        <v>1956000</v>
      </c>
    </row>
    <row r="475" spans="2:24" s="363" customFormat="1" ht="12.75">
      <c r="B475" s="488"/>
      <c r="C475" s="489"/>
      <c r="D475" s="182" t="s">
        <v>284</v>
      </c>
      <c r="E475" s="290"/>
      <c r="F475" s="490"/>
      <c r="G475" s="491"/>
      <c r="H475" s="1283" t="s">
        <v>119</v>
      </c>
      <c r="I475" s="1284"/>
      <c r="J475" s="1285"/>
      <c r="K475" s="1020">
        <f>SUM(K476:K484)</f>
        <v>1836000</v>
      </c>
      <c r="L475" s="1020">
        <f>SUM(L476:L484)</f>
        <v>1210436.76</v>
      </c>
      <c r="M475" s="1020">
        <f>SUM(M476:M484)</f>
        <v>1860000</v>
      </c>
      <c r="N475" s="1020">
        <f>SUM(N476:N484)</f>
        <v>1856000</v>
      </c>
      <c r="O475" s="60">
        <f aca="true" t="shared" si="182" ref="O475:T475">SUM(O476:O484)</f>
        <v>0</v>
      </c>
      <c r="P475" s="60">
        <f t="shared" si="182"/>
        <v>0</v>
      </c>
      <c r="Q475" s="60">
        <f t="shared" si="182"/>
        <v>0</v>
      </c>
      <c r="R475" s="60">
        <f t="shared" si="182"/>
        <v>100000</v>
      </c>
      <c r="S475" s="60">
        <f t="shared" si="182"/>
        <v>0</v>
      </c>
      <c r="T475" s="348">
        <f t="shared" si="182"/>
        <v>0</v>
      </c>
      <c r="U475" s="381">
        <f t="shared" si="179"/>
        <v>100000</v>
      </c>
      <c r="V475" s="896">
        <f t="shared" si="170"/>
        <v>1956000</v>
      </c>
      <c r="W475" s="896">
        <f t="shared" si="174"/>
        <v>1956000</v>
      </c>
      <c r="X475" s="896">
        <f t="shared" si="175"/>
        <v>1956000</v>
      </c>
    </row>
    <row r="476" spans="2:24" s="363" customFormat="1" ht="12.75">
      <c r="B476" s="376"/>
      <c r="C476" s="369"/>
      <c r="D476" s="61"/>
      <c r="E476" s="291"/>
      <c r="F476" s="440">
        <v>331</v>
      </c>
      <c r="G476" s="492">
        <v>421</v>
      </c>
      <c r="H476" s="1286" t="s">
        <v>33</v>
      </c>
      <c r="I476" s="1180"/>
      <c r="J476" s="1181"/>
      <c r="K476" s="987">
        <v>239000</v>
      </c>
      <c r="L476" s="987">
        <v>132309.99000000002</v>
      </c>
      <c r="M476" s="987">
        <v>215000</v>
      </c>
      <c r="N476" s="987">
        <v>240000</v>
      </c>
      <c r="O476" s="449">
        <v>0</v>
      </c>
      <c r="P476" s="449">
        <v>0</v>
      </c>
      <c r="Q476" s="449">
        <v>0</v>
      </c>
      <c r="R476" s="422">
        <v>0</v>
      </c>
      <c r="S476" s="415">
        <v>0</v>
      </c>
      <c r="T476" s="422">
        <v>0</v>
      </c>
      <c r="U476" s="430">
        <f t="shared" si="179"/>
        <v>0</v>
      </c>
      <c r="V476" s="634">
        <f t="shared" si="170"/>
        <v>240000</v>
      </c>
      <c r="W476" s="634">
        <f t="shared" si="174"/>
        <v>240000</v>
      </c>
      <c r="X476" s="634">
        <f t="shared" si="175"/>
        <v>240000</v>
      </c>
    </row>
    <row r="477" spans="2:24" ht="12.75">
      <c r="B477" s="357"/>
      <c r="C477" s="364"/>
      <c r="D477" s="56"/>
      <c r="E477" s="291"/>
      <c r="F477" s="440">
        <v>332</v>
      </c>
      <c r="G477" s="473">
        <v>422</v>
      </c>
      <c r="H477" s="1227" t="s">
        <v>34</v>
      </c>
      <c r="I477" s="1228"/>
      <c r="J477" s="1229"/>
      <c r="K477" s="979">
        <v>10000</v>
      </c>
      <c r="L477" s="979">
        <v>0</v>
      </c>
      <c r="M477" s="979">
        <v>1000</v>
      </c>
      <c r="N477" s="979">
        <v>10000</v>
      </c>
      <c r="O477" s="418">
        <v>0</v>
      </c>
      <c r="P477" s="418">
        <v>0</v>
      </c>
      <c r="Q477" s="418">
        <v>0</v>
      </c>
      <c r="R477" s="421">
        <v>0</v>
      </c>
      <c r="S477" s="415">
        <v>0</v>
      </c>
      <c r="T477" s="421">
        <v>0</v>
      </c>
      <c r="U477" s="424">
        <f t="shared" si="179"/>
        <v>0</v>
      </c>
      <c r="V477" s="634">
        <f t="shared" si="170"/>
        <v>10000</v>
      </c>
      <c r="W477" s="634">
        <f t="shared" si="174"/>
        <v>10000</v>
      </c>
      <c r="X477" s="634">
        <f t="shared" si="175"/>
        <v>10000</v>
      </c>
    </row>
    <row r="478" spans="2:24" ht="12.75">
      <c r="B478" s="357"/>
      <c r="C478" s="364"/>
      <c r="D478" s="56"/>
      <c r="E478" s="291"/>
      <c r="F478" s="440">
        <v>333</v>
      </c>
      <c r="G478" s="452">
        <v>423</v>
      </c>
      <c r="H478" s="1227" t="s">
        <v>35</v>
      </c>
      <c r="I478" s="1228"/>
      <c r="J478" s="1229"/>
      <c r="K478" s="979">
        <v>380000</v>
      </c>
      <c r="L478" s="979">
        <v>238542.98</v>
      </c>
      <c r="M478" s="979">
        <v>402000</v>
      </c>
      <c r="N478" s="979">
        <v>379000</v>
      </c>
      <c r="O478" s="418">
        <v>0</v>
      </c>
      <c r="P478" s="418">
        <v>0</v>
      </c>
      <c r="Q478" s="418">
        <v>0</v>
      </c>
      <c r="R478" s="418">
        <v>0</v>
      </c>
      <c r="S478" s="415">
        <v>0</v>
      </c>
      <c r="T478" s="421">
        <v>0</v>
      </c>
      <c r="U478" s="424">
        <f t="shared" si="179"/>
        <v>0</v>
      </c>
      <c r="V478" s="634">
        <f t="shared" si="170"/>
        <v>379000</v>
      </c>
      <c r="W478" s="634">
        <f t="shared" si="174"/>
        <v>379000</v>
      </c>
      <c r="X478" s="634">
        <f t="shared" si="175"/>
        <v>379000</v>
      </c>
    </row>
    <row r="479" spans="2:24" ht="12.75">
      <c r="B479" s="357"/>
      <c r="C479" s="364"/>
      <c r="D479" s="56"/>
      <c r="E479" s="291"/>
      <c r="F479" s="440">
        <v>334</v>
      </c>
      <c r="G479" s="452">
        <v>424</v>
      </c>
      <c r="H479" s="1227" t="s">
        <v>36</v>
      </c>
      <c r="I479" s="1228"/>
      <c r="J479" s="1229"/>
      <c r="K479" s="979">
        <v>366000</v>
      </c>
      <c r="L479" s="979">
        <v>170026.49</v>
      </c>
      <c r="M479" s="979">
        <v>392000</v>
      </c>
      <c r="N479" s="979">
        <v>386000</v>
      </c>
      <c r="O479" s="418">
        <v>0</v>
      </c>
      <c r="P479" s="418">
        <v>0</v>
      </c>
      <c r="Q479" s="418">
        <v>0</v>
      </c>
      <c r="R479" s="418">
        <v>30000</v>
      </c>
      <c r="S479" s="415">
        <v>0</v>
      </c>
      <c r="T479" s="421">
        <v>0</v>
      </c>
      <c r="U479" s="424">
        <f t="shared" si="179"/>
        <v>30000</v>
      </c>
      <c r="V479" s="634">
        <f t="shared" si="170"/>
        <v>416000</v>
      </c>
      <c r="W479" s="634">
        <f t="shared" si="174"/>
        <v>416000</v>
      </c>
      <c r="X479" s="634">
        <f t="shared" si="175"/>
        <v>416000</v>
      </c>
    </row>
    <row r="480" spans="2:24" ht="12.75">
      <c r="B480" s="357"/>
      <c r="C480" s="364"/>
      <c r="D480" s="56"/>
      <c r="E480" s="291"/>
      <c r="F480" s="440">
        <v>335</v>
      </c>
      <c r="G480" s="452">
        <v>425</v>
      </c>
      <c r="H480" s="1227" t="s">
        <v>91</v>
      </c>
      <c r="I480" s="1228"/>
      <c r="J480" s="1229"/>
      <c r="K480" s="979">
        <v>368000</v>
      </c>
      <c r="L480" s="979">
        <v>331706.47000000003</v>
      </c>
      <c r="M480" s="979">
        <v>373000</v>
      </c>
      <c r="N480" s="979">
        <v>368000</v>
      </c>
      <c r="O480" s="418">
        <v>0</v>
      </c>
      <c r="P480" s="418">
        <v>0</v>
      </c>
      <c r="Q480" s="418">
        <v>0</v>
      </c>
      <c r="R480" s="418">
        <v>70000</v>
      </c>
      <c r="S480" s="415">
        <v>0</v>
      </c>
      <c r="T480" s="421">
        <v>0</v>
      </c>
      <c r="U480" s="424">
        <f t="shared" si="179"/>
        <v>70000</v>
      </c>
      <c r="V480" s="634">
        <f t="shared" si="170"/>
        <v>438000</v>
      </c>
      <c r="W480" s="634">
        <f t="shared" si="174"/>
        <v>438000</v>
      </c>
      <c r="X480" s="634">
        <f t="shared" si="175"/>
        <v>438000</v>
      </c>
    </row>
    <row r="481" spans="2:24" ht="12.75">
      <c r="B481" s="357"/>
      <c r="C481" s="364"/>
      <c r="D481" s="56"/>
      <c r="E481" s="291"/>
      <c r="F481" s="490">
        <v>336</v>
      </c>
      <c r="G481" s="452">
        <v>426</v>
      </c>
      <c r="H481" s="1179" t="s">
        <v>38</v>
      </c>
      <c r="I481" s="1180"/>
      <c r="J481" s="1181"/>
      <c r="K481" s="979">
        <v>128000</v>
      </c>
      <c r="L481" s="979">
        <v>111652.75000000001</v>
      </c>
      <c r="M481" s="979">
        <v>132000</v>
      </c>
      <c r="N481" s="979">
        <v>128000</v>
      </c>
      <c r="O481" s="418">
        <v>0</v>
      </c>
      <c r="P481" s="418">
        <v>0</v>
      </c>
      <c r="Q481" s="418">
        <v>0</v>
      </c>
      <c r="R481" s="418">
        <v>0</v>
      </c>
      <c r="S481" s="415">
        <v>0</v>
      </c>
      <c r="T481" s="421">
        <v>0</v>
      </c>
      <c r="U481" s="424">
        <f t="shared" si="179"/>
        <v>0</v>
      </c>
      <c r="V481" s="634">
        <f t="shared" si="170"/>
        <v>128000</v>
      </c>
      <c r="W481" s="634">
        <f t="shared" si="174"/>
        <v>128000</v>
      </c>
      <c r="X481" s="634">
        <f t="shared" si="175"/>
        <v>128000</v>
      </c>
    </row>
    <row r="482" spans="2:24" ht="12.75">
      <c r="B482" s="357"/>
      <c r="C482" s="364"/>
      <c r="D482" s="56"/>
      <c r="E482" s="291"/>
      <c r="F482" s="490">
        <v>337</v>
      </c>
      <c r="G482" s="452">
        <v>482</v>
      </c>
      <c r="H482" s="1227" t="s">
        <v>82</v>
      </c>
      <c r="I482" s="1228"/>
      <c r="J482" s="1229"/>
      <c r="K482" s="979">
        <v>250000</v>
      </c>
      <c r="L482" s="979">
        <v>200698.08000000002</v>
      </c>
      <c r="M482" s="979">
        <v>250000</v>
      </c>
      <c r="N482" s="979">
        <v>250000</v>
      </c>
      <c r="O482" s="418">
        <v>0</v>
      </c>
      <c r="P482" s="418">
        <v>0</v>
      </c>
      <c r="Q482" s="418">
        <v>0</v>
      </c>
      <c r="R482" s="421">
        <v>0</v>
      </c>
      <c r="S482" s="415">
        <v>0</v>
      </c>
      <c r="T482" s="421">
        <v>0</v>
      </c>
      <c r="U482" s="424">
        <f t="shared" si="179"/>
        <v>0</v>
      </c>
      <c r="V482" s="634">
        <f t="shared" si="170"/>
        <v>250000</v>
      </c>
      <c r="W482" s="634">
        <f t="shared" si="174"/>
        <v>250000</v>
      </c>
      <c r="X482" s="634">
        <f t="shared" si="175"/>
        <v>250000</v>
      </c>
    </row>
    <row r="483" spans="2:24" ht="12.75">
      <c r="B483" s="357"/>
      <c r="C483" s="364"/>
      <c r="D483" s="56"/>
      <c r="E483" s="291"/>
      <c r="F483" s="490">
        <v>338</v>
      </c>
      <c r="G483" s="452">
        <v>511</v>
      </c>
      <c r="H483" s="1179" t="s">
        <v>1480</v>
      </c>
      <c r="I483" s="1180"/>
      <c r="J483" s="1181"/>
      <c r="K483" s="979">
        <v>30000</v>
      </c>
      <c r="L483" s="979">
        <v>0</v>
      </c>
      <c r="M483" s="979">
        <v>30000</v>
      </c>
      <c r="N483" s="979">
        <v>30000</v>
      </c>
      <c r="O483" s="418">
        <v>0</v>
      </c>
      <c r="P483" s="418">
        <v>0</v>
      </c>
      <c r="Q483" s="418">
        <v>0</v>
      </c>
      <c r="R483" s="421">
        <v>0</v>
      </c>
      <c r="S483" s="415">
        <v>0</v>
      </c>
      <c r="T483" s="421">
        <v>0</v>
      </c>
      <c r="U483" s="424">
        <f t="shared" si="179"/>
        <v>0</v>
      </c>
      <c r="V483" s="634">
        <f t="shared" si="170"/>
        <v>30000</v>
      </c>
      <c r="W483" s="634">
        <f t="shared" si="174"/>
        <v>30000</v>
      </c>
      <c r="X483" s="634">
        <f t="shared" si="175"/>
        <v>30000</v>
      </c>
    </row>
    <row r="484" spans="2:24" ht="12.75">
      <c r="B484" s="357"/>
      <c r="C484" s="364"/>
      <c r="D484" s="56"/>
      <c r="E484" s="291"/>
      <c r="F484" s="490">
        <v>339</v>
      </c>
      <c r="G484" s="442">
        <v>512</v>
      </c>
      <c r="H484" s="1179" t="s">
        <v>83</v>
      </c>
      <c r="I484" s="1180"/>
      <c r="J484" s="1181"/>
      <c r="K484" s="979">
        <v>65000</v>
      </c>
      <c r="L484" s="979">
        <v>25500</v>
      </c>
      <c r="M484" s="979">
        <v>65000</v>
      </c>
      <c r="N484" s="979">
        <v>65000</v>
      </c>
      <c r="O484" s="418">
        <v>0</v>
      </c>
      <c r="P484" s="418">
        <v>0</v>
      </c>
      <c r="Q484" s="418">
        <v>0</v>
      </c>
      <c r="R484" s="421">
        <v>0</v>
      </c>
      <c r="S484" s="415">
        <v>0</v>
      </c>
      <c r="T484" s="421">
        <v>0</v>
      </c>
      <c r="U484" s="424">
        <f t="shared" si="179"/>
        <v>0</v>
      </c>
      <c r="V484" s="634">
        <f t="shared" si="170"/>
        <v>65000</v>
      </c>
      <c r="W484" s="634">
        <f t="shared" si="174"/>
        <v>65000</v>
      </c>
      <c r="X484" s="634">
        <f t="shared" si="175"/>
        <v>65000</v>
      </c>
    </row>
    <row r="485" spans="2:24" ht="12.75">
      <c r="B485" s="466"/>
      <c r="C485" s="474" t="s">
        <v>1327</v>
      </c>
      <c r="D485" s="475"/>
      <c r="E485" s="476"/>
      <c r="F485" s="475"/>
      <c r="G485" s="477"/>
      <c r="H485" s="1177" t="s">
        <v>127</v>
      </c>
      <c r="I485" s="1178"/>
      <c r="J485" s="1178"/>
      <c r="K485" s="1025">
        <f>K488</f>
        <v>685000</v>
      </c>
      <c r="L485" s="1025">
        <f>L488</f>
        <v>178634.56</v>
      </c>
      <c r="M485" s="1025">
        <f>M488</f>
        <v>685000</v>
      </c>
      <c r="N485" s="1025">
        <f>N488</f>
        <v>685000</v>
      </c>
      <c r="O485" s="431">
        <f aca="true" t="shared" si="183" ref="O485:T485">O488</f>
        <v>0</v>
      </c>
      <c r="P485" s="431">
        <f>P488</f>
        <v>0</v>
      </c>
      <c r="Q485" s="431">
        <f t="shared" si="183"/>
        <v>0</v>
      </c>
      <c r="R485" s="431">
        <f t="shared" si="183"/>
        <v>900000</v>
      </c>
      <c r="S485" s="431">
        <f>S488</f>
        <v>0</v>
      </c>
      <c r="T485" s="480">
        <f t="shared" si="183"/>
        <v>0</v>
      </c>
      <c r="U485" s="479">
        <f t="shared" si="179"/>
        <v>900000</v>
      </c>
      <c r="V485" s="909">
        <f t="shared" si="170"/>
        <v>1585000</v>
      </c>
      <c r="W485" s="909">
        <f t="shared" si="174"/>
        <v>1585000</v>
      </c>
      <c r="X485" s="909">
        <f t="shared" si="175"/>
        <v>1585000</v>
      </c>
    </row>
    <row r="486" spans="2:24" s="721" customFormat="1" ht="12.75">
      <c r="B486" s="661"/>
      <c r="C486" s="662"/>
      <c r="D486" s="637"/>
      <c r="E486" s="636" t="s">
        <v>290</v>
      </c>
      <c r="F486" s="637"/>
      <c r="G486" s="638"/>
      <c r="H486" s="1258" t="s">
        <v>291</v>
      </c>
      <c r="I486" s="1259"/>
      <c r="J486" s="1260"/>
      <c r="K486" s="977">
        <f aca="true" t="shared" si="184" ref="K486:T487">K487</f>
        <v>685000</v>
      </c>
      <c r="L486" s="977">
        <f t="shared" si="184"/>
        <v>178634.56</v>
      </c>
      <c r="M486" s="977">
        <f t="shared" si="184"/>
        <v>685000</v>
      </c>
      <c r="N486" s="977">
        <f t="shared" si="184"/>
        <v>685000</v>
      </c>
      <c r="O486" s="663">
        <f t="shared" si="184"/>
        <v>0</v>
      </c>
      <c r="P486" s="663">
        <f t="shared" si="184"/>
        <v>0</v>
      </c>
      <c r="Q486" s="663">
        <f t="shared" si="184"/>
        <v>0</v>
      </c>
      <c r="R486" s="663">
        <f t="shared" si="184"/>
        <v>900000</v>
      </c>
      <c r="S486" s="663">
        <f t="shared" si="184"/>
        <v>0</v>
      </c>
      <c r="T486" s="664">
        <f t="shared" si="184"/>
        <v>0</v>
      </c>
      <c r="U486" s="664">
        <f t="shared" si="179"/>
        <v>900000</v>
      </c>
      <c r="V486" s="910">
        <f aca="true" t="shared" si="185" ref="V486:V493">SUM(N486:T486)</f>
        <v>1585000</v>
      </c>
      <c r="W486" s="910">
        <f t="shared" si="174"/>
        <v>1585000</v>
      </c>
      <c r="X486" s="910">
        <f t="shared" si="175"/>
        <v>1585000</v>
      </c>
    </row>
    <row r="487" spans="2:24" ht="12.75" customHeight="1">
      <c r="B487" s="287"/>
      <c r="C487" s="288"/>
      <c r="D487" s="436"/>
      <c r="E487" s="353" t="s">
        <v>308</v>
      </c>
      <c r="F487" s="436"/>
      <c r="G487" s="437"/>
      <c r="H487" s="1171" t="s">
        <v>1361</v>
      </c>
      <c r="I487" s="1172"/>
      <c r="J487" s="1173"/>
      <c r="K487" s="1009">
        <f t="shared" si="184"/>
        <v>685000</v>
      </c>
      <c r="L487" s="1009">
        <f t="shared" si="184"/>
        <v>178634.56</v>
      </c>
      <c r="M487" s="1009">
        <f t="shared" si="184"/>
        <v>685000</v>
      </c>
      <c r="N487" s="1009">
        <f t="shared" si="184"/>
        <v>685000</v>
      </c>
      <c r="O487" s="293">
        <f t="shared" si="184"/>
        <v>0</v>
      </c>
      <c r="P487" s="293">
        <f t="shared" si="184"/>
        <v>0</v>
      </c>
      <c r="Q487" s="293">
        <f t="shared" si="184"/>
        <v>0</v>
      </c>
      <c r="R487" s="293">
        <f t="shared" si="184"/>
        <v>900000</v>
      </c>
      <c r="S487" s="293">
        <f t="shared" si="184"/>
        <v>0</v>
      </c>
      <c r="T487" s="341">
        <f t="shared" si="184"/>
        <v>0</v>
      </c>
      <c r="U487" s="341">
        <f t="shared" si="179"/>
        <v>900000</v>
      </c>
      <c r="V487" s="682">
        <f t="shared" si="185"/>
        <v>1585000</v>
      </c>
      <c r="W487" s="682">
        <f t="shared" si="174"/>
        <v>1585000</v>
      </c>
      <c r="X487" s="682">
        <f t="shared" si="175"/>
        <v>1585000</v>
      </c>
    </row>
    <row r="488" spans="2:24" ht="12.75">
      <c r="B488" s="438"/>
      <c r="C488" s="439"/>
      <c r="D488" s="182" t="s">
        <v>284</v>
      </c>
      <c r="E488" s="58"/>
      <c r="F488" s="440"/>
      <c r="G488" s="441"/>
      <c r="H488" s="1162" t="s">
        <v>119</v>
      </c>
      <c r="I488" s="1163"/>
      <c r="J488" s="453"/>
      <c r="K488" s="994">
        <f>SUM(K489:K495)</f>
        <v>685000</v>
      </c>
      <c r="L488" s="994">
        <f>SUM(L489:L495)</f>
        <v>178634.56</v>
      </c>
      <c r="M488" s="994">
        <f>SUM(M489:M495)</f>
        <v>685000</v>
      </c>
      <c r="N488" s="994">
        <f>SUM(N489:N495)</f>
        <v>685000</v>
      </c>
      <c r="O488" s="66">
        <f aca="true" t="shared" si="186" ref="O488:T488">SUM(O489:O495)</f>
        <v>0</v>
      </c>
      <c r="P488" s="66">
        <f t="shared" si="186"/>
        <v>0</v>
      </c>
      <c r="Q488" s="66">
        <f t="shared" si="186"/>
        <v>0</v>
      </c>
      <c r="R488" s="66">
        <f t="shared" si="186"/>
        <v>900000</v>
      </c>
      <c r="S488" s="66">
        <f t="shared" si="186"/>
        <v>0</v>
      </c>
      <c r="T488" s="66">
        <f t="shared" si="186"/>
        <v>0</v>
      </c>
      <c r="U488" s="344">
        <f t="shared" si="179"/>
        <v>900000</v>
      </c>
      <c r="V488" s="896">
        <f t="shared" si="185"/>
        <v>1585000</v>
      </c>
      <c r="W488" s="896">
        <f t="shared" si="174"/>
        <v>1585000</v>
      </c>
      <c r="X488" s="896">
        <f t="shared" si="175"/>
        <v>1585000</v>
      </c>
    </row>
    <row r="489" spans="2:24" ht="12.75">
      <c r="B489" s="357"/>
      <c r="C489" s="364"/>
      <c r="D489" s="56"/>
      <c r="E489" s="182"/>
      <c r="F489" s="440">
        <v>340</v>
      </c>
      <c r="G489" s="452">
        <v>421</v>
      </c>
      <c r="H489" s="1227" t="s">
        <v>33</v>
      </c>
      <c r="I489" s="1228"/>
      <c r="J489" s="461"/>
      <c r="K489" s="1006">
        <v>53000</v>
      </c>
      <c r="L489" s="1006">
        <v>46539.75</v>
      </c>
      <c r="M489" s="1006">
        <v>53000</v>
      </c>
      <c r="N489" s="1006">
        <v>55000</v>
      </c>
      <c r="O489" s="418">
        <v>0</v>
      </c>
      <c r="P489" s="547">
        <v>0</v>
      </c>
      <c r="Q489" s="547">
        <v>0</v>
      </c>
      <c r="R489" s="633">
        <v>60000</v>
      </c>
      <c r="S489" s="470">
        <v>0</v>
      </c>
      <c r="T489" s="459">
        <v>0</v>
      </c>
      <c r="U489" s="686">
        <f t="shared" si="179"/>
        <v>60000</v>
      </c>
      <c r="V489" s="634">
        <f t="shared" si="185"/>
        <v>115000</v>
      </c>
      <c r="W489" s="634">
        <f t="shared" si="174"/>
        <v>115000</v>
      </c>
      <c r="X489" s="634">
        <f t="shared" si="175"/>
        <v>115000</v>
      </c>
    </row>
    <row r="490" spans="2:24" ht="12.75">
      <c r="B490" s="357"/>
      <c r="C490" s="364"/>
      <c r="D490" s="56"/>
      <c r="E490" s="182"/>
      <c r="F490" s="440">
        <v>341</v>
      </c>
      <c r="G490" s="452">
        <v>422</v>
      </c>
      <c r="H490" s="1227" t="s">
        <v>34</v>
      </c>
      <c r="I490" s="1228"/>
      <c r="J490" s="461"/>
      <c r="K490" s="1006">
        <v>29000</v>
      </c>
      <c r="L490" s="1006">
        <v>21965</v>
      </c>
      <c r="M490" s="1006">
        <v>29000</v>
      </c>
      <c r="N490" s="1006">
        <v>30000</v>
      </c>
      <c r="O490" s="421">
        <v>0</v>
      </c>
      <c r="P490" s="465">
        <v>0</v>
      </c>
      <c r="Q490" s="465">
        <v>0</v>
      </c>
      <c r="R490" s="465">
        <v>0</v>
      </c>
      <c r="S490" s="640">
        <v>0</v>
      </c>
      <c r="T490" s="465">
        <v>0</v>
      </c>
      <c r="U490" s="770">
        <f t="shared" si="179"/>
        <v>0</v>
      </c>
      <c r="V490" s="634">
        <f t="shared" si="185"/>
        <v>30000</v>
      </c>
      <c r="W490" s="634">
        <f t="shared" si="174"/>
        <v>30000</v>
      </c>
      <c r="X490" s="634">
        <f t="shared" si="175"/>
        <v>30000</v>
      </c>
    </row>
    <row r="491" spans="2:24" ht="12.75">
      <c r="B491" s="357"/>
      <c r="C491" s="364"/>
      <c r="D491" s="56"/>
      <c r="E491" s="182"/>
      <c r="F491" s="440">
        <v>342</v>
      </c>
      <c r="G491" s="452">
        <v>423</v>
      </c>
      <c r="H491" s="1227" t="s">
        <v>35</v>
      </c>
      <c r="I491" s="1228"/>
      <c r="J491" s="461"/>
      <c r="K491" s="1006">
        <v>300000</v>
      </c>
      <c r="L491" s="1006">
        <v>103785.80999999998</v>
      </c>
      <c r="M491" s="1006">
        <v>300000</v>
      </c>
      <c r="N491" s="1006">
        <v>277000</v>
      </c>
      <c r="O491" s="421">
        <v>0</v>
      </c>
      <c r="P491" s="465">
        <v>0</v>
      </c>
      <c r="Q491" s="465">
        <v>0</v>
      </c>
      <c r="R491" s="465">
        <v>76000</v>
      </c>
      <c r="S491" s="640">
        <v>0</v>
      </c>
      <c r="T491" s="465">
        <v>0</v>
      </c>
      <c r="U491" s="770">
        <f t="shared" si="179"/>
        <v>76000</v>
      </c>
      <c r="V491" s="634">
        <f t="shared" si="185"/>
        <v>353000</v>
      </c>
      <c r="W491" s="634">
        <f t="shared" si="174"/>
        <v>353000</v>
      </c>
      <c r="X491" s="634">
        <f t="shared" si="175"/>
        <v>353000</v>
      </c>
    </row>
    <row r="492" spans="2:24" ht="12.75">
      <c r="B492" s="357"/>
      <c r="C492" s="364"/>
      <c r="D492" s="56"/>
      <c r="E492" s="182"/>
      <c r="F492" s="440">
        <v>343</v>
      </c>
      <c r="G492" s="452">
        <v>425</v>
      </c>
      <c r="H492" s="1227" t="s">
        <v>91</v>
      </c>
      <c r="I492" s="1228"/>
      <c r="J492" s="1229"/>
      <c r="K492" s="979">
        <v>110000</v>
      </c>
      <c r="L492" s="979">
        <v>0</v>
      </c>
      <c r="M492" s="979">
        <v>110000</v>
      </c>
      <c r="N492" s="979">
        <v>117000</v>
      </c>
      <c r="O492" s="421">
        <v>0</v>
      </c>
      <c r="P492" s="465">
        <v>0</v>
      </c>
      <c r="Q492" s="465">
        <v>0</v>
      </c>
      <c r="R492" s="465">
        <v>664000</v>
      </c>
      <c r="S492" s="640">
        <v>0</v>
      </c>
      <c r="T492" s="465">
        <v>0</v>
      </c>
      <c r="U492" s="770">
        <f t="shared" si="179"/>
        <v>664000</v>
      </c>
      <c r="V492" s="634">
        <f t="shared" si="185"/>
        <v>781000</v>
      </c>
      <c r="W492" s="634">
        <f t="shared" si="174"/>
        <v>781000</v>
      </c>
      <c r="X492" s="634">
        <f t="shared" si="175"/>
        <v>781000</v>
      </c>
    </row>
    <row r="493" spans="2:24" ht="12.75">
      <c r="B493" s="357"/>
      <c r="C493" s="364"/>
      <c r="D493" s="56"/>
      <c r="E493" s="182"/>
      <c r="F493" s="440">
        <v>344</v>
      </c>
      <c r="G493" s="452">
        <v>426</v>
      </c>
      <c r="H493" s="387" t="s">
        <v>38</v>
      </c>
      <c r="I493" s="485"/>
      <c r="J493" s="461"/>
      <c r="K493" s="1006">
        <v>68000</v>
      </c>
      <c r="L493" s="1006">
        <v>6344</v>
      </c>
      <c r="M493" s="1006">
        <v>68000</v>
      </c>
      <c r="N493" s="1006">
        <v>75000</v>
      </c>
      <c r="O493" s="421">
        <v>0</v>
      </c>
      <c r="P493" s="465">
        <v>0</v>
      </c>
      <c r="Q493" s="465">
        <v>0</v>
      </c>
      <c r="R493" s="465">
        <v>100000</v>
      </c>
      <c r="S493" s="640">
        <v>0</v>
      </c>
      <c r="T493" s="465">
        <v>0</v>
      </c>
      <c r="U493" s="770">
        <f t="shared" si="179"/>
        <v>100000</v>
      </c>
      <c r="V493" s="634">
        <f t="shared" si="185"/>
        <v>175000</v>
      </c>
      <c r="W493" s="634">
        <f t="shared" si="174"/>
        <v>175000</v>
      </c>
      <c r="X493" s="634">
        <f t="shared" si="175"/>
        <v>175000</v>
      </c>
    </row>
    <row r="494" spans="2:24" ht="12.75">
      <c r="B494" s="357"/>
      <c r="C494" s="364"/>
      <c r="D494" s="56"/>
      <c r="E494" s="182"/>
      <c r="F494" s="440">
        <v>345</v>
      </c>
      <c r="G494" s="452">
        <v>481</v>
      </c>
      <c r="H494" s="387" t="s">
        <v>1389</v>
      </c>
      <c r="I494" s="485"/>
      <c r="J494" s="461"/>
      <c r="K494" s="1006">
        <v>24000</v>
      </c>
      <c r="L494" s="1006">
        <v>0</v>
      </c>
      <c r="M494" s="1006">
        <v>24000</v>
      </c>
      <c r="N494" s="1006">
        <v>30000</v>
      </c>
      <c r="O494" s="421">
        <v>0</v>
      </c>
      <c r="P494" s="465">
        <v>0</v>
      </c>
      <c r="Q494" s="465">
        <v>0</v>
      </c>
      <c r="R494" s="465">
        <v>0</v>
      </c>
      <c r="S494" s="640">
        <v>0</v>
      </c>
      <c r="T494" s="465">
        <v>0</v>
      </c>
      <c r="U494" s="770">
        <f t="shared" si="179"/>
        <v>0</v>
      </c>
      <c r="V494" s="634">
        <f>SUM(N494:U494)</f>
        <v>30000</v>
      </c>
      <c r="W494" s="634">
        <f t="shared" si="174"/>
        <v>30000</v>
      </c>
      <c r="X494" s="634">
        <f t="shared" si="175"/>
        <v>30000</v>
      </c>
    </row>
    <row r="495" spans="2:24" ht="12.75">
      <c r="B495" s="357"/>
      <c r="C495" s="364"/>
      <c r="D495" s="56"/>
      <c r="E495" s="182"/>
      <c r="F495" s="440">
        <v>346</v>
      </c>
      <c r="G495" s="452">
        <v>482</v>
      </c>
      <c r="H495" s="1227" t="s">
        <v>82</v>
      </c>
      <c r="I495" s="1228"/>
      <c r="J495" s="1229"/>
      <c r="K495" s="979">
        <v>101000</v>
      </c>
      <c r="L495" s="979">
        <v>0</v>
      </c>
      <c r="M495" s="979">
        <v>101000</v>
      </c>
      <c r="N495" s="979">
        <v>101000</v>
      </c>
      <c r="O495" s="421">
        <v>0</v>
      </c>
      <c r="P495" s="465">
        <v>0</v>
      </c>
      <c r="Q495" s="465">
        <v>0</v>
      </c>
      <c r="R495" s="465">
        <v>0</v>
      </c>
      <c r="S495" s="640">
        <v>0</v>
      </c>
      <c r="T495" s="465">
        <v>0</v>
      </c>
      <c r="U495" s="770">
        <f t="shared" si="179"/>
        <v>0</v>
      </c>
      <c r="V495" s="634">
        <f aca="true" t="shared" si="187" ref="V495:V507">SUM(N495:T495)</f>
        <v>101000</v>
      </c>
      <c r="W495" s="634">
        <f t="shared" si="174"/>
        <v>101000</v>
      </c>
      <c r="X495" s="634">
        <f t="shared" si="175"/>
        <v>101000</v>
      </c>
    </row>
    <row r="496" spans="2:24" ht="12.75">
      <c r="B496" s="466"/>
      <c r="C496" s="474" t="s">
        <v>1328</v>
      </c>
      <c r="D496" s="475"/>
      <c r="E496" s="476"/>
      <c r="F496" s="475"/>
      <c r="G496" s="477"/>
      <c r="H496" s="1177" t="s">
        <v>128</v>
      </c>
      <c r="I496" s="1178"/>
      <c r="J496" s="1178"/>
      <c r="K496" s="1025">
        <f>K499</f>
        <v>1528000</v>
      </c>
      <c r="L496" s="1025">
        <f>L499</f>
        <v>1253928.71</v>
      </c>
      <c r="M496" s="1025">
        <f>M499</f>
        <v>1528000</v>
      </c>
      <c r="N496" s="1025">
        <f>N499</f>
        <v>1586836</v>
      </c>
      <c r="O496" s="431">
        <f aca="true" t="shared" si="188" ref="O496:T496">O499</f>
        <v>0</v>
      </c>
      <c r="P496" s="617">
        <f>P499</f>
        <v>0</v>
      </c>
      <c r="Q496" s="617">
        <f t="shared" si="188"/>
        <v>0</v>
      </c>
      <c r="R496" s="617">
        <f t="shared" si="188"/>
        <v>200000</v>
      </c>
      <c r="S496" s="617">
        <f>S499</f>
        <v>0</v>
      </c>
      <c r="T496" s="742">
        <f t="shared" si="188"/>
        <v>0</v>
      </c>
      <c r="U496" s="743">
        <f t="shared" si="179"/>
        <v>200000</v>
      </c>
      <c r="V496" s="909">
        <f t="shared" si="187"/>
        <v>1786836</v>
      </c>
      <c r="W496" s="909">
        <f t="shared" si="174"/>
        <v>1786836</v>
      </c>
      <c r="X496" s="909">
        <f t="shared" si="175"/>
        <v>1786836</v>
      </c>
    </row>
    <row r="497" spans="2:24" s="721" customFormat="1" ht="12.75">
      <c r="B497" s="661"/>
      <c r="C497" s="662"/>
      <c r="D497" s="637"/>
      <c r="E497" s="636" t="s">
        <v>290</v>
      </c>
      <c r="F497" s="637"/>
      <c r="G497" s="638"/>
      <c r="H497" s="1280" t="s">
        <v>291</v>
      </c>
      <c r="I497" s="1281"/>
      <c r="J497" s="1282"/>
      <c r="K497" s="1004">
        <f aca="true" t="shared" si="189" ref="K497:T498">K498</f>
        <v>1528000</v>
      </c>
      <c r="L497" s="1004">
        <f t="shared" si="189"/>
        <v>1253928.71</v>
      </c>
      <c r="M497" s="1004">
        <f t="shared" si="189"/>
        <v>1528000</v>
      </c>
      <c r="N497" s="1004">
        <f t="shared" si="189"/>
        <v>1586836</v>
      </c>
      <c r="O497" s="663">
        <f t="shared" si="189"/>
        <v>0</v>
      </c>
      <c r="P497" s="663">
        <f t="shared" si="189"/>
        <v>0</v>
      </c>
      <c r="Q497" s="663">
        <f t="shared" si="189"/>
        <v>0</v>
      </c>
      <c r="R497" s="663">
        <f t="shared" si="189"/>
        <v>200000</v>
      </c>
      <c r="S497" s="663">
        <f t="shared" si="189"/>
        <v>0</v>
      </c>
      <c r="T497" s="664">
        <f t="shared" si="189"/>
        <v>0</v>
      </c>
      <c r="U497" s="664">
        <f t="shared" si="179"/>
        <v>200000</v>
      </c>
      <c r="V497" s="910">
        <f t="shared" si="187"/>
        <v>1786836</v>
      </c>
      <c r="W497" s="910">
        <f t="shared" si="174"/>
        <v>1786836</v>
      </c>
      <c r="X497" s="910">
        <f t="shared" si="175"/>
        <v>1786836</v>
      </c>
    </row>
    <row r="498" spans="2:24" ht="12.75" customHeight="1">
      <c r="B498" s="287"/>
      <c r="C498" s="288"/>
      <c r="D498" s="436"/>
      <c r="E498" s="353" t="s">
        <v>308</v>
      </c>
      <c r="F498" s="436"/>
      <c r="G498" s="437"/>
      <c r="H498" s="1171" t="s">
        <v>1361</v>
      </c>
      <c r="I498" s="1172"/>
      <c r="J498" s="1173"/>
      <c r="K498" s="1009">
        <f t="shared" si="189"/>
        <v>1528000</v>
      </c>
      <c r="L498" s="1009">
        <f t="shared" si="189"/>
        <v>1253928.71</v>
      </c>
      <c r="M498" s="1009">
        <f t="shared" si="189"/>
        <v>1528000</v>
      </c>
      <c r="N498" s="1009">
        <f t="shared" si="189"/>
        <v>1586836</v>
      </c>
      <c r="O498" s="292">
        <f t="shared" si="189"/>
        <v>0</v>
      </c>
      <c r="P498" s="292">
        <f t="shared" si="189"/>
        <v>0</v>
      </c>
      <c r="Q498" s="292">
        <f t="shared" si="189"/>
        <v>0</v>
      </c>
      <c r="R498" s="292">
        <f t="shared" si="189"/>
        <v>200000</v>
      </c>
      <c r="S498" s="292">
        <f t="shared" si="189"/>
        <v>0</v>
      </c>
      <c r="T498" s="349">
        <f t="shared" si="189"/>
        <v>0</v>
      </c>
      <c r="U498" s="349">
        <f t="shared" si="179"/>
        <v>200000</v>
      </c>
      <c r="V498" s="682">
        <f t="shared" si="187"/>
        <v>1786836</v>
      </c>
      <c r="W498" s="682">
        <f t="shared" si="174"/>
        <v>1786836</v>
      </c>
      <c r="X498" s="682">
        <f t="shared" si="175"/>
        <v>1786836</v>
      </c>
    </row>
    <row r="499" spans="2:24" ht="12.75">
      <c r="B499" s="438"/>
      <c r="C499" s="439"/>
      <c r="D499" s="182" t="s">
        <v>284</v>
      </c>
      <c r="E499" s="58"/>
      <c r="F499" s="440"/>
      <c r="G499" s="441"/>
      <c r="H499" s="1162" t="s">
        <v>119</v>
      </c>
      <c r="I499" s="1163"/>
      <c r="J499" s="453"/>
      <c r="K499" s="994">
        <f>SUM(K500:K507)</f>
        <v>1528000</v>
      </c>
      <c r="L499" s="994">
        <f>SUM(L500:L507)</f>
        <v>1253928.71</v>
      </c>
      <c r="M499" s="994">
        <f>SUM(M500:M507)</f>
        <v>1528000</v>
      </c>
      <c r="N499" s="994">
        <f>SUM(N500:N507)</f>
        <v>1586836</v>
      </c>
      <c r="O499" s="55">
        <f aca="true" t="shared" si="190" ref="O499:T499">SUM(O500:O507)</f>
        <v>0</v>
      </c>
      <c r="P499" s="55">
        <f t="shared" si="190"/>
        <v>0</v>
      </c>
      <c r="Q499" s="55">
        <f t="shared" si="190"/>
        <v>0</v>
      </c>
      <c r="R499" s="55">
        <f t="shared" si="190"/>
        <v>200000</v>
      </c>
      <c r="S499" s="55">
        <f t="shared" si="190"/>
        <v>0</v>
      </c>
      <c r="T499" s="180">
        <f t="shared" si="190"/>
        <v>0</v>
      </c>
      <c r="U499" s="344">
        <f t="shared" si="179"/>
        <v>200000</v>
      </c>
      <c r="V499" s="896">
        <f t="shared" si="187"/>
        <v>1786836</v>
      </c>
      <c r="W499" s="896">
        <f t="shared" si="174"/>
        <v>1786836</v>
      </c>
      <c r="X499" s="896">
        <f t="shared" si="175"/>
        <v>1786836</v>
      </c>
    </row>
    <row r="500" spans="2:24" ht="12.75">
      <c r="B500" s="481"/>
      <c r="C500" s="482"/>
      <c r="D500" s="483"/>
      <c r="E500" s="482"/>
      <c r="F500" s="404">
        <v>347</v>
      </c>
      <c r="G500" s="484">
        <v>411</v>
      </c>
      <c r="H500" s="1165" t="s">
        <v>27</v>
      </c>
      <c r="I500" s="1166"/>
      <c r="J500" s="1167"/>
      <c r="K500" s="788">
        <v>444869</v>
      </c>
      <c r="L500" s="788">
        <v>362748.19</v>
      </c>
      <c r="M500" s="788">
        <v>446869</v>
      </c>
      <c r="N500" s="788">
        <v>495000</v>
      </c>
      <c r="O500" s="418">
        <v>0</v>
      </c>
      <c r="P500" s="418">
        <v>0</v>
      </c>
      <c r="Q500" s="418">
        <v>0</v>
      </c>
      <c r="R500" s="421">
        <v>0</v>
      </c>
      <c r="S500" s="415">
        <v>0</v>
      </c>
      <c r="T500" s="421">
        <v>0</v>
      </c>
      <c r="U500" s="424">
        <f t="shared" si="179"/>
        <v>0</v>
      </c>
      <c r="V500" s="634">
        <f t="shared" si="187"/>
        <v>495000</v>
      </c>
      <c r="W500" s="634">
        <f t="shared" si="174"/>
        <v>495000</v>
      </c>
      <c r="X500" s="634">
        <f t="shared" si="175"/>
        <v>495000</v>
      </c>
    </row>
    <row r="501" spans="2:24" ht="12.75">
      <c r="B501" s="357"/>
      <c r="C501" s="493"/>
      <c r="D501" s="359"/>
      <c r="E501" s="369"/>
      <c r="F501" s="404">
        <v>348</v>
      </c>
      <c r="G501" s="452">
        <v>412</v>
      </c>
      <c r="H501" s="1165" t="s">
        <v>79</v>
      </c>
      <c r="I501" s="1166"/>
      <c r="J501" s="1167"/>
      <c r="K501" s="788">
        <v>79631</v>
      </c>
      <c r="L501" s="788">
        <v>62211.330000000016</v>
      </c>
      <c r="M501" s="788">
        <v>77631</v>
      </c>
      <c r="N501" s="788">
        <v>85000</v>
      </c>
      <c r="O501" s="418">
        <v>0</v>
      </c>
      <c r="P501" s="418">
        <v>0</v>
      </c>
      <c r="Q501" s="418">
        <v>0</v>
      </c>
      <c r="R501" s="421">
        <v>0</v>
      </c>
      <c r="S501" s="415">
        <v>0</v>
      </c>
      <c r="T501" s="421">
        <v>0</v>
      </c>
      <c r="U501" s="424">
        <f t="shared" si="179"/>
        <v>0</v>
      </c>
      <c r="V501" s="634">
        <f t="shared" si="187"/>
        <v>85000</v>
      </c>
      <c r="W501" s="634">
        <f t="shared" si="174"/>
        <v>85000</v>
      </c>
      <c r="X501" s="634">
        <f t="shared" si="175"/>
        <v>85000</v>
      </c>
    </row>
    <row r="502" spans="2:24" ht="12.75">
      <c r="B502" s="494"/>
      <c r="C502" s="495"/>
      <c r="D502" s="62"/>
      <c r="E502" s="286"/>
      <c r="F502" s="404">
        <v>349</v>
      </c>
      <c r="G502" s="452">
        <v>421</v>
      </c>
      <c r="H502" s="409" t="s">
        <v>129</v>
      </c>
      <c r="I502" s="447"/>
      <c r="J502" s="585"/>
      <c r="K502" s="1026">
        <v>147500</v>
      </c>
      <c r="L502" s="1026">
        <v>134434.62</v>
      </c>
      <c r="M502" s="1026">
        <v>147100</v>
      </c>
      <c r="N502" s="1026">
        <v>149000</v>
      </c>
      <c r="O502" s="411">
        <v>0</v>
      </c>
      <c r="P502" s="418">
        <v>0</v>
      </c>
      <c r="Q502" s="418">
        <v>0</v>
      </c>
      <c r="R502" s="421">
        <v>0</v>
      </c>
      <c r="S502" s="415">
        <v>0</v>
      </c>
      <c r="T502" s="421">
        <v>0</v>
      </c>
      <c r="U502" s="424">
        <f t="shared" si="179"/>
        <v>0</v>
      </c>
      <c r="V502" s="634">
        <f t="shared" si="187"/>
        <v>149000</v>
      </c>
      <c r="W502" s="634">
        <f t="shared" si="174"/>
        <v>149000</v>
      </c>
      <c r="X502" s="634">
        <f t="shared" si="175"/>
        <v>149000</v>
      </c>
    </row>
    <row r="503" spans="2:24" ht="12.75">
      <c r="B503" s="496"/>
      <c r="C503" s="497"/>
      <c r="D503" s="63"/>
      <c r="E503" s="286"/>
      <c r="F503" s="404">
        <v>350</v>
      </c>
      <c r="G503" s="452">
        <v>423</v>
      </c>
      <c r="H503" s="409" t="s">
        <v>35</v>
      </c>
      <c r="I503" s="447"/>
      <c r="J503" s="585"/>
      <c r="K503" s="1026">
        <v>136000</v>
      </c>
      <c r="L503" s="1026">
        <v>96795</v>
      </c>
      <c r="M503" s="1026">
        <v>154700</v>
      </c>
      <c r="N503" s="1026">
        <v>146000</v>
      </c>
      <c r="O503" s="411">
        <v>0</v>
      </c>
      <c r="P503" s="418">
        <v>0</v>
      </c>
      <c r="Q503" s="418">
        <v>0</v>
      </c>
      <c r="R503" s="421">
        <v>5000</v>
      </c>
      <c r="S503" s="415">
        <v>0</v>
      </c>
      <c r="T503" s="421">
        <v>0</v>
      </c>
      <c r="U503" s="424">
        <f t="shared" si="179"/>
        <v>5000</v>
      </c>
      <c r="V503" s="634">
        <f t="shared" si="187"/>
        <v>151000</v>
      </c>
      <c r="W503" s="634">
        <f t="shared" si="174"/>
        <v>151000</v>
      </c>
      <c r="X503" s="634">
        <f t="shared" si="175"/>
        <v>151000</v>
      </c>
    </row>
    <row r="504" spans="2:24" ht="12.75">
      <c r="B504" s="496"/>
      <c r="C504" s="497"/>
      <c r="D504" s="63"/>
      <c r="E504" s="286"/>
      <c r="F504" s="404">
        <v>351</v>
      </c>
      <c r="G504" s="452">
        <v>424</v>
      </c>
      <c r="H504" s="1165" t="s">
        <v>36</v>
      </c>
      <c r="I504" s="1166"/>
      <c r="J504" s="1167"/>
      <c r="K504" s="366">
        <v>25000</v>
      </c>
      <c r="L504" s="366">
        <v>0</v>
      </c>
      <c r="M504" s="366">
        <v>0</v>
      </c>
      <c r="N504" s="366">
        <v>27000</v>
      </c>
      <c r="O504" s="411">
        <v>0</v>
      </c>
      <c r="P504" s="418">
        <v>0</v>
      </c>
      <c r="Q504" s="418">
        <v>0</v>
      </c>
      <c r="R504" s="418">
        <v>0</v>
      </c>
      <c r="S504" s="418">
        <v>0</v>
      </c>
      <c r="T504" s="421">
        <v>0</v>
      </c>
      <c r="U504" s="424">
        <f t="shared" si="179"/>
        <v>0</v>
      </c>
      <c r="V504" s="634">
        <f t="shared" si="187"/>
        <v>27000</v>
      </c>
      <c r="W504" s="634">
        <f t="shared" si="174"/>
        <v>27000</v>
      </c>
      <c r="X504" s="634">
        <f t="shared" si="175"/>
        <v>27000</v>
      </c>
    </row>
    <row r="505" spans="2:24" ht="12.75">
      <c r="B505" s="496"/>
      <c r="C505" s="497"/>
      <c r="D505" s="63"/>
      <c r="E505" s="286"/>
      <c r="F505" s="404">
        <v>352</v>
      </c>
      <c r="G505" s="452">
        <v>425</v>
      </c>
      <c r="H505" s="1165" t="s">
        <v>91</v>
      </c>
      <c r="I505" s="1166"/>
      <c r="J505" s="1167"/>
      <c r="K505" s="366">
        <v>104000</v>
      </c>
      <c r="L505" s="366">
        <v>40563</v>
      </c>
      <c r="M505" s="366">
        <v>109300</v>
      </c>
      <c r="N505" s="366">
        <v>104000</v>
      </c>
      <c r="O505" s="411">
        <v>0</v>
      </c>
      <c r="P505" s="418">
        <v>0</v>
      </c>
      <c r="Q505" s="418">
        <v>0</v>
      </c>
      <c r="R505" s="418">
        <v>175000</v>
      </c>
      <c r="S505" s="418">
        <v>0</v>
      </c>
      <c r="T505" s="421">
        <v>0</v>
      </c>
      <c r="U505" s="424">
        <f t="shared" si="179"/>
        <v>175000</v>
      </c>
      <c r="V505" s="634">
        <f t="shared" si="187"/>
        <v>279000</v>
      </c>
      <c r="W505" s="634">
        <f t="shared" si="174"/>
        <v>279000</v>
      </c>
      <c r="X505" s="634">
        <f t="shared" si="175"/>
        <v>279000</v>
      </c>
    </row>
    <row r="506" spans="2:24" ht="12.75">
      <c r="B506" s="496"/>
      <c r="C506" s="497"/>
      <c r="D506" s="63"/>
      <c r="E506" s="286"/>
      <c r="F506" s="404">
        <v>353</v>
      </c>
      <c r="G506" s="550">
        <v>426</v>
      </c>
      <c r="H506" s="560" t="s">
        <v>38</v>
      </c>
      <c r="I506" s="591"/>
      <c r="J506" s="592"/>
      <c r="K506" s="1032">
        <v>524000</v>
      </c>
      <c r="L506" s="1032">
        <v>508620.93000000005</v>
      </c>
      <c r="M506" s="1032">
        <v>532400</v>
      </c>
      <c r="N506" s="1032">
        <v>513836</v>
      </c>
      <c r="O506" s="411">
        <v>0</v>
      </c>
      <c r="P506" s="418">
        <v>0</v>
      </c>
      <c r="Q506" s="418">
        <v>0</v>
      </c>
      <c r="R506" s="418">
        <v>20000</v>
      </c>
      <c r="S506" s="418">
        <v>0</v>
      </c>
      <c r="T506" s="421">
        <v>0</v>
      </c>
      <c r="U506" s="424">
        <f t="shared" si="179"/>
        <v>20000</v>
      </c>
      <c r="V506" s="634">
        <f t="shared" si="187"/>
        <v>533836</v>
      </c>
      <c r="W506" s="634">
        <f t="shared" si="174"/>
        <v>533836</v>
      </c>
      <c r="X506" s="634">
        <f t="shared" si="175"/>
        <v>533836</v>
      </c>
    </row>
    <row r="507" spans="2:24" ht="12" customHeight="1" thickBot="1">
      <c r="B507" s="495"/>
      <c r="C507" s="495"/>
      <c r="D507" s="62"/>
      <c r="E507" s="557"/>
      <c r="F507" s="404">
        <v>354</v>
      </c>
      <c r="G507" s="492">
        <v>482</v>
      </c>
      <c r="H507" s="728" t="s">
        <v>82</v>
      </c>
      <c r="I507" s="773"/>
      <c r="J507" s="773"/>
      <c r="K507" s="1033">
        <v>67000</v>
      </c>
      <c r="L507" s="1033">
        <v>48555.63999999999</v>
      </c>
      <c r="M507" s="1033">
        <v>60000</v>
      </c>
      <c r="N507" s="1033">
        <v>67000</v>
      </c>
      <c r="O507" s="411">
        <v>0</v>
      </c>
      <c r="P507" s="418">
        <v>0</v>
      </c>
      <c r="Q507" s="418">
        <v>0</v>
      </c>
      <c r="R507" s="421">
        <v>0</v>
      </c>
      <c r="S507" s="415">
        <v>0</v>
      </c>
      <c r="T507" s="421">
        <v>0</v>
      </c>
      <c r="U507" s="424">
        <f t="shared" si="179"/>
        <v>0</v>
      </c>
      <c r="V507" s="634">
        <f t="shared" si="187"/>
        <v>67000</v>
      </c>
      <c r="W507" s="634">
        <f t="shared" si="174"/>
        <v>67000</v>
      </c>
      <c r="X507" s="634">
        <f t="shared" si="175"/>
        <v>67000</v>
      </c>
    </row>
    <row r="508" spans="2:24" ht="13.5" thickBot="1">
      <c r="B508" s="1174" t="s">
        <v>130</v>
      </c>
      <c r="C508" s="1175"/>
      <c r="D508" s="1175"/>
      <c r="E508" s="1175"/>
      <c r="F508" s="1175"/>
      <c r="G508" s="1175"/>
      <c r="H508" s="1175"/>
      <c r="I508" s="1175"/>
      <c r="J508" s="1176"/>
      <c r="K508" s="7">
        <f aca="true" t="shared" si="191" ref="K508:T508">K73+K39+K7+K57+K29</f>
        <v>485275640</v>
      </c>
      <c r="L508" s="7">
        <f t="shared" si="191"/>
        <v>291168851.55999994</v>
      </c>
      <c r="M508" s="7">
        <f t="shared" si="191"/>
        <v>496849448</v>
      </c>
      <c r="N508" s="7">
        <f t="shared" si="191"/>
        <v>527841676</v>
      </c>
      <c r="O508" s="294">
        <f t="shared" si="191"/>
        <v>205000</v>
      </c>
      <c r="P508" s="294">
        <f t="shared" si="191"/>
        <v>3810000</v>
      </c>
      <c r="Q508" s="294">
        <f t="shared" si="191"/>
        <v>36446642.879999995</v>
      </c>
      <c r="R508" s="294">
        <f t="shared" si="191"/>
        <v>135635973.1</v>
      </c>
      <c r="S508" s="294">
        <f t="shared" si="191"/>
        <v>4570000</v>
      </c>
      <c r="T508" s="294">
        <f t="shared" si="191"/>
        <v>505000</v>
      </c>
      <c r="U508" s="351">
        <f t="shared" si="179"/>
        <v>181172615.98</v>
      </c>
      <c r="V508" s="73">
        <f>T508+R508+Q508+P508+O508+N508+S508</f>
        <v>709014291.98</v>
      </c>
      <c r="W508" s="73">
        <f t="shared" si="174"/>
        <v>709014291.98</v>
      </c>
      <c r="X508" s="73">
        <f t="shared" si="175"/>
        <v>709014291.98</v>
      </c>
    </row>
    <row r="509" spans="2:24" ht="12.75">
      <c r="B509" s="593"/>
      <c r="C509" s="593"/>
      <c r="D509" s="594"/>
      <c r="E509" s="593"/>
      <c r="F509" s="595"/>
      <c r="G509" s="594"/>
      <c r="H509" s="498"/>
      <c r="I509" s="498"/>
      <c r="J509" s="498"/>
      <c r="K509" s="988"/>
      <c r="L509" s="988"/>
      <c r="M509" s="988"/>
      <c r="O509" s="363"/>
      <c r="P509" s="363"/>
      <c r="Q509" s="363"/>
      <c r="R509" s="419"/>
      <c r="S509" s="419"/>
      <c r="T509" s="499"/>
      <c r="U509" s="499"/>
      <c r="V509" s="500"/>
      <c r="W509" s="500"/>
      <c r="X509" s="500"/>
    </row>
    <row r="510" spans="2:24" ht="81.75" customHeight="1">
      <c r="B510" s="1327"/>
      <c r="C510" s="1324"/>
      <c r="D510" s="1324"/>
      <c r="E510" s="1324"/>
      <c r="F510" s="1324"/>
      <c r="G510" s="1324"/>
      <c r="H510" s="1324"/>
      <c r="I510" s="1324"/>
      <c r="J510" s="1324"/>
      <c r="O510" s="363"/>
      <c r="P510" s="363"/>
      <c r="Q510" s="363"/>
      <c r="R510" s="363"/>
      <c r="S510" s="363"/>
      <c r="T510" s="275"/>
      <c r="U510" s="275"/>
      <c r="V510" s="500"/>
      <c r="W510" s="500"/>
      <c r="X510" s="500"/>
    </row>
    <row r="511" spans="2:24" ht="12.75">
      <c r="B511" s="1327"/>
      <c r="C511" s="1324"/>
      <c r="D511" s="1324"/>
      <c r="E511" s="1324"/>
      <c r="F511" s="1324"/>
      <c r="G511" s="1324"/>
      <c r="H511" s="1324"/>
      <c r="I511" s="1324"/>
      <c r="J511" s="1324"/>
      <c r="O511" s="410"/>
      <c r="P511" s="363"/>
      <c r="Q511" s="363"/>
      <c r="R511" s="363"/>
      <c r="S511" s="363"/>
      <c r="T511" s="275"/>
      <c r="U511" s="275"/>
      <c r="V511" s="500"/>
      <c r="W511" s="500"/>
      <c r="X511" s="500"/>
    </row>
    <row r="512" spans="2:24" ht="12.75" hidden="1">
      <c r="B512" s="1327"/>
      <c r="C512" s="1324"/>
      <c r="D512" s="1324"/>
      <c r="E512" s="1324"/>
      <c r="F512" s="1324"/>
      <c r="G512" s="1324"/>
      <c r="H512" s="1324"/>
      <c r="I512" s="1324"/>
      <c r="J512" s="1324"/>
      <c r="O512" s="363"/>
      <c r="P512" s="363"/>
      <c r="Q512" s="363"/>
      <c r="R512" s="363"/>
      <c r="S512" s="363"/>
      <c r="T512" s="275"/>
      <c r="U512" s="275"/>
      <c r="V512" s="500"/>
      <c r="W512" s="500"/>
      <c r="X512" s="500"/>
    </row>
    <row r="513" spans="2:24" ht="12.75" hidden="1">
      <c r="B513" s="1324"/>
      <c r="C513" s="1324"/>
      <c r="D513" s="1324"/>
      <c r="E513" s="1324"/>
      <c r="F513" s="1324"/>
      <c r="G513" s="1324"/>
      <c r="H513" s="1324"/>
      <c r="I513" s="1324"/>
      <c r="J513" s="1324"/>
      <c r="N513" s="573"/>
      <c r="O513" s="574">
        <v>411</v>
      </c>
      <c r="P513" s="363"/>
      <c r="Q513" s="363"/>
      <c r="R513" s="363"/>
      <c r="S513" s="363"/>
      <c r="T513" s="501"/>
      <c r="U513" s="501"/>
      <c r="V513" s="500"/>
      <c r="W513" s="500"/>
      <c r="X513" s="500"/>
    </row>
    <row r="514" spans="2:24" ht="12.75" hidden="1">
      <c r="B514" s="1324"/>
      <c r="C514" s="1324"/>
      <c r="D514" s="1324"/>
      <c r="E514" s="1324"/>
      <c r="F514" s="1324"/>
      <c r="G514" s="1324"/>
      <c r="H514" s="1324"/>
      <c r="I514" s="1324"/>
      <c r="J514" s="1324"/>
      <c r="N514" s="420"/>
      <c r="O514" s="574">
        <v>412</v>
      </c>
      <c r="P514" s="363"/>
      <c r="Q514" s="363"/>
      <c r="R514" s="363"/>
      <c r="S514" s="363"/>
      <c r="T514" s="363"/>
      <c r="U514" s="363"/>
      <c r="V514" s="500"/>
      <c r="W514" s="500"/>
      <c r="X514" s="500"/>
    </row>
    <row r="515" spans="14:24" ht="12.75" hidden="1">
      <c r="N515" s="576"/>
      <c r="O515" s="575" t="s">
        <v>1198</v>
      </c>
      <c r="P515" s="363"/>
      <c r="Q515" s="363"/>
      <c r="R515" s="363"/>
      <c r="S515" s="363"/>
      <c r="T515" s="363"/>
      <c r="U515" s="363"/>
      <c r="V515" s="500"/>
      <c r="W515" s="500"/>
      <c r="X515" s="500"/>
    </row>
    <row r="516" spans="14:24" ht="12.75" hidden="1">
      <c r="N516" s="410"/>
      <c r="O516" s="363"/>
      <c r="P516" s="363"/>
      <c r="Q516" s="363"/>
      <c r="R516" s="363"/>
      <c r="S516" s="363"/>
      <c r="T516" s="275"/>
      <c r="U516" s="275"/>
      <c r="V516" s="502"/>
      <c r="W516" s="502"/>
      <c r="X516" s="502"/>
    </row>
    <row r="517" spans="14:24" ht="12.75">
      <c r="N517" s="64"/>
      <c r="O517" s="363"/>
      <c r="P517" s="363"/>
      <c r="Q517" s="363"/>
      <c r="R517" s="363"/>
      <c r="S517" s="363"/>
      <c r="T517" s="363"/>
      <c r="U517" s="363"/>
      <c r="V517" s="500"/>
      <c r="W517" s="500"/>
      <c r="X517" s="500"/>
    </row>
    <row r="518" ht="12.75">
      <c r="N518" s="410"/>
    </row>
    <row r="519" ht="12.75">
      <c r="N519" s="410"/>
    </row>
    <row r="520" ht="12.75">
      <c r="N520" s="410"/>
    </row>
    <row r="521" spans="2:24" ht="12.75">
      <c r="B521" s="356"/>
      <c r="C521" s="356"/>
      <c r="D521" s="356"/>
      <c r="E521" s="356"/>
      <c r="F521" s="356"/>
      <c r="G521" s="356"/>
      <c r="N521" s="410"/>
      <c r="V521" s="356"/>
      <c r="W521" s="356"/>
      <c r="X521" s="356"/>
    </row>
    <row r="522" spans="2:24" ht="12.75">
      <c r="B522" s="356"/>
      <c r="C522" s="356"/>
      <c r="D522" s="356"/>
      <c r="E522" s="356"/>
      <c r="F522" s="356"/>
      <c r="G522" s="356"/>
      <c r="N522" s="410"/>
      <c r="V522" s="356"/>
      <c r="W522" s="356"/>
      <c r="X522" s="356"/>
    </row>
    <row r="523" spans="2:24" ht="12.75">
      <c r="B523" s="356"/>
      <c r="C523" s="356"/>
      <c r="D523" s="356"/>
      <c r="E523" s="356"/>
      <c r="F523" s="356"/>
      <c r="G523" s="356"/>
      <c r="N523" s="410"/>
      <c r="V523" s="356"/>
      <c r="W523" s="356"/>
      <c r="X523" s="356"/>
    </row>
    <row r="524" spans="2:24" ht="12.75">
      <c r="B524" s="356"/>
      <c r="C524" s="356"/>
      <c r="D524" s="356"/>
      <c r="E524" s="356"/>
      <c r="F524" s="356"/>
      <c r="G524" s="356"/>
      <c r="N524" s="410"/>
      <c r="V524" s="356"/>
      <c r="W524" s="356"/>
      <c r="X524" s="356"/>
    </row>
    <row r="551" spans="2:24" ht="12.75">
      <c r="B551" s="356"/>
      <c r="C551" s="356"/>
      <c r="D551" s="356"/>
      <c r="E551" s="356"/>
      <c r="F551" s="356"/>
      <c r="G551" s="356"/>
      <c r="N551" s="410"/>
      <c r="V551" s="356"/>
      <c r="W551" s="356"/>
      <c r="X551" s="356"/>
    </row>
    <row r="552" spans="2:24" ht="12.75">
      <c r="B552" s="356"/>
      <c r="C552" s="356"/>
      <c r="D552" s="356"/>
      <c r="E552" s="356"/>
      <c r="F552" s="356"/>
      <c r="G552" s="356"/>
      <c r="N552" s="410"/>
      <c r="V552" s="356"/>
      <c r="W552" s="356"/>
      <c r="X552" s="356"/>
    </row>
    <row r="554" spans="2:24" ht="12.75">
      <c r="B554" s="356"/>
      <c r="C554" s="356"/>
      <c r="D554" s="356"/>
      <c r="E554" s="356"/>
      <c r="F554" s="356"/>
      <c r="G554" s="356"/>
      <c r="N554" s="410"/>
      <c r="V554" s="356"/>
      <c r="W554" s="356"/>
      <c r="X554" s="356"/>
    </row>
    <row r="562" spans="2:24" ht="12.75">
      <c r="B562" s="356"/>
      <c r="C562" s="356"/>
      <c r="D562" s="356"/>
      <c r="E562" s="356"/>
      <c r="F562" s="356"/>
      <c r="G562" s="356"/>
      <c r="O562" s="384"/>
      <c r="V562" s="356"/>
      <c r="W562" s="356"/>
      <c r="X562" s="356"/>
    </row>
  </sheetData>
  <sheetProtection/>
  <mergeCells count="446">
    <mergeCell ref="I2:Q2"/>
    <mergeCell ref="H102:J102"/>
    <mergeCell ref="H468:J468"/>
    <mergeCell ref="H118:J118"/>
    <mergeCell ref="H81:J81"/>
    <mergeCell ref="H123:J123"/>
    <mergeCell ref="H122:J122"/>
    <mergeCell ref="H104:J104"/>
    <mergeCell ref="H107:J107"/>
    <mergeCell ref="H430:J430"/>
    <mergeCell ref="H473:J473"/>
    <mergeCell ref="H417:J417"/>
    <mergeCell ref="H138:J138"/>
    <mergeCell ref="H205:J205"/>
    <mergeCell ref="H200:J200"/>
    <mergeCell ref="H174:J174"/>
    <mergeCell ref="H260:J260"/>
    <mergeCell ref="H326:J326"/>
    <mergeCell ref="H196:J196"/>
    <mergeCell ref="H284:J284"/>
    <mergeCell ref="H283:J283"/>
    <mergeCell ref="H175:J175"/>
    <mergeCell ref="H197:J197"/>
    <mergeCell ref="H199:J199"/>
    <mergeCell ref="H208:J208"/>
    <mergeCell ref="H224:J224"/>
    <mergeCell ref="H211:J211"/>
    <mergeCell ref="H281:J281"/>
    <mergeCell ref="H203:J203"/>
    <mergeCell ref="H238:J238"/>
    <mergeCell ref="H209:J209"/>
    <mergeCell ref="H210:J210"/>
    <mergeCell ref="H213:J213"/>
    <mergeCell ref="H222:J222"/>
    <mergeCell ref="H216:J216"/>
    <mergeCell ref="H274:J274"/>
    <mergeCell ref="H215:J215"/>
    <mergeCell ref="H218:J218"/>
    <mergeCell ref="H220:J220"/>
    <mergeCell ref="H214:J214"/>
    <mergeCell ref="H207:J207"/>
    <mergeCell ref="H201:J201"/>
    <mergeCell ref="H204:J204"/>
    <mergeCell ref="H110:J110"/>
    <mergeCell ref="H147:J147"/>
    <mergeCell ref="H181:J181"/>
    <mergeCell ref="H143:J143"/>
    <mergeCell ref="H163:J163"/>
    <mergeCell ref="H148:J148"/>
    <mergeCell ref="H151:J151"/>
    <mergeCell ref="H195:J195"/>
    <mergeCell ref="H192:J192"/>
    <mergeCell ref="H188:I188"/>
    <mergeCell ref="H183:J183"/>
    <mergeCell ref="H194:J194"/>
    <mergeCell ref="H189:J189"/>
    <mergeCell ref="H186:J186"/>
    <mergeCell ref="H157:J157"/>
    <mergeCell ref="H140:J140"/>
    <mergeCell ref="H144:J144"/>
    <mergeCell ref="H171:J171"/>
    <mergeCell ref="H172:J172"/>
    <mergeCell ref="H142:J142"/>
    <mergeCell ref="H156:J156"/>
    <mergeCell ref="H161:J161"/>
    <mergeCell ref="H158:J158"/>
    <mergeCell ref="H160:J160"/>
    <mergeCell ref="H176:J176"/>
    <mergeCell ref="H166:J166"/>
    <mergeCell ref="H170:J170"/>
    <mergeCell ref="H178:J178"/>
    <mergeCell ref="H193:J193"/>
    <mergeCell ref="H190:J190"/>
    <mergeCell ref="H187:J187"/>
    <mergeCell ref="H173:J173"/>
    <mergeCell ref="H117:J117"/>
    <mergeCell ref="H169:J169"/>
    <mergeCell ref="H125:J125"/>
    <mergeCell ref="H124:J124"/>
    <mergeCell ref="H164:J164"/>
    <mergeCell ref="H130:J130"/>
    <mergeCell ref="H145:J145"/>
    <mergeCell ref="H129:J129"/>
    <mergeCell ref="H149:J149"/>
    <mergeCell ref="H133:J133"/>
    <mergeCell ref="H137:J137"/>
    <mergeCell ref="H131:J131"/>
    <mergeCell ref="H139:J139"/>
    <mergeCell ref="H136:J136"/>
    <mergeCell ref="H119:J119"/>
    <mergeCell ref="H134:J134"/>
    <mergeCell ref="H127:J127"/>
    <mergeCell ref="H135:J135"/>
    <mergeCell ref="H120:J120"/>
    <mergeCell ref="H121:J121"/>
    <mergeCell ref="H128:J128"/>
    <mergeCell ref="H126:J126"/>
    <mergeCell ref="H132:J132"/>
    <mergeCell ref="H115:J115"/>
    <mergeCell ref="H111:J111"/>
    <mergeCell ref="H94:J94"/>
    <mergeCell ref="H112:J112"/>
    <mergeCell ref="H106:J106"/>
    <mergeCell ref="H116:J116"/>
    <mergeCell ref="H113:J113"/>
    <mergeCell ref="H96:J96"/>
    <mergeCell ref="H18:J18"/>
    <mergeCell ref="H19:J19"/>
    <mergeCell ref="H93:J93"/>
    <mergeCell ref="B510:J514"/>
    <mergeCell ref="H445:J445"/>
    <mergeCell ref="H282:J282"/>
    <mergeCell ref="H338:J338"/>
    <mergeCell ref="H98:J98"/>
    <mergeCell ref="H418:J418"/>
    <mergeCell ref="H108:J108"/>
    <mergeCell ref="N4:V4"/>
    <mergeCell ref="H14:J14"/>
    <mergeCell ref="H6:J6"/>
    <mergeCell ref="H10:J10"/>
    <mergeCell ref="H8:J8"/>
    <mergeCell ref="H16:J16"/>
    <mergeCell ref="H15:J15"/>
    <mergeCell ref="H9:J9"/>
    <mergeCell ref="H13:J13"/>
    <mergeCell ref="H11:J11"/>
    <mergeCell ref="H7:J7"/>
    <mergeCell ref="H27:J27"/>
    <mergeCell ref="H28:J28"/>
    <mergeCell ref="H20:J20"/>
    <mergeCell ref="H24:J24"/>
    <mergeCell ref="H23:J23"/>
    <mergeCell ref="H22:J22"/>
    <mergeCell ref="H25:J25"/>
    <mergeCell ref="H12:J12"/>
    <mergeCell ref="H17:J17"/>
    <mergeCell ref="H37:J37"/>
    <mergeCell ref="H47:J47"/>
    <mergeCell ref="H44:J44"/>
    <mergeCell ref="H38:J38"/>
    <mergeCell ref="H49:J49"/>
    <mergeCell ref="H48:J48"/>
    <mergeCell ref="H40:J40"/>
    <mergeCell ref="H41:J41"/>
    <mergeCell ref="H29:J29"/>
    <mergeCell ref="H26:J26"/>
    <mergeCell ref="H39:J39"/>
    <mergeCell ref="H32:J32"/>
    <mergeCell ref="H33:J33"/>
    <mergeCell ref="H34:J34"/>
    <mergeCell ref="H35:J35"/>
    <mergeCell ref="H36:J36"/>
    <mergeCell ref="H30:J30"/>
    <mergeCell ref="H31:J31"/>
    <mergeCell ref="H42:J42"/>
    <mergeCell ref="H65:J65"/>
    <mergeCell ref="H54:J54"/>
    <mergeCell ref="H51:J51"/>
    <mergeCell ref="H45:J45"/>
    <mergeCell ref="H50:J50"/>
    <mergeCell ref="H46:J46"/>
    <mergeCell ref="H43:J43"/>
    <mergeCell ref="H53:J53"/>
    <mergeCell ref="H52:J52"/>
    <mergeCell ref="H426:J426"/>
    <mergeCell ref="H67:J67"/>
    <mergeCell ref="H152:J152"/>
    <mergeCell ref="H155:J155"/>
    <mergeCell ref="H71:J71"/>
    <mergeCell ref="H56:J56"/>
    <mergeCell ref="H419:J419"/>
    <mergeCell ref="H342:J342"/>
    <mergeCell ref="H97:J97"/>
    <mergeCell ref="H109:J109"/>
    <mergeCell ref="H452:J452"/>
    <mergeCell ref="H436:J436"/>
    <mergeCell ref="H395:J395"/>
    <mergeCell ref="H432:I432"/>
    <mergeCell ref="H421:J421"/>
    <mergeCell ref="H437:J437"/>
    <mergeCell ref="H434:J434"/>
    <mergeCell ref="H442:J442"/>
    <mergeCell ref="H439:J439"/>
    <mergeCell ref="H447:J447"/>
    <mergeCell ref="H453:I453"/>
    <mergeCell ref="H450:I450"/>
    <mergeCell ref="H474:J474"/>
    <mergeCell ref="H462:J462"/>
    <mergeCell ref="H464:I464"/>
    <mergeCell ref="H443:J443"/>
    <mergeCell ref="H451:J451"/>
    <mergeCell ref="H454:J454"/>
    <mergeCell ref="H458:J458"/>
    <mergeCell ref="H466:I466"/>
    <mergeCell ref="H463:I463"/>
    <mergeCell ref="H455:J455"/>
    <mergeCell ref="H460:J460"/>
    <mergeCell ref="H472:J472"/>
    <mergeCell ref="H461:J461"/>
    <mergeCell ref="H465:J465"/>
    <mergeCell ref="H470:J470"/>
    <mergeCell ref="H471:J471"/>
    <mergeCell ref="H475:J475"/>
    <mergeCell ref="H482:J482"/>
    <mergeCell ref="H479:J479"/>
    <mergeCell ref="H478:J478"/>
    <mergeCell ref="H476:J476"/>
    <mergeCell ref="H477:J477"/>
    <mergeCell ref="H497:J497"/>
    <mergeCell ref="H492:J492"/>
    <mergeCell ref="H489:I489"/>
    <mergeCell ref="H495:J495"/>
    <mergeCell ref="H496:J496"/>
    <mergeCell ref="H480:J480"/>
    <mergeCell ref="H481:J481"/>
    <mergeCell ref="H491:I491"/>
    <mergeCell ref="H484:J484"/>
    <mergeCell ref="H485:J485"/>
    <mergeCell ref="H488:I488"/>
    <mergeCell ref="H487:J487"/>
    <mergeCell ref="H490:I490"/>
    <mergeCell ref="H486:J486"/>
    <mergeCell ref="H95:J95"/>
    <mergeCell ref="H84:J84"/>
    <mergeCell ref="H85:J85"/>
    <mergeCell ref="H449:J449"/>
    <mergeCell ref="H433:J433"/>
    <mergeCell ref="H422:J422"/>
    <mergeCell ref="H505:J505"/>
    <mergeCell ref="H501:J501"/>
    <mergeCell ref="H504:J504"/>
    <mergeCell ref="H500:J500"/>
    <mergeCell ref="H499:I499"/>
    <mergeCell ref="H498:J498"/>
    <mergeCell ref="H101:J101"/>
    <mergeCell ref="H105:J105"/>
    <mergeCell ref="H86:J86"/>
    <mergeCell ref="H91:J91"/>
    <mergeCell ref="H90:J90"/>
    <mergeCell ref="H99:J99"/>
    <mergeCell ref="H100:J100"/>
    <mergeCell ref="H103:J103"/>
    <mergeCell ref="H88:J88"/>
    <mergeCell ref="H92:J92"/>
    <mergeCell ref="H79:J79"/>
    <mergeCell ref="H75:J75"/>
    <mergeCell ref="H77:J77"/>
    <mergeCell ref="H73:J73"/>
    <mergeCell ref="H78:J78"/>
    <mergeCell ref="H76:I76"/>
    <mergeCell ref="H87:J87"/>
    <mergeCell ref="H89:J89"/>
    <mergeCell ref="H80:J80"/>
    <mergeCell ref="H59:J59"/>
    <mergeCell ref="H64:J64"/>
    <mergeCell ref="H63:J63"/>
    <mergeCell ref="H70:J70"/>
    <mergeCell ref="H74:J74"/>
    <mergeCell ref="H83:J83"/>
    <mergeCell ref="H69:J69"/>
    <mergeCell ref="H61:J61"/>
    <mergeCell ref="H68:J68"/>
    <mergeCell ref="H82:J82"/>
    <mergeCell ref="H410:J410"/>
    <mergeCell ref="H435:J435"/>
    <mergeCell ref="H427:J427"/>
    <mergeCell ref="H416:J416"/>
    <mergeCell ref="H425:J425"/>
    <mergeCell ref="H382:J382"/>
    <mergeCell ref="H341:J341"/>
    <mergeCell ref="H55:J55"/>
    <mergeCell ref="H66:J66"/>
    <mergeCell ref="H60:J60"/>
    <mergeCell ref="H58:J58"/>
    <mergeCell ref="H62:J62"/>
    <mergeCell ref="H420:J420"/>
    <mergeCell ref="H392:J392"/>
    <mergeCell ref="H407:J407"/>
    <mergeCell ref="H403:J403"/>
    <mergeCell ref="H327:J327"/>
    <mergeCell ref="H448:J448"/>
    <mergeCell ref="H440:J440"/>
    <mergeCell ref="H441:J441"/>
    <mergeCell ref="H444:J444"/>
    <mergeCell ref="H438:J438"/>
    <mergeCell ref="H389:J389"/>
    <mergeCell ref="H409:J409"/>
    <mergeCell ref="H402:J402"/>
    <mergeCell ref="H408:J408"/>
    <mergeCell ref="H391:J391"/>
    <mergeCell ref="H350:J350"/>
    <mergeCell ref="H356:J356"/>
    <mergeCell ref="H314:J314"/>
    <mergeCell ref="H304:J304"/>
    <mergeCell ref="H358:J358"/>
    <mergeCell ref="H298:J298"/>
    <mergeCell ref="H331:J331"/>
    <mergeCell ref="H347:J347"/>
    <mergeCell ref="H306:J306"/>
    <mergeCell ref="H320:J320"/>
    <mergeCell ref="H362:J362"/>
    <mergeCell ref="H360:J360"/>
    <mergeCell ref="H384:J384"/>
    <mergeCell ref="H354:J354"/>
    <mergeCell ref="H337:J337"/>
    <mergeCell ref="H334:J334"/>
    <mergeCell ref="H381:J381"/>
    <mergeCell ref="H365:J365"/>
    <mergeCell ref="H344:J344"/>
    <mergeCell ref="H359:J359"/>
    <mergeCell ref="H277:J277"/>
    <mergeCell ref="H324:J324"/>
    <mergeCell ref="H323:J323"/>
    <mergeCell ref="H223:J223"/>
    <mergeCell ref="H305:J305"/>
    <mergeCell ref="H225:J225"/>
    <mergeCell ref="H264:J264"/>
    <mergeCell ref="H247:J247"/>
    <mergeCell ref="H296:J296"/>
    <mergeCell ref="H280:J280"/>
    <mergeCell ref="H217:J217"/>
    <mergeCell ref="H221:J221"/>
    <mergeCell ref="H348:J348"/>
    <mergeCell ref="H333:J333"/>
    <mergeCell ref="H290:J290"/>
    <mergeCell ref="H244:J244"/>
    <mergeCell ref="H227:J227"/>
    <mergeCell ref="H228:J228"/>
    <mergeCell ref="H240:J240"/>
    <mergeCell ref="H242:J242"/>
    <mergeCell ref="H287:J287"/>
    <mergeCell ref="H385:J385"/>
    <mergeCell ref="H285:J285"/>
    <mergeCell ref="H231:J231"/>
    <mergeCell ref="H239:J239"/>
    <mergeCell ref="H235:I235"/>
    <mergeCell ref="H234:J234"/>
    <mergeCell ref="H233:J233"/>
    <mergeCell ref="H257:J257"/>
    <mergeCell ref="H291:J291"/>
    <mergeCell ref="H230:J230"/>
    <mergeCell ref="H249:J249"/>
    <mergeCell ref="H250:J250"/>
    <mergeCell ref="H245:J245"/>
    <mergeCell ref="H259:J259"/>
    <mergeCell ref="H232:J232"/>
    <mergeCell ref="H241:J241"/>
    <mergeCell ref="H251:J251"/>
    <mergeCell ref="H237:J237"/>
    <mergeCell ref="H267:J267"/>
    <mergeCell ref="H255:I255"/>
    <mergeCell ref="H269:J269"/>
    <mergeCell ref="H243:J243"/>
    <mergeCell ref="H263:J263"/>
    <mergeCell ref="H246:J246"/>
    <mergeCell ref="H248:J248"/>
    <mergeCell ref="H262:J262"/>
    <mergeCell ref="H258:J258"/>
    <mergeCell ref="H266:J266"/>
    <mergeCell ref="H288:J288"/>
    <mergeCell ref="H303:J303"/>
    <mergeCell ref="H300:J300"/>
    <mergeCell ref="H268:J268"/>
    <mergeCell ref="H270:J270"/>
    <mergeCell ref="H295:J295"/>
    <mergeCell ref="H272:J272"/>
    <mergeCell ref="H294:J294"/>
    <mergeCell ref="H286:J286"/>
    <mergeCell ref="H271:J271"/>
    <mergeCell ref="H273:J273"/>
    <mergeCell ref="H311:J311"/>
    <mergeCell ref="H275:J275"/>
    <mergeCell ref="H276:J276"/>
    <mergeCell ref="H319:J319"/>
    <mergeCell ref="H307:I307"/>
    <mergeCell ref="H278:I278"/>
    <mergeCell ref="H279:J279"/>
    <mergeCell ref="H297:J297"/>
    <mergeCell ref="H318:J318"/>
    <mergeCell ref="H317:J317"/>
    <mergeCell ref="H313:J313"/>
    <mergeCell ref="H315:J315"/>
    <mergeCell ref="H292:J292"/>
    <mergeCell ref="H310:J310"/>
    <mergeCell ref="H302:J302"/>
    <mergeCell ref="H293:J293"/>
    <mergeCell ref="H335:J335"/>
    <mergeCell ref="H340:J340"/>
    <mergeCell ref="H336:I336"/>
    <mergeCell ref="H325:I325"/>
    <mergeCell ref="H312:J312"/>
    <mergeCell ref="H353:J353"/>
    <mergeCell ref="H343:J343"/>
    <mergeCell ref="H339:J339"/>
    <mergeCell ref="H329:J329"/>
    <mergeCell ref="H351:J351"/>
    <mergeCell ref="H361:J361"/>
    <mergeCell ref="H349:J349"/>
    <mergeCell ref="H322:J322"/>
    <mergeCell ref="H332:J332"/>
    <mergeCell ref="H346:J346"/>
    <mergeCell ref="H364:J364"/>
    <mergeCell ref="H357:J357"/>
    <mergeCell ref="H352:J352"/>
    <mergeCell ref="H345:J345"/>
    <mergeCell ref="H355:J355"/>
    <mergeCell ref="H363:J363"/>
    <mergeCell ref="H369:J369"/>
    <mergeCell ref="H378:J378"/>
    <mergeCell ref="H393:J393"/>
    <mergeCell ref="H404:J404"/>
    <mergeCell ref="H366:J366"/>
    <mergeCell ref="H380:J380"/>
    <mergeCell ref="H372:J372"/>
    <mergeCell ref="H398:J398"/>
    <mergeCell ref="H368:J368"/>
    <mergeCell ref="H405:J405"/>
    <mergeCell ref="H401:J401"/>
    <mergeCell ref="H376:J376"/>
    <mergeCell ref="H390:J390"/>
    <mergeCell ref="H396:J396"/>
    <mergeCell ref="H373:J373"/>
    <mergeCell ref="H387:J387"/>
    <mergeCell ref="H386:J386"/>
    <mergeCell ref="H377:J377"/>
    <mergeCell ref="B508:J508"/>
    <mergeCell ref="H429:J429"/>
    <mergeCell ref="H424:J424"/>
    <mergeCell ref="H483:J483"/>
    <mergeCell ref="H406:J406"/>
    <mergeCell ref="H367:J367"/>
    <mergeCell ref="H379:J379"/>
    <mergeCell ref="H370:J370"/>
    <mergeCell ref="H371:J371"/>
    <mergeCell ref="H400:J400"/>
    <mergeCell ref="H411:J411"/>
    <mergeCell ref="H412:J412"/>
    <mergeCell ref="H415:J415"/>
    <mergeCell ref="H423:I423"/>
    <mergeCell ref="H431:J431"/>
    <mergeCell ref="H374:J374"/>
    <mergeCell ref="H383:J383"/>
    <mergeCell ref="H399:J399"/>
    <mergeCell ref="H394:J394"/>
    <mergeCell ref="H397:J397"/>
  </mergeCells>
  <printOptions/>
  <pageMargins left="0.1968503937007874" right="0.1968503937007874" top="0.15748031496062992" bottom="0.3937007874015748" header="0.15748031496062992" footer="0.2755905511811024"/>
  <pageSetup horizontalDpi="600" verticalDpi="600" orientation="landscape" paperSize="9" scale="60" r:id="rId2"/>
  <headerFooter scaleWithDoc="0"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8"/>
  <sheetViews>
    <sheetView tabSelected="1" zoomScalePageLayoutView="0" workbookViewId="0" topLeftCell="A1">
      <pane xSplit="6" ySplit="6" topLeftCell="I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O5" sqref="O5"/>
    </sheetView>
  </sheetViews>
  <sheetFormatPr defaultColWidth="9.140625" defaultRowHeight="12.75"/>
  <cols>
    <col min="1" max="1" width="7.00390625" style="22" customWidth="1"/>
    <col min="2" max="3" width="7.57421875" style="22" customWidth="1"/>
    <col min="4" max="4" width="5.57421875" style="22" customWidth="1"/>
    <col min="5" max="5" width="14.7109375" style="927" customWidth="1"/>
    <col min="6" max="6" width="1.421875" style="22" hidden="1" customWidth="1"/>
    <col min="7" max="7" width="9.140625" style="22" customWidth="1"/>
    <col min="8" max="8" width="44.7109375" style="22" customWidth="1"/>
    <col min="9" max="9" width="33.140625" style="22" customWidth="1"/>
    <col min="10" max="10" width="4.421875" style="22" hidden="1" customWidth="1"/>
    <col min="11" max="11" width="16.28125" style="181" hidden="1" customWidth="1"/>
    <col min="12" max="12" width="16.140625" style="26" hidden="1" customWidth="1"/>
    <col min="13" max="15" width="15.8515625" style="26" customWidth="1"/>
    <col min="16" max="16" width="16.28125" style="22" hidden="1" customWidth="1"/>
    <col min="17" max="17" width="13.8515625" style="22" hidden="1" customWidth="1"/>
    <col min="18" max="18" width="20.421875" style="22" hidden="1" customWidth="1"/>
    <col min="19" max="19" width="20.421875" style="26" customWidth="1"/>
    <col min="20" max="31" width="9.140625" style="22" customWidth="1"/>
    <col min="32" max="16384" width="9.140625" style="22" customWidth="1"/>
  </cols>
  <sheetData>
    <row r="1" spans="1:11" ht="12.75">
      <c r="A1" s="25"/>
      <c r="B1" s="81" t="s">
        <v>135</v>
      </c>
      <c r="C1" s="25"/>
      <c r="D1" s="25"/>
      <c r="E1" s="911"/>
      <c r="F1" s="25"/>
      <c r="G1" s="408"/>
      <c r="H1" s="25"/>
      <c r="I1" s="25"/>
      <c r="J1" s="25"/>
      <c r="K1" s="393"/>
    </row>
    <row r="2" spans="1:15" ht="12.75">
      <c r="A2" s="25"/>
      <c r="B2" s="82" t="s">
        <v>136</v>
      </c>
      <c r="C2" s="25"/>
      <c r="D2" s="25"/>
      <c r="E2" s="911"/>
      <c r="F2" s="25"/>
      <c r="G2" s="408"/>
      <c r="H2" s="25"/>
      <c r="I2" s="25"/>
      <c r="J2" s="25"/>
      <c r="K2" s="393"/>
      <c r="M2" s="28"/>
      <c r="N2" s="28"/>
      <c r="O2" s="28"/>
    </row>
    <row r="3" spans="1:15" ht="12.75">
      <c r="A3" s="25"/>
      <c r="B3" s="82"/>
      <c r="C3" s="25"/>
      <c r="D3" s="25"/>
      <c r="E3" s="911"/>
      <c r="F3" s="25"/>
      <c r="G3" s="408"/>
      <c r="H3" s="25"/>
      <c r="I3" s="25"/>
      <c r="J3" s="25"/>
      <c r="K3" s="393"/>
      <c r="M3" s="28"/>
      <c r="N3" s="28"/>
      <c r="O3" s="28"/>
    </row>
    <row r="4" spans="1:15" ht="12.75">
      <c r="A4" s="25"/>
      <c r="B4" s="1400" t="s">
        <v>1557</v>
      </c>
      <c r="C4" s="1400"/>
      <c r="D4" s="1400"/>
      <c r="E4" s="1400"/>
      <c r="F4" s="1400"/>
      <c r="G4" s="1400"/>
      <c r="H4" s="1400"/>
      <c r="I4" s="1400"/>
      <c r="J4" s="1400"/>
      <c r="K4" s="1400"/>
      <c r="L4" s="1400"/>
      <c r="M4" s="1400"/>
      <c r="N4" s="751"/>
      <c r="O4" s="751"/>
    </row>
    <row r="5" spans="1:15" ht="15.75" thickBot="1">
      <c r="A5" s="25"/>
      <c r="B5" s="29"/>
      <c r="C5" s="29"/>
      <c r="D5" s="29"/>
      <c r="E5" s="912"/>
      <c r="F5" s="83"/>
      <c r="G5" s="29"/>
      <c r="H5" s="29"/>
      <c r="I5" s="29"/>
      <c r="J5" s="29"/>
      <c r="K5" s="394"/>
      <c r="M5" s="750"/>
      <c r="N5" s="750"/>
      <c r="O5" s="750"/>
    </row>
    <row r="6" spans="1:15" ht="63.75" thickBot="1">
      <c r="A6" s="84" t="s">
        <v>137</v>
      </c>
      <c r="B6" s="85" t="s">
        <v>138</v>
      </c>
      <c r="C6" s="85" t="s">
        <v>139</v>
      </c>
      <c r="D6" s="85" t="s">
        <v>140</v>
      </c>
      <c r="E6" s="913" t="s">
        <v>141</v>
      </c>
      <c r="F6" s="85" t="s">
        <v>142</v>
      </c>
      <c r="G6" s="1401" t="s">
        <v>143</v>
      </c>
      <c r="H6" s="1402"/>
      <c r="I6" s="1402"/>
      <c r="J6" s="1403"/>
      <c r="K6" s="86" t="s">
        <v>1341</v>
      </c>
      <c r="L6" s="86" t="s">
        <v>1341</v>
      </c>
      <c r="M6" s="1035" t="s">
        <v>1342</v>
      </c>
      <c r="N6" s="1035" t="s">
        <v>1363</v>
      </c>
      <c r="O6" s="1035" t="s">
        <v>1558</v>
      </c>
    </row>
    <row r="7" spans="1:15" ht="12.75">
      <c r="A7" s="87" t="s">
        <v>16</v>
      </c>
      <c r="B7" s="30"/>
      <c r="C7" s="30"/>
      <c r="D7" s="30"/>
      <c r="E7" s="170"/>
      <c r="F7" s="30"/>
      <c r="G7" s="1404" t="s">
        <v>144</v>
      </c>
      <c r="H7" s="1405"/>
      <c r="I7" s="1405"/>
      <c r="J7" s="1406"/>
      <c r="K7" s="76">
        <f>K8+K98</f>
        <v>452948288</v>
      </c>
      <c r="L7" s="76">
        <f>L8+L98</f>
        <v>452948288</v>
      </c>
      <c r="M7" s="928">
        <f>M8+M98</f>
        <v>527841676</v>
      </c>
      <c r="N7" s="928">
        <f>N8+N98</f>
        <v>527841676</v>
      </c>
      <c r="O7" s="928">
        <f>O8+O98</f>
        <v>527841676</v>
      </c>
    </row>
    <row r="8" spans="1:19" s="32" customFormat="1" ht="12.75">
      <c r="A8" s="31"/>
      <c r="B8" s="88">
        <v>7</v>
      </c>
      <c r="C8" s="89"/>
      <c r="D8" s="89"/>
      <c r="E8" s="142"/>
      <c r="F8" s="90"/>
      <c r="G8" s="1354" t="s">
        <v>145</v>
      </c>
      <c r="H8" s="1355"/>
      <c r="I8" s="1355"/>
      <c r="J8" s="1399"/>
      <c r="K8" s="92">
        <f>K9+K22+K26+K38+K47+K51+K54+K71+K84+K88+K93</f>
        <v>452891288</v>
      </c>
      <c r="L8" s="92">
        <f>L9+L22+L26+L38+L47+L51+L54+L71+L84+L88+L93</f>
        <v>452891288</v>
      </c>
      <c r="M8" s="929">
        <f>M9+M22+M26+M38+M47+M51+M54+M71+M84+M88+M93</f>
        <v>527773676</v>
      </c>
      <c r="N8" s="929">
        <f>N9+N22+N26+N38+N47+N51+N54+N71+N84+N88+N93</f>
        <v>527773676</v>
      </c>
      <c r="O8" s="929">
        <f>O9+O22+O26+O38+O47+O51+O54+O71+O84+O88+O93</f>
        <v>527773676</v>
      </c>
      <c r="P8" s="536"/>
      <c r="Q8" s="354"/>
      <c r="S8" s="158"/>
    </row>
    <row r="9" spans="1:17" s="26" customFormat="1" ht="12.75">
      <c r="A9" s="165"/>
      <c r="B9" s="93"/>
      <c r="C9" s="93">
        <v>711</v>
      </c>
      <c r="D9" s="93"/>
      <c r="E9" s="914"/>
      <c r="F9" s="93"/>
      <c r="G9" s="93" t="s">
        <v>146</v>
      </c>
      <c r="H9" s="93"/>
      <c r="I9" s="93"/>
      <c r="J9" s="93"/>
      <c r="K9" s="391">
        <f>K10</f>
        <v>120550000</v>
      </c>
      <c r="L9" s="391">
        <f>L10</f>
        <v>120550000</v>
      </c>
      <c r="M9" s="930">
        <f>M10</f>
        <v>141550000</v>
      </c>
      <c r="N9" s="930">
        <f>N10</f>
        <v>141550000</v>
      </c>
      <c r="O9" s="930">
        <f>O10</f>
        <v>141550000</v>
      </c>
      <c r="P9" s="578"/>
      <c r="Q9" s="354"/>
    </row>
    <row r="10" spans="1:17" ht="12.75">
      <c r="A10" s="34"/>
      <c r="B10" s="98"/>
      <c r="C10" s="98"/>
      <c r="D10" s="99">
        <v>7111</v>
      </c>
      <c r="E10" s="915"/>
      <c r="F10" s="100"/>
      <c r="G10" s="1393" t="s">
        <v>147</v>
      </c>
      <c r="H10" s="1394"/>
      <c r="I10" s="1394"/>
      <c r="J10" s="1395"/>
      <c r="K10" s="104">
        <f>SUM(K11:K25)</f>
        <v>120550000</v>
      </c>
      <c r="L10" s="104">
        <f>SUM(L11:L25)</f>
        <v>120550000</v>
      </c>
      <c r="M10" s="931">
        <f>SUM(M11:M25)</f>
        <v>141550000</v>
      </c>
      <c r="N10" s="931">
        <f>SUM(N11:N25)</f>
        <v>141550000</v>
      </c>
      <c r="O10" s="931">
        <f>SUM(O11:O25)</f>
        <v>141550000</v>
      </c>
      <c r="P10" s="350"/>
      <c r="Q10" s="354"/>
    </row>
    <row r="11" spans="1:16" ht="12.75">
      <c r="A11" s="35"/>
      <c r="B11" s="105"/>
      <c r="C11" s="105"/>
      <c r="D11" s="105"/>
      <c r="E11" s="916">
        <v>711111</v>
      </c>
      <c r="F11" s="106"/>
      <c r="G11" s="1366" t="s">
        <v>148</v>
      </c>
      <c r="H11" s="1367"/>
      <c r="I11" s="65"/>
      <c r="J11" s="109"/>
      <c r="K11" s="395">
        <v>90000000</v>
      </c>
      <c r="L11" s="110">
        <v>90000000</v>
      </c>
      <c r="M11" s="932">
        <v>103000000</v>
      </c>
      <c r="N11" s="932">
        <v>103000000</v>
      </c>
      <c r="O11" s="932">
        <v>103000000</v>
      </c>
      <c r="P11" s="579"/>
    </row>
    <row r="12" spans="1:17" ht="12.75">
      <c r="A12" s="35"/>
      <c r="B12" s="105"/>
      <c r="C12" s="105"/>
      <c r="D12" s="105"/>
      <c r="E12" s="916">
        <v>711121</v>
      </c>
      <c r="F12" s="106"/>
      <c r="G12" s="1366" t="s">
        <v>1496</v>
      </c>
      <c r="H12" s="1367"/>
      <c r="I12" s="1367"/>
      <c r="J12" s="1368"/>
      <c r="K12" s="396">
        <v>100000</v>
      </c>
      <c r="L12" s="110">
        <v>100000</v>
      </c>
      <c r="M12" s="932">
        <v>100000</v>
      </c>
      <c r="N12" s="932">
        <v>100000</v>
      </c>
      <c r="O12" s="932">
        <v>100000</v>
      </c>
      <c r="Q12" s="1"/>
    </row>
    <row r="13" spans="1:17" ht="12.75">
      <c r="A13" s="35"/>
      <c r="B13" s="105"/>
      <c r="C13" s="105"/>
      <c r="D13" s="105"/>
      <c r="E13" s="917">
        <v>711122</v>
      </c>
      <c r="F13" s="106"/>
      <c r="G13" s="107" t="s">
        <v>1497</v>
      </c>
      <c r="H13" s="108"/>
      <c r="I13" s="108"/>
      <c r="J13" s="111"/>
      <c r="K13" s="396">
        <v>1000000</v>
      </c>
      <c r="L13" s="110">
        <v>1000000</v>
      </c>
      <c r="M13" s="932">
        <v>7500000</v>
      </c>
      <c r="N13" s="932">
        <v>7500000</v>
      </c>
      <c r="O13" s="932">
        <v>7500000</v>
      </c>
      <c r="Q13" s="1"/>
    </row>
    <row r="14" spans="1:17" ht="12.75">
      <c r="A14" s="35"/>
      <c r="B14" s="105"/>
      <c r="C14" s="105"/>
      <c r="D14" s="105"/>
      <c r="E14" s="917">
        <v>711123</v>
      </c>
      <c r="F14" s="106"/>
      <c r="G14" s="107" t="s">
        <v>1498</v>
      </c>
      <c r="H14" s="108"/>
      <c r="I14" s="108"/>
      <c r="J14" s="111"/>
      <c r="K14" s="396">
        <v>6500000</v>
      </c>
      <c r="L14" s="110">
        <v>6500000</v>
      </c>
      <c r="M14" s="932">
        <v>6500000</v>
      </c>
      <c r="N14" s="932">
        <v>6500000</v>
      </c>
      <c r="O14" s="932">
        <v>6500000</v>
      </c>
      <c r="Q14" s="1"/>
    </row>
    <row r="15" spans="1:15" ht="12.75">
      <c r="A15" s="35"/>
      <c r="B15" s="105"/>
      <c r="C15" s="105"/>
      <c r="D15" s="105"/>
      <c r="E15" s="917">
        <v>711145</v>
      </c>
      <c r="F15" s="106"/>
      <c r="G15" s="1366" t="s">
        <v>1499</v>
      </c>
      <c r="H15" s="1367"/>
      <c r="I15" s="1367"/>
      <c r="J15" s="109"/>
      <c r="K15" s="395">
        <v>450000</v>
      </c>
      <c r="L15" s="112">
        <v>450000</v>
      </c>
      <c r="M15" s="932">
        <v>450000</v>
      </c>
      <c r="N15" s="932">
        <v>450000</v>
      </c>
      <c r="O15" s="932">
        <v>450000</v>
      </c>
    </row>
    <row r="16" spans="1:17" ht="12.75" hidden="1">
      <c r="A16" s="35"/>
      <c r="B16" s="105"/>
      <c r="C16" s="105"/>
      <c r="D16" s="105"/>
      <c r="E16" s="917">
        <v>71116</v>
      </c>
      <c r="F16" s="106"/>
      <c r="G16" s="107" t="s">
        <v>208</v>
      </c>
      <c r="H16" s="108"/>
      <c r="I16" s="108"/>
      <c r="J16" s="109"/>
      <c r="K16" s="395">
        <v>0</v>
      </c>
      <c r="L16" s="112">
        <v>0</v>
      </c>
      <c r="M16" s="932">
        <v>0</v>
      </c>
      <c r="N16" s="932">
        <v>0</v>
      </c>
      <c r="O16" s="932">
        <v>0</v>
      </c>
      <c r="Q16" s="1"/>
    </row>
    <row r="17" spans="1:17" ht="12.75">
      <c r="A17" s="35"/>
      <c r="B17" s="105"/>
      <c r="C17" s="105"/>
      <c r="D17" s="105"/>
      <c r="E17" s="917">
        <v>711147</v>
      </c>
      <c r="F17" s="106"/>
      <c r="G17" s="107" t="s">
        <v>1500</v>
      </c>
      <c r="H17" s="108"/>
      <c r="I17" s="108"/>
      <c r="J17" s="109"/>
      <c r="K17" s="395">
        <v>500000</v>
      </c>
      <c r="L17" s="112">
        <v>500000</v>
      </c>
      <c r="M17" s="932">
        <v>500000</v>
      </c>
      <c r="N17" s="932">
        <v>500000</v>
      </c>
      <c r="O17" s="932">
        <v>500000</v>
      </c>
      <c r="Q17" s="1"/>
    </row>
    <row r="18" spans="1:15" ht="12.75">
      <c r="A18" s="35"/>
      <c r="B18" s="105"/>
      <c r="C18" s="105"/>
      <c r="D18" s="105"/>
      <c r="E18" s="917">
        <v>711181</v>
      </c>
      <c r="F18" s="106"/>
      <c r="G18" s="1366" t="s">
        <v>1501</v>
      </c>
      <c r="H18" s="1367"/>
      <c r="I18" s="65"/>
      <c r="J18" s="109"/>
      <c r="K18" s="395">
        <v>4500000</v>
      </c>
      <c r="L18" s="110">
        <v>4500000</v>
      </c>
      <c r="M18" s="932">
        <v>4500000</v>
      </c>
      <c r="N18" s="932">
        <v>4500000</v>
      </c>
      <c r="O18" s="932">
        <v>4500000</v>
      </c>
    </row>
    <row r="19" spans="1:15" ht="12.75">
      <c r="A19" s="35"/>
      <c r="B19" s="105"/>
      <c r="C19" s="105"/>
      <c r="D19" s="105"/>
      <c r="E19" s="917">
        <v>711183</v>
      </c>
      <c r="F19" s="106"/>
      <c r="G19" s="107" t="s">
        <v>1502</v>
      </c>
      <c r="H19" s="108"/>
      <c r="I19" s="65"/>
      <c r="J19" s="109"/>
      <c r="K19" s="395">
        <v>1000000</v>
      </c>
      <c r="L19" s="110">
        <v>1000000</v>
      </c>
      <c r="M19" s="932">
        <v>1000000</v>
      </c>
      <c r="N19" s="932">
        <v>1000000</v>
      </c>
      <c r="O19" s="932">
        <v>1000000</v>
      </c>
    </row>
    <row r="20" spans="1:15" ht="12.75">
      <c r="A20" s="35"/>
      <c r="B20" s="105"/>
      <c r="C20" s="105"/>
      <c r="D20" s="105"/>
      <c r="E20" s="917">
        <v>711184</v>
      </c>
      <c r="F20" s="106"/>
      <c r="G20" s="107" t="s">
        <v>1503</v>
      </c>
      <c r="H20" s="108"/>
      <c r="I20" s="65"/>
      <c r="J20" s="109"/>
      <c r="K20" s="395">
        <v>500000</v>
      </c>
      <c r="L20" s="110">
        <v>500000</v>
      </c>
      <c r="M20" s="932">
        <v>500000</v>
      </c>
      <c r="N20" s="932">
        <v>500000</v>
      </c>
      <c r="O20" s="932">
        <v>500000</v>
      </c>
    </row>
    <row r="21" spans="1:15" ht="12.75">
      <c r="A21" s="35"/>
      <c r="B21" s="105"/>
      <c r="C21" s="105"/>
      <c r="D21" s="105"/>
      <c r="E21" s="917">
        <v>711191</v>
      </c>
      <c r="F21" s="106"/>
      <c r="G21" s="1366" t="s">
        <v>1504</v>
      </c>
      <c r="H21" s="1367"/>
      <c r="I21" s="1367"/>
      <c r="J21" s="1368"/>
      <c r="K21" s="396">
        <v>15800000</v>
      </c>
      <c r="L21" s="110">
        <v>15800000</v>
      </c>
      <c r="M21" s="932">
        <v>17300000</v>
      </c>
      <c r="N21" s="932">
        <v>17300000</v>
      </c>
      <c r="O21" s="932">
        <v>17300000</v>
      </c>
    </row>
    <row r="22" spans="1:15" ht="12.75" hidden="1">
      <c r="A22" s="33"/>
      <c r="B22" s="93"/>
      <c r="C22" s="94">
        <v>712</v>
      </c>
      <c r="D22" s="93"/>
      <c r="E22" s="159"/>
      <c r="F22" s="95"/>
      <c r="G22" s="1390" t="s">
        <v>149</v>
      </c>
      <c r="H22" s="1391"/>
      <c r="I22" s="1391"/>
      <c r="J22" s="113"/>
      <c r="K22" s="114">
        <f aca="true" t="shared" si="0" ref="K22:O23">SUM(K23)</f>
        <v>0</v>
      </c>
      <c r="L22" s="114">
        <f t="shared" si="0"/>
        <v>0</v>
      </c>
      <c r="M22" s="933">
        <f t="shared" si="0"/>
        <v>0</v>
      </c>
      <c r="N22" s="933">
        <f t="shared" si="0"/>
        <v>0</v>
      </c>
      <c r="O22" s="933">
        <f t="shared" si="0"/>
        <v>0</v>
      </c>
    </row>
    <row r="23" spans="1:15" ht="12.75" hidden="1">
      <c r="A23" s="34"/>
      <c r="B23" s="98"/>
      <c r="C23" s="98"/>
      <c r="D23" s="99">
        <v>7121</v>
      </c>
      <c r="E23" s="918"/>
      <c r="F23" s="100"/>
      <c r="G23" s="101" t="s">
        <v>150</v>
      </c>
      <c r="H23" s="102"/>
      <c r="I23" s="115"/>
      <c r="J23" s="116"/>
      <c r="K23" s="118">
        <f t="shared" si="0"/>
        <v>0</v>
      </c>
      <c r="L23" s="118">
        <f t="shared" si="0"/>
        <v>0</v>
      </c>
      <c r="M23" s="934">
        <f t="shared" si="0"/>
        <v>0</v>
      </c>
      <c r="N23" s="934">
        <f t="shared" si="0"/>
        <v>0</v>
      </c>
      <c r="O23" s="934">
        <f t="shared" si="0"/>
        <v>0</v>
      </c>
    </row>
    <row r="24" spans="1:15" ht="12.75" hidden="1">
      <c r="A24" s="35"/>
      <c r="B24" s="105"/>
      <c r="C24" s="105"/>
      <c r="D24" s="105"/>
      <c r="E24" s="917">
        <v>71211</v>
      </c>
      <c r="F24" s="106"/>
      <c r="G24" s="1366" t="s">
        <v>150</v>
      </c>
      <c r="H24" s="1367"/>
      <c r="I24" s="65"/>
      <c r="J24" s="116"/>
      <c r="K24" s="397">
        <v>0</v>
      </c>
      <c r="L24" s="119">
        <v>0</v>
      </c>
      <c r="M24" s="935">
        <v>0</v>
      </c>
      <c r="N24" s="935">
        <v>0</v>
      </c>
      <c r="O24" s="935">
        <v>0</v>
      </c>
    </row>
    <row r="25" spans="1:15" ht="12.75">
      <c r="A25" s="35"/>
      <c r="B25" s="105"/>
      <c r="C25" s="105"/>
      <c r="D25" s="105"/>
      <c r="E25" s="917">
        <v>711193</v>
      </c>
      <c r="F25" s="106"/>
      <c r="G25" s="107" t="s">
        <v>1505</v>
      </c>
      <c r="H25" s="108"/>
      <c r="I25" s="65"/>
      <c r="J25" s="116"/>
      <c r="K25" s="397">
        <v>200000</v>
      </c>
      <c r="L25" s="119">
        <v>200000</v>
      </c>
      <c r="M25" s="935">
        <v>200000</v>
      </c>
      <c r="N25" s="935">
        <v>200000</v>
      </c>
      <c r="O25" s="935">
        <v>200000</v>
      </c>
    </row>
    <row r="26" spans="1:19" ht="12.75">
      <c r="A26" s="33"/>
      <c r="B26" s="93"/>
      <c r="C26" s="94">
        <v>713</v>
      </c>
      <c r="D26" s="93"/>
      <c r="E26" s="914"/>
      <c r="F26" s="95"/>
      <c r="G26" s="1390" t="s">
        <v>151</v>
      </c>
      <c r="H26" s="1391"/>
      <c r="I26" s="120"/>
      <c r="J26" s="113"/>
      <c r="K26" s="97">
        <f>K27+K30+K32+K34</f>
        <v>74142472</v>
      </c>
      <c r="L26" s="97">
        <f>L27+L30+L32+L34</f>
        <v>74142472</v>
      </c>
      <c r="M26" s="936">
        <f>M27+M30+M32+M34</f>
        <v>44242472</v>
      </c>
      <c r="N26" s="936">
        <f>N27+N30+N32+N34</f>
        <v>44242472</v>
      </c>
      <c r="O26" s="936">
        <f>O27+O30+O32+O34</f>
        <v>44242472</v>
      </c>
      <c r="Q26" s="580" t="s">
        <v>1199</v>
      </c>
      <c r="R26" s="581">
        <f>M9+M22+M26+M38+M47</f>
        <v>203342472</v>
      </c>
      <c r="S26" s="275"/>
    </row>
    <row r="27" spans="1:19" ht="12.75">
      <c r="A27" s="34"/>
      <c r="B27" s="98"/>
      <c r="C27" s="98"/>
      <c r="D27" s="99">
        <v>7131</v>
      </c>
      <c r="E27" s="915"/>
      <c r="F27" s="100"/>
      <c r="G27" s="1393" t="s">
        <v>152</v>
      </c>
      <c r="H27" s="1394"/>
      <c r="I27" s="1394"/>
      <c r="J27" s="116"/>
      <c r="K27" s="121">
        <f>SUM(K28:K29)</f>
        <v>34500000</v>
      </c>
      <c r="L27" s="121">
        <f>SUM(L28:L29)</f>
        <v>34500000</v>
      </c>
      <c r="M27" s="937">
        <f>SUM(M28:M29)</f>
        <v>36500000</v>
      </c>
      <c r="N27" s="937">
        <f>SUM(N28:N29)</f>
        <v>36500000</v>
      </c>
      <c r="O27" s="937">
        <f>SUM(O28:O29)</f>
        <v>36500000</v>
      </c>
      <c r="R27" s="698">
        <v>0.00105</v>
      </c>
      <c r="S27" s="800"/>
    </row>
    <row r="28" spans="1:19" ht="12.75">
      <c r="A28" s="35"/>
      <c r="B28" s="105"/>
      <c r="C28" s="105"/>
      <c r="D28" s="105"/>
      <c r="E28" s="917">
        <v>713121</v>
      </c>
      <c r="F28" s="106"/>
      <c r="G28" s="107" t="s">
        <v>1506</v>
      </c>
      <c r="H28" s="108"/>
      <c r="I28" s="65"/>
      <c r="J28" s="109"/>
      <c r="K28" s="395">
        <v>20000000</v>
      </c>
      <c r="L28" s="122">
        <v>20000000</v>
      </c>
      <c r="M28" s="938">
        <v>18000000</v>
      </c>
      <c r="N28" s="938">
        <v>18000000</v>
      </c>
      <c r="O28" s="938">
        <v>18000000</v>
      </c>
      <c r="Q28" s="356" t="s">
        <v>1200</v>
      </c>
      <c r="R28" s="582">
        <f>R26*R27</f>
        <v>213509.5956</v>
      </c>
      <c r="S28" s="275"/>
    </row>
    <row r="29" spans="1:19" ht="12.75">
      <c r="A29" s="35"/>
      <c r="B29" s="105"/>
      <c r="C29" s="105"/>
      <c r="D29" s="105"/>
      <c r="E29" s="917">
        <v>713122</v>
      </c>
      <c r="F29" s="106"/>
      <c r="G29" s="107" t="s">
        <v>1507</v>
      </c>
      <c r="H29" s="108"/>
      <c r="I29" s="65"/>
      <c r="J29" s="109"/>
      <c r="K29" s="395">
        <v>14500000</v>
      </c>
      <c r="L29" s="122">
        <v>14500000</v>
      </c>
      <c r="M29" s="938">
        <v>18500000</v>
      </c>
      <c r="N29" s="938">
        <v>18500000</v>
      </c>
      <c r="O29" s="938">
        <v>18500000</v>
      </c>
      <c r="Q29" s="356"/>
      <c r="R29" s="582"/>
      <c r="S29" s="275"/>
    </row>
    <row r="30" spans="1:15" ht="12.75">
      <c r="A30" s="34"/>
      <c r="B30" s="98"/>
      <c r="C30" s="98"/>
      <c r="D30" s="99">
        <v>7133</v>
      </c>
      <c r="E30" s="915"/>
      <c r="F30" s="100"/>
      <c r="G30" s="1393" t="s">
        <v>153</v>
      </c>
      <c r="H30" s="1394"/>
      <c r="I30" s="1394"/>
      <c r="J30" s="116"/>
      <c r="K30" s="117">
        <f>K31</f>
        <v>920000</v>
      </c>
      <c r="L30" s="117">
        <f>L31</f>
        <v>920000</v>
      </c>
      <c r="M30" s="939">
        <f>M31</f>
        <v>1920000</v>
      </c>
      <c r="N30" s="939">
        <f>N31</f>
        <v>1920000</v>
      </c>
      <c r="O30" s="939">
        <f>O31</f>
        <v>1920000</v>
      </c>
    </row>
    <row r="31" spans="1:15" ht="12.75">
      <c r="A31" s="35"/>
      <c r="B31" s="105"/>
      <c r="C31" s="105"/>
      <c r="D31" s="105"/>
      <c r="E31" s="917">
        <v>713311</v>
      </c>
      <c r="F31" s="106"/>
      <c r="G31" s="107" t="s">
        <v>154</v>
      </c>
      <c r="H31" s="108"/>
      <c r="I31" s="65"/>
      <c r="J31" s="109"/>
      <c r="K31" s="395">
        <v>920000</v>
      </c>
      <c r="L31" s="122">
        <v>920000</v>
      </c>
      <c r="M31" s="938">
        <v>1920000</v>
      </c>
      <c r="N31" s="938">
        <v>1920000</v>
      </c>
      <c r="O31" s="938">
        <v>1920000</v>
      </c>
    </row>
    <row r="32" spans="1:19" ht="12.75">
      <c r="A32" s="34"/>
      <c r="B32" s="98"/>
      <c r="C32" s="98"/>
      <c r="D32" s="99">
        <v>7134</v>
      </c>
      <c r="E32" s="915"/>
      <c r="F32" s="100"/>
      <c r="G32" s="1393" t="s">
        <v>155</v>
      </c>
      <c r="H32" s="1394"/>
      <c r="I32" s="1394"/>
      <c r="J32" s="1395"/>
      <c r="K32" s="121">
        <f>SUM(K33:K37)</f>
        <v>38722472</v>
      </c>
      <c r="L32" s="121">
        <f>SUM(L33:L37)</f>
        <v>38722472</v>
      </c>
      <c r="M32" s="937">
        <f>SUM(M33:M37)</f>
        <v>5822472</v>
      </c>
      <c r="N32" s="937">
        <f>SUM(N33:N37)</f>
        <v>5822472</v>
      </c>
      <c r="O32" s="937">
        <f>SUM(O33:O37)</f>
        <v>5822472</v>
      </c>
      <c r="R32" s="27">
        <v>0.0007</v>
      </c>
      <c r="S32" s="801"/>
    </row>
    <row r="33" spans="1:19" ht="12.75">
      <c r="A33" s="35"/>
      <c r="B33" s="105"/>
      <c r="C33" s="105"/>
      <c r="D33" s="105"/>
      <c r="E33" s="917">
        <v>713421</v>
      </c>
      <c r="F33" s="106"/>
      <c r="G33" s="107" t="s">
        <v>1551</v>
      </c>
      <c r="H33" s="108"/>
      <c r="I33" s="65"/>
      <c r="J33" s="109"/>
      <c r="K33" s="395">
        <v>36900000</v>
      </c>
      <c r="L33" s="122">
        <v>36900000</v>
      </c>
      <c r="M33" s="938">
        <v>4000000</v>
      </c>
      <c r="N33" s="938">
        <v>4000000</v>
      </c>
      <c r="O33" s="938">
        <v>4000000</v>
      </c>
      <c r="Q33" s="356" t="s">
        <v>1201</v>
      </c>
      <c r="R33" s="582">
        <f>R26*R32</f>
        <v>142339.7304</v>
      </c>
      <c r="S33" s="275"/>
    </row>
    <row r="34" spans="1:15" ht="12.75" hidden="1">
      <c r="A34" s="34"/>
      <c r="B34" s="98"/>
      <c r="C34" s="98"/>
      <c r="D34" s="99">
        <v>7136</v>
      </c>
      <c r="E34" s="918"/>
      <c r="F34" s="100"/>
      <c r="G34" s="1372" t="s">
        <v>156</v>
      </c>
      <c r="H34" s="1373"/>
      <c r="I34" s="1373"/>
      <c r="J34" s="1374"/>
      <c r="K34" s="123">
        <f>SUM(K35)</f>
        <v>0</v>
      </c>
      <c r="L34" s="123">
        <f>SUM(L35)</f>
        <v>0</v>
      </c>
      <c r="M34" s="940">
        <f>SUM(M35)</f>
        <v>0</v>
      </c>
      <c r="N34" s="940">
        <f>SUM(N35)</f>
        <v>0</v>
      </c>
      <c r="O34" s="940">
        <f>SUM(O35)</f>
        <v>0</v>
      </c>
    </row>
    <row r="35" spans="1:15" ht="12.75" hidden="1">
      <c r="A35" s="35"/>
      <c r="B35" s="105"/>
      <c r="C35" s="105"/>
      <c r="D35" s="105"/>
      <c r="E35" s="917">
        <v>71361</v>
      </c>
      <c r="F35" s="106"/>
      <c r="G35" s="107" t="s">
        <v>156</v>
      </c>
      <c r="H35" s="108"/>
      <c r="I35" s="65"/>
      <c r="J35" s="109"/>
      <c r="K35" s="395">
        <v>0</v>
      </c>
      <c r="L35" s="124">
        <v>0</v>
      </c>
      <c r="M35" s="941">
        <v>0</v>
      </c>
      <c r="N35" s="941">
        <v>0</v>
      </c>
      <c r="O35" s="941">
        <v>0</v>
      </c>
    </row>
    <row r="36" spans="1:15" ht="12.75">
      <c r="A36" s="35"/>
      <c r="B36" s="105"/>
      <c r="C36" s="105"/>
      <c r="D36" s="105"/>
      <c r="E36" s="917">
        <v>713423</v>
      </c>
      <c r="F36" s="106"/>
      <c r="G36" s="107" t="s">
        <v>1552</v>
      </c>
      <c r="H36" s="108"/>
      <c r="I36" s="65"/>
      <c r="J36" s="109"/>
      <c r="K36" s="395">
        <v>1722472</v>
      </c>
      <c r="L36" s="124">
        <v>1722472</v>
      </c>
      <c r="M36" s="941">
        <v>1722472</v>
      </c>
      <c r="N36" s="941">
        <v>1722472</v>
      </c>
      <c r="O36" s="941">
        <v>1722472</v>
      </c>
    </row>
    <row r="37" spans="1:15" ht="12.75">
      <c r="A37" s="35"/>
      <c r="B37" s="105"/>
      <c r="C37" s="105"/>
      <c r="D37" s="105"/>
      <c r="E37" s="917">
        <v>713426</v>
      </c>
      <c r="F37" s="106"/>
      <c r="G37" s="107" t="s">
        <v>1508</v>
      </c>
      <c r="H37" s="108"/>
      <c r="I37" s="65"/>
      <c r="J37" s="109"/>
      <c r="K37" s="395">
        <v>100000</v>
      </c>
      <c r="L37" s="124">
        <v>100000</v>
      </c>
      <c r="M37" s="941">
        <v>100000</v>
      </c>
      <c r="N37" s="941">
        <v>100000</v>
      </c>
      <c r="O37" s="941">
        <v>100000</v>
      </c>
    </row>
    <row r="38" spans="1:15" ht="12.75">
      <c r="A38" s="33"/>
      <c r="B38" s="93"/>
      <c r="C38" s="94">
        <v>714</v>
      </c>
      <c r="D38" s="93"/>
      <c r="E38" s="914"/>
      <c r="F38" s="95"/>
      <c r="G38" s="1390" t="s">
        <v>157</v>
      </c>
      <c r="H38" s="1391"/>
      <c r="I38" s="1391"/>
      <c r="J38" s="113"/>
      <c r="K38" s="125">
        <f>K39+K42</f>
        <v>3810000</v>
      </c>
      <c r="L38" s="125">
        <f>L39+L42</f>
        <v>3810000</v>
      </c>
      <c r="M38" s="942">
        <f>M39+M42</f>
        <v>6550000</v>
      </c>
      <c r="N38" s="942">
        <f>N39+N42</f>
        <v>6550000</v>
      </c>
      <c r="O38" s="942">
        <f>O39+O42</f>
        <v>6550000</v>
      </c>
    </row>
    <row r="39" spans="1:19" ht="12.75">
      <c r="A39" s="34"/>
      <c r="B39" s="98"/>
      <c r="C39" s="98"/>
      <c r="D39" s="99">
        <v>7144</v>
      </c>
      <c r="E39" s="915"/>
      <c r="F39" s="100"/>
      <c r="G39" s="1393" t="s">
        <v>158</v>
      </c>
      <c r="H39" s="1394"/>
      <c r="I39" s="1394"/>
      <c r="J39" s="116"/>
      <c r="K39" s="126">
        <f>SUM(K40:K41)</f>
        <v>10000</v>
      </c>
      <c r="L39" s="126">
        <f>SUM(L40:L41)</f>
        <v>10000</v>
      </c>
      <c r="M39" s="943">
        <f>SUM(M40:M41)</f>
        <v>50000</v>
      </c>
      <c r="N39" s="943">
        <f>SUM(N40:N41)</f>
        <v>50000</v>
      </c>
      <c r="O39" s="943">
        <f>SUM(O40:O41)</f>
        <v>50000</v>
      </c>
      <c r="P39" s="1412" t="s">
        <v>1202</v>
      </c>
      <c r="Q39" s="1324"/>
      <c r="R39" s="582">
        <f>R28+R33</f>
        <v>355849.326</v>
      </c>
      <c r="S39" s="275"/>
    </row>
    <row r="40" spans="1:15" ht="12.75">
      <c r="A40" s="35"/>
      <c r="B40" s="105"/>
      <c r="C40" s="105"/>
      <c r="D40" s="105"/>
      <c r="E40" s="917">
        <v>714431</v>
      </c>
      <c r="F40" s="106"/>
      <c r="G40" s="1366" t="s">
        <v>159</v>
      </c>
      <c r="H40" s="1367"/>
      <c r="I40" s="1367"/>
      <c r="J40" s="1368"/>
      <c r="K40" s="396">
        <v>10000</v>
      </c>
      <c r="L40" s="127">
        <v>10000</v>
      </c>
      <c r="M40" s="944">
        <v>50000</v>
      </c>
      <c r="N40" s="944">
        <v>50000</v>
      </c>
      <c r="O40" s="944">
        <v>50000</v>
      </c>
    </row>
    <row r="41" spans="1:15" ht="12.75" hidden="1">
      <c r="A41" s="35"/>
      <c r="B41" s="105"/>
      <c r="C41" s="105"/>
      <c r="D41" s="105"/>
      <c r="E41" s="916">
        <v>71444</v>
      </c>
      <c r="F41" s="106"/>
      <c r="G41" s="1369" t="s">
        <v>160</v>
      </c>
      <c r="H41" s="1370"/>
      <c r="I41" s="1370"/>
      <c r="J41" s="1371"/>
      <c r="K41" s="396">
        <v>0</v>
      </c>
      <c r="L41" s="124">
        <v>0</v>
      </c>
      <c r="M41" s="944">
        <v>0</v>
      </c>
      <c r="N41" s="944">
        <v>0</v>
      </c>
      <c r="O41" s="944">
        <v>0</v>
      </c>
    </row>
    <row r="42" spans="1:15" ht="12.75">
      <c r="A42" s="34"/>
      <c r="B42" s="98"/>
      <c r="C42" s="98"/>
      <c r="D42" s="99">
        <v>7145</v>
      </c>
      <c r="E42" s="915"/>
      <c r="F42" s="100"/>
      <c r="G42" s="1393" t="s">
        <v>161</v>
      </c>
      <c r="H42" s="1394"/>
      <c r="I42" s="1394"/>
      <c r="J42" s="1395"/>
      <c r="K42" s="121">
        <f>SUM(K43:K46)</f>
        <v>3800000</v>
      </c>
      <c r="L42" s="121">
        <f>SUM(L43:L46)</f>
        <v>3800000</v>
      </c>
      <c r="M42" s="937">
        <f>SUM(M43:M46)</f>
        <v>6500000</v>
      </c>
      <c r="N42" s="937">
        <f>SUM(N43:N46)</f>
        <v>6500000</v>
      </c>
      <c r="O42" s="937">
        <f>SUM(O43:O46)</f>
        <v>6500000</v>
      </c>
    </row>
    <row r="43" spans="1:15" ht="12.75">
      <c r="A43" s="35"/>
      <c r="B43" s="105"/>
      <c r="C43" s="105"/>
      <c r="D43" s="105"/>
      <c r="E43" s="917">
        <v>714513</v>
      </c>
      <c r="F43" s="106"/>
      <c r="G43" s="1366" t="s">
        <v>1550</v>
      </c>
      <c r="H43" s="1367"/>
      <c r="I43" s="1396"/>
      <c r="J43" s="1397"/>
      <c r="K43" s="395">
        <v>3000000</v>
      </c>
      <c r="L43" s="122">
        <v>3000000</v>
      </c>
      <c r="M43" s="938">
        <v>5000000</v>
      </c>
      <c r="N43" s="938">
        <v>5000000</v>
      </c>
      <c r="O43" s="938">
        <v>5000000</v>
      </c>
    </row>
    <row r="44" spans="1:15" ht="12.75" hidden="1">
      <c r="A44" s="35"/>
      <c r="B44" s="105"/>
      <c r="C44" s="105"/>
      <c r="D44" s="105"/>
      <c r="E44" s="916">
        <v>71454</v>
      </c>
      <c r="F44" s="106"/>
      <c r="G44" s="1366" t="s">
        <v>162</v>
      </c>
      <c r="H44" s="1367"/>
      <c r="I44" s="1367"/>
      <c r="J44" s="1368"/>
      <c r="K44" s="396">
        <v>0</v>
      </c>
      <c r="L44" s="128">
        <v>0</v>
      </c>
      <c r="M44" s="945">
        <v>0</v>
      </c>
      <c r="N44" s="945">
        <v>0</v>
      </c>
      <c r="O44" s="945">
        <v>0</v>
      </c>
    </row>
    <row r="45" spans="1:15" ht="12.75">
      <c r="A45" s="35"/>
      <c r="B45" s="105"/>
      <c r="C45" s="105"/>
      <c r="D45" s="105"/>
      <c r="E45" s="917">
        <v>714552</v>
      </c>
      <c r="F45" s="106"/>
      <c r="G45" s="1351" t="s">
        <v>1509</v>
      </c>
      <c r="H45" s="1352"/>
      <c r="I45" s="1352"/>
      <c r="J45" s="1353"/>
      <c r="K45" s="396">
        <v>500000</v>
      </c>
      <c r="L45" s="122">
        <v>500000</v>
      </c>
      <c r="M45" s="938">
        <v>500000</v>
      </c>
      <c r="N45" s="938">
        <v>500000</v>
      </c>
      <c r="O45" s="938">
        <v>500000</v>
      </c>
    </row>
    <row r="46" spans="1:15" ht="12.75">
      <c r="A46" s="35"/>
      <c r="B46" s="105"/>
      <c r="C46" s="105"/>
      <c r="D46" s="105"/>
      <c r="E46" s="917">
        <v>714562</v>
      </c>
      <c r="F46" s="871"/>
      <c r="G46" s="1369" t="s">
        <v>1510</v>
      </c>
      <c r="H46" s="1370"/>
      <c r="I46" s="1370"/>
      <c r="J46" s="1371"/>
      <c r="K46" s="396">
        <v>300000</v>
      </c>
      <c r="L46" s="128">
        <v>300000</v>
      </c>
      <c r="M46" s="945">
        <v>1000000</v>
      </c>
      <c r="N46" s="945">
        <v>1000000</v>
      </c>
      <c r="O46" s="945">
        <v>1000000</v>
      </c>
    </row>
    <row r="47" spans="1:15" ht="12.75">
      <c r="A47" s="33"/>
      <c r="B47" s="93"/>
      <c r="C47" s="94">
        <v>716</v>
      </c>
      <c r="D47" s="93"/>
      <c r="E47" s="914"/>
      <c r="F47" s="95"/>
      <c r="G47" s="1390" t="s">
        <v>163</v>
      </c>
      <c r="H47" s="1391"/>
      <c r="I47" s="120"/>
      <c r="J47" s="113"/>
      <c r="K47" s="125">
        <f>K48</f>
        <v>1500000</v>
      </c>
      <c r="L47" s="125">
        <f>L48</f>
        <v>1500000</v>
      </c>
      <c r="M47" s="942">
        <f>M48</f>
        <v>11000000</v>
      </c>
      <c r="N47" s="942">
        <f>N48</f>
        <v>11000000</v>
      </c>
      <c r="O47" s="942">
        <f>O48</f>
        <v>11000000</v>
      </c>
    </row>
    <row r="48" spans="1:15" ht="12.75">
      <c r="A48" s="34"/>
      <c r="B48" s="98"/>
      <c r="C48" s="98"/>
      <c r="D48" s="99">
        <v>7161</v>
      </c>
      <c r="E48" s="915"/>
      <c r="F48" s="100"/>
      <c r="G48" s="1372" t="s">
        <v>164</v>
      </c>
      <c r="H48" s="1373"/>
      <c r="I48" s="1373"/>
      <c r="J48" s="1374"/>
      <c r="K48" s="121">
        <f>SUM(K49:K50)</f>
        <v>1500000</v>
      </c>
      <c r="L48" s="121">
        <f>SUM(L49:L50)</f>
        <v>1500000</v>
      </c>
      <c r="M48" s="937">
        <f>SUM(M49:M50)</f>
        <v>11000000</v>
      </c>
      <c r="N48" s="937">
        <f>SUM(N49:N50)</f>
        <v>11000000</v>
      </c>
      <c r="O48" s="937">
        <f>SUM(O49:O50)</f>
        <v>11000000</v>
      </c>
    </row>
    <row r="49" spans="1:15" ht="12.75">
      <c r="A49" s="35"/>
      <c r="B49" s="105"/>
      <c r="C49" s="105"/>
      <c r="D49" s="105"/>
      <c r="E49" s="917">
        <v>716111</v>
      </c>
      <c r="F49" s="106"/>
      <c r="G49" s="1369" t="s">
        <v>1511</v>
      </c>
      <c r="H49" s="1370"/>
      <c r="I49" s="1370"/>
      <c r="J49" s="1371"/>
      <c r="K49" s="396">
        <v>1450000</v>
      </c>
      <c r="L49" s="122">
        <v>1450000</v>
      </c>
      <c r="M49" s="946">
        <v>10000000</v>
      </c>
      <c r="N49" s="946">
        <v>10000000</v>
      </c>
      <c r="O49" s="946">
        <v>10000000</v>
      </c>
    </row>
    <row r="50" spans="1:15" ht="26.25" customHeight="1">
      <c r="A50" s="35"/>
      <c r="B50" s="105"/>
      <c r="C50" s="105"/>
      <c r="D50" s="105"/>
      <c r="E50" s="917">
        <v>716112</v>
      </c>
      <c r="F50" s="106"/>
      <c r="G50" s="1398" t="s">
        <v>1549</v>
      </c>
      <c r="H50" s="1370"/>
      <c r="I50" s="1370"/>
      <c r="J50" s="1371"/>
      <c r="K50" s="396">
        <v>50000</v>
      </c>
      <c r="L50" s="122">
        <v>50000</v>
      </c>
      <c r="M50" s="946">
        <v>1000000</v>
      </c>
      <c r="N50" s="946">
        <v>1000000</v>
      </c>
      <c r="O50" s="946">
        <v>1000000</v>
      </c>
    </row>
    <row r="51" spans="1:15" ht="12.75">
      <c r="A51" s="33"/>
      <c r="B51" s="93"/>
      <c r="C51" s="94">
        <v>733</v>
      </c>
      <c r="D51" s="93"/>
      <c r="E51" s="914"/>
      <c r="F51" s="95"/>
      <c r="G51" s="96" t="s">
        <v>165</v>
      </c>
      <c r="H51" s="78"/>
      <c r="I51" s="120"/>
      <c r="J51" s="113"/>
      <c r="K51" s="97">
        <f>K52</f>
        <v>160771510</v>
      </c>
      <c r="L51" s="97">
        <f>L52</f>
        <v>160771510</v>
      </c>
      <c r="M51" s="936">
        <f>M52</f>
        <v>160771510</v>
      </c>
      <c r="N51" s="936">
        <f>N52</f>
        <v>160771510</v>
      </c>
      <c r="O51" s="936">
        <f>O52</f>
        <v>160771510</v>
      </c>
    </row>
    <row r="52" spans="1:15" ht="12.75">
      <c r="A52" s="34"/>
      <c r="B52" s="98"/>
      <c r="C52" s="98"/>
      <c r="D52" s="99">
        <v>7331</v>
      </c>
      <c r="E52" s="915"/>
      <c r="F52" s="100"/>
      <c r="G52" s="1372" t="s">
        <v>166</v>
      </c>
      <c r="H52" s="1373"/>
      <c r="I52" s="1373"/>
      <c r="J52" s="1374"/>
      <c r="K52" s="104">
        <f>SUM(K53:K53)</f>
        <v>160771510</v>
      </c>
      <c r="L52" s="104">
        <f>SUM(L53:L53)</f>
        <v>160771510</v>
      </c>
      <c r="M52" s="931">
        <f>SUM(M53:M53)</f>
        <v>160771510</v>
      </c>
      <c r="N52" s="931">
        <f>SUM(N53:N53)</f>
        <v>160771510</v>
      </c>
      <c r="O52" s="931">
        <f>SUM(O53:O53)</f>
        <v>160771510</v>
      </c>
    </row>
    <row r="53" spans="1:15" s="26" customFormat="1" ht="12.75">
      <c r="A53" s="36"/>
      <c r="B53" s="129"/>
      <c r="C53" s="129"/>
      <c r="D53" s="129"/>
      <c r="E53" s="919">
        <v>733158</v>
      </c>
      <c r="F53" s="130"/>
      <c r="G53" s="1366" t="s">
        <v>176</v>
      </c>
      <c r="H53" s="1367"/>
      <c r="I53" s="1367"/>
      <c r="J53" s="1368"/>
      <c r="K53" s="396">
        <v>160771510</v>
      </c>
      <c r="L53" s="112">
        <v>160771510</v>
      </c>
      <c r="M53" s="947">
        <v>160771510</v>
      </c>
      <c r="N53" s="947">
        <v>160771510</v>
      </c>
      <c r="O53" s="947">
        <v>160771510</v>
      </c>
    </row>
    <row r="54" spans="1:15" ht="12.75">
      <c r="A54" s="33"/>
      <c r="B54" s="93"/>
      <c r="C54" s="94">
        <v>741</v>
      </c>
      <c r="D54" s="93"/>
      <c r="E54" s="914"/>
      <c r="F54" s="95"/>
      <c r="G54" s="1390" t="s">
        <v>177</v>
      </c>
      <c r="H54" s="1391"/>
      <c r="I54" s="120"/>
      <c r="J54" s="113"/>
      <c r="K54" s="125">
        <f>K55+K62+K60</f>
        <v>49825806</v>
      </c>
      <c r="L54" s="125">
        <f>L55+L62+L60</f>
        <v>49825806</v>
      </c>
      <c r="M54" s="942">
        <f>M55+M62+M60</f>
        <v>96219055</v>
      </c>
      <c r="N54" s="942">
        <f>N55+N62+N60</f>
        <v>96219055</v>
      </c>
      <c r="O54" s="942">
        <f>O55+O62+O60</f>
        <v>96219055</v>
      </c>
    </row>
    <row r="55" spans="1:17" ht="12.75">
      <c r="A55" s="34"/>
      <c r="B55" s="98"/>
      <c r="C55" s="98"/>
      <c r="D55" s="99">
        <v>7411</v>
      </c>
      <c r="E55" s="915"/>
      <c r="F55" s="100"/>
      <c r="G55" s="101" t="s">
        <v>178</v>
      </c>
      <c r="H55" s="102"/>
      <c r="I55" s="115"/>
      <c r="J55" s="116"/>
      <c r="K55" s="118">
        <f>K56</f>
        <v>5806751</v>
      </c>
      <c r="L55" s="118">
        <f>L56</f>
        <v>5806751</v>
      </c>
      <c r="M55" s="934">
        <f>M56</f>
        <v>9300000</v>
      </c>
      <c r="N55" s="934">
        <f>N56</f>
        <v>9300000</v>
      </c>
      <c r="O55" s="934">
        <f>O56</f>
        <v>9300000</v>
      </c>
      <c r="Q55" s="535"/>
    </row>
    <row r="56" spans="1:15" ht="12.75">
      <c r="A56" s="35"/>
      <c r="B56" s="105"/>
      <c r="C56" s="105"/>
      <c r="D56" s="105"/>
      <c r="E56" s="916">
        <v>741151</v>
      </c>
      <c r="F56" s="106"/>
      <c r="G56" s="1369" t="s">
        <v>1516</v>
      </c>
      <c r="H56" s="1370"/>
      <c r="I56" s="1370"/>
      <c r="J56" s="1371"/>
      <c r="K56" s="396">
        <v>5806751</v>
      </c>
      <c r="L56" s="132">
        <v>5806751</v>
      </c>
      <c r="M56" s="948">
        <v>9300000</v>
      </c>
      <c r="N56" s="948">
        <v>9300000</v>
      </c>
      <c r="O56" s="948">
        <v>9300000</v>
      </c>
    </row>
    <row r="57" spans="1:15" ht="12.75" hidden="1">
      <c r="A57" s="35"/>
      <c r="B57" s="105"/>
      <c r="C57" s="105"/>
      <c r="D57" s="135">
        <v>7414</v>
      </c>
      <c r="E57" s="916"/>
      <c r="F57" s="106"/>
      <c r="G57" s="388" t="s">
        <v>1182</v>
      </c>
      <c r="H57" s="270"/>
      <c r="I57" s="270"/>
      <c r="J57" s="390"/>
      <c r="K57" s="402">
        <f>K58</f>
        <v>0</v>
      </c>
      <c r="L57" s="402">
        <f>L58</f>
        <v>0</v>
      </c>
      <c r="M57" s="949">
        <f>M58</f>
        <v>0</v>
      </c>
      <c r="N57" s="949">
        <f>N58</f>
        <v>0</v>
      </c>
      <c r="O57" s="949">
        <f>O58</f>
        <v>0</v>
      </c>
    </row>
    <row r="58" spans="1:15" ht="12.75" hidden="1">
      <c r="A58" s="35"/>
      <c r="B58" s="105"/>
      <c r="C58" s="105"/>
      <c r="D58" s="105"/>
      <c r="E58" s="916">
        <v>74141</v>
      </c>
      <c r="F58" s="106"/>
      <c r="G58" s="389" t="s">
        <v>1182</v>
      </c>
      <c r="H58" s="270"/>
      <c r="I58" s="270"/>
      <c r="J58" s="390"/>
      <c r="K58" s="132">
        <v>0</v>
      </c>
      <c r="L58" s="132">
        <v>0</v>
      </c>
      <c r="M58" s="948">
        <v>0</v>
      </c>
      <c r="N58" s="948">
        <v>0</v>
      </c>
      <c r="O58" s="948">
        <v>0</v>
      </c>
    </row>
    <row r="59" spans="1:15" ht="12.75" hidden="1">
      <c r="A59" s="35"/>
      <c r="B59" s="105"/>
      <c r="C59" s="105"/>
      <c r="D59" s="105"/>
      <c r="E59" s="916"/>
      <c r="F59" s="106">
        <v>741414</v>
      </c>
      <c r="G59" s="389" t="s">
        <v>1181</v>
      </c>
      <c r="H59" s="270"/>
      <c r="I59" s="270"/>
      <c r="J59" s="390"/>
      <c r="K59" s="405">
        <v>0</v>
      </c>
      <c r="L59" s="406">
        <v>0</v>
      </c>
      <c r="M59" s="950">
        <v>0</v>
      </c>
      <c r="N59" s="950">
        <v>0</v>
      </c>
      <c r="O59" s="950">
        <v>0</v>
      </c>
    </row>
    <row r="60" spans="1:19" s="746" customFormat="1" ht="12.75">
      <c r="A60" s="34"/>
      <c r="B60" s="98"/>
      <c r="C60" s="98"/>
      <c r="D60" s="99">
        <v>7414</v>
      </c>
      <c r="E60" s="920"/>
      <c r="F60" s="100"/>
      <c r="G60" s="388" t="s">
        <v>1377</v>
      </c>
      <c r="H60" s="764"/>
      <c r="I60" s="764"/>
      <c r="J60" s="869"/>
      <c r="K60" s="798">
        <f>K61</f>
        <v>1100000</v>
      </c>
      <c r="L60" s="873">
        <f>L61</f>
        <v>1100000</v>
      </c>
      <c r="M60" s="951">
        <f>M61</f>
        <v>1100000</v>
      </c>
      <c r="N60" s="951">
        <f>N61</f>
        <v>1100000</v>
      </c>
      <c r="O60" s="951">
        <f>O61</f>
        <v>1100000</v>
      </c>
      <c r="S60" s="802"/>
    </row>
    <row r="61" spans="1:15" ht="12.75">
      <c r="A61" s="35"/>
      <c r="B61" s="105"/>
      <c r="C61" s="105"/>
      <c r="D61" s="105"/>
      <c r="E61" s="916">
        <v>741414</v>
      </c>
      <c r="F61" s="106"/>
      <c r="G61" s="389" t="s">
        <v>1376</v>
      </c>
      <c r="H61" s="270"/>
      <c r="I61" s="270"/>
      <c r="J61" s="390"/>
      <c r="K61" s="405">
        <v>1100000</v>
      </c>
      <c r="L61" s="406">
        <v>1100000</v>
      </c>
      <c r="M61" s="950">
        <v>1100000</v>
      </c>
      <c r="N61" s="950">
        <v>1100000</v>
      </c>
      <c r="O61" s="950">
        <v>1100000</v>
      </c>
    </row>
    <row r="62" spans="1:15" ht="12.75">
      <c r="A62" s="34"/>
      <c r="B62" s="98"/>
      <c r="C62" s="98"/>
      <c r="D62" s="99">
        <v>7415</v>
      </c>
      <c r="E62" s="915"/>
      <c r="F62" s="100"/>
      <c r="G62" s="1393" t="s">
        <v>179</v>
      </c>
      <c r="H62" s="1394"/>
      <c r="I62" s="1394"/>
      <c r="J62" s="116"/>
      <c r="K62" s="121">
        <f>SUM(K63:K69)</f>
        <v>42919055</v>
      </c>
      <c r="L62" s="121">
        <f>SUM(L63:L69)</f>
        <v>42919055</v>
      </c>
      <c r="M62" s="937">
        <f>SUM(M63:M70)</f>
        <v>85819055</v>
      </c>
      <c r="N62" s="937">
        <f>SUM(N63:N70)</f>
        <v>85819055</v>
      </c>
      <c r="O62" s="937">
        <f>SUM(O63:O70)</f>
        <v>85819055</v>
      </c>
    </row>
    <row r="63" spans="1:17" ht="12.75">
      <c r="A63" s="35"/>
      <c r="B63" s="105"/>
      <c r="C63" s="105"/>
      <c r="D63" s="133"/>
      <c r="E63" s="921">
        <v>741516</v>
      </c>
      <c r="F63" s="106"/>
      <c r="G63" s="1366" t="s">
        <v>180</v>
      </c>
      <c r="H63" s="1367"/>
      <c r="I63" s="1367"/>
      <c r="J63" s="1368"/>
      <c r="K63" s="396">
        <v>300000</v>
      </c>
      <c r="L63" s="128">
        <v>300000</v>
      </c>
      <c r="M63" s="938">
        <v>3000000</v>
      </c>
      <c r="N63" s="938">
        <v>3000000</v>
      </c>
      <c r="O63" s="938">
        <v>3000000</v>
      </c>
      <c r="Q63" s="271"/>
    </row>
    <row r="64" spans="1:17" ht="12.75">
      <c r="A64" s="35"/>
      <c r="B64" s="105"/>
      <c r="C64" s="105"/>
      <c r="D64" s="133"/>
      <c r="E64" s="921">
        <v>741522</v>
      </c>
      <c r="F64" s="106"/>
      <c r="G64" s="1366" t="s">
        <v>1517</v>
      </c>
      <c r="H64" s="1367"/>
      <c r="I64" s="1367"/>
      <c r="J64" s="1368"/>
      <c r="K64" s="396">
        <v>32000000</v>
      </c>
      <c r="L64" s="122">
        <v>32000000</v>
      </c>
      <c r="M64" s="938">
        <v>45000000</v>
      </c>
      <c r="N64" s="938">
        <v>45000000</v>
      </c>
      <c r="O64" s="938">
        <v>45000000</v>
      </c>
      <c r="Q64" s="271"/>
    </row>
    <row r="65" spans="1:17" ht="12.75">
      <c r="A65" s="35"/>
      <c r="B65" s="105"/>
      <c r="C65" s="105"/>
      <c r="D65" s="133"/>
      <c r="E65" s="170">
        <v>741526</v>
      </c>
      <c r="F65" s="106"/>
      <c r="G65" s="107" t="s">
        <v>1518</v>
      </c>
      <c r="H65" s="108"/>
      <c r="I65" s="108"/>
      <c r="J65" s="111"/>
      <c r="K65" s="396">
        <v>5619055</v>
      </c>
      <c r="L65" s="122">
        <v>5619055</v>
      </c>
      <c r="M65" s="938">
        <v>7619055</v>
      </c>
      <c r="N65" s="938">
        <v>7619055</v>
      </c>
      <c r="O65" s="938">
        <v>7619055</v>
      </c>
      <c r="Q65" s="271"/>
    </row>
    <row r="66" spans="1:15" ht="12.75">
      <c r="A66" s="35"/>
      <c r="B66" s="105"/>
      <c r="C66" s="105"/>
      <c r="D66" s="105"/>
      <c r="E66" s="916">
        <v>741531</v>
      </c>
      <c r="F66" s="106"/>
      <c r="G66" s="1366" t="s">
        <v>181</v>
      </c>
      <c r="H66" s="1367"/>
      <c r="I66" s="1367"/>
      <c r="J66" s="1368"/>
      <c r="K66" s="396">
        <v>2000000</v>
      </c>
      <c r="L66" s="122">
        <v>2000000</v>
      </c>
      <c r="M66" s="938">
        <v>5000000</v>
      </c>
      <c r="N66" s="938">
        <v>5000000</v>
      </c>
      <c r="O66" s="938">
        <v>5000000</v>
      </c>
    </row>
    <row r="67" spans="1:15" ht="12.75" hidden="1">
      <c r="A67" s="35"/>
      <c r="B67" s="105"/>
      <c r="C67" s="105"/>
      <c r="D67" s="105"/>
      <c r="E67" s="916">
        <v>74155</v>
      </c>
      <c r="F67" s="106"/>
      <c r="G67" s="1366" t="s">
        <v>162</v>
      </c>
      <c r="H67" s="1367"/>
      <c r="I67" s="1367"/>
      <c r="J67" s="1368"/>
      <c r="K67" s="396">
        <v>0</v>
      </c>
      <c r="L67" s="128">
        <v>0</v>
      </c>
      <c r="M67" s="945">
        <v>0</v>
      </c>
      <c r="N67" s="945">
        <v>0</v>
      </c>
      <c r="O67" s="945">
        <v>0</v>
      </c>
    </row>
    <row r="68" spans="1:15" ht="12.75">
      <c r="A68" s="35"/>
      <c r="B68" s="105"/>
      <c r="C68" s="105"/>
      <c r="D68" s="105"/>
      <c r="E68" s="917">
        <v>741534</v>
      </c>
      <c r="F68" s="106"/>
      <c r="G68" s="107" t="s">
        <v>1519</v>
      </c>
      <c r="H68" s="108"/>
      <c r="I68" s="108"/>
      <c r="J68" s="111"/>
      <c r="K68" s="396">
        <v>1500000</v>
      </c>
      <c r="L68" s="128">
        <v>1500000</v>
      </c>
      <c r="M68" s="945">
        <v>8000000</v>
      </c>
      <c r="N68" s="945">
        <v>8000000</v>
      </c>
      <c r="O68" s="945">
        <v>8000000</v>
      </c>
    </row>
    <row r="69" spans="1:15" ht="12.75">
      <c r="A69" s="35"/>
      <c r="B69" s="105"/>
      <c r="C69" s="105"/>
      <c r="D69" s="105"/>
      <c r="E69" s="917">
        <v>741538</v>
      </c>
      <c r="F69" s="106"/>
      <c r="G69" s="107" t="s">
        <v>1520</v>
      </c>
      <c r="H69" s="108"/>
      <c r="I69" s="108"/>
      <c r="J69" s="111"/>
      <c r="K69" s="396">
        <v>1500000</v>
      </c>
      <c r="L69" s="128">
        <v>1500000</v>
      </c>
      <c r="M69" s="945">
        <v>9700000</v>
      </c>
      <c r="N69" s="945">
        <v>9700000</v>
      </c>
      <c r="O69" s="945">
        <v>9700000</v>
      </c>
    </row>
    <row r="70" spans="1:15" ht="12.75">
      <c r="A70" s="35"/>
      <c r="B70" s="105"/>
      <c r="C70" s="105"/>
      <c r="D70" s="105"/>
      <c r="E70" s="917">
        <v>741596</v>
      </c>
      <c r="F70" s="106"/>
      <c r="G70" s="107" t="s">
        <v>1542</v>
      </c>
      <c r="H70" s="108"/>
      <c r="I70" s="108"/>
      <c r="J70" s="111"/>
      <c r="K70" s="396"/>
      <c r="L70" s="128"/>
      <c r="M70" s="945">
        <v>7500000</v>
      </c>
      <c r="N70" s="945">
        <v>7500000</v>
      </c>
      <c r="O70" s="945">
        <v>7500000</v>
      </c>
    </row>
    <row r="71" spans="1:15" ht="12.75">
      <c r="A71" s="33"/>
      <c r="B71" s="93"/>
      <c r="C71" s="94">
        <v>742</v>
      </c>
      <c r="D71" s="93"/>
      <c r="E71" s="914"/>
      <c r="F71" s="95"/>
      <c r="G71" s="1390" t="s">
        <v>182</v>
      </c>
      <c r="H71" s="1391"/>
      <c r="I71" s="1391"/>
      <c r="J71" s="1392"/>
      <c r="K71" s="114">
        <f>K72+K79</f>
        <v>13910000</v>
      </c>
      <c r="L71" s="114">
        <f>L72+L79</f>
        <v>13910000</v>
      </c>
      <c r="M71" s="933">
        <f>M72+M79</f>
        <v>33972228</v>
      </c>
      <c r="N71" s="933">
        <f>N72+N79</f>
        <v>33972228</v>
      </c>
      <c r="O71" s="933">
        <f>O72+O79</f>
        <v>33972228</v>
      </c>
    </row>
    <row r="72" spans="1:19" s="746" customFormat="1" ht="12.75">
      <c r="A72" s="34"/>
      <c r="B72" s="98"/>
      <c r="C72" s="98"/>
      <c r="D72" s="99">
        <v>7421</v>
      </c>
      <c r="E72" s="915"/>
      <c r="F72" s="100"/>
      <c r="G72" s="101" t="s">
        <v>1333</v>
      </c>
      <c r="H72" s="102"/>
      <c r="I72" s="102"/>
      <c r="J72" s="103"/>
      <c r="K72" s="744">
        <f>SUM(K73:K78)</f>
        <v>10360000</v>
      </c>
      <c r="L72" s="745">
        <f>SUM(L73:L78)</f>
        <v>10360000</v>
      </c>
      <c r="M72" s="952">
        <f>SUM(M73:M78)</f>
        <v>23500000</v>
      </c>
      <c r="N72" s="952">
        <f>SUM(N73:N78)</f>
        <v>23500000</v>
      </c>
      <c r="O72" s="952">
        <f>SUM(O73:O78)</f>
        <v>23500000</v>
      </c>
      <c r="S72" s="802"/>
    </row>
    <row r="73" spans="1:15" ht="12.75">
      <c r="A73" s="35"/>
      <c r="B73" s="105"/>
      <c r="C73" s="105"/>
      <c r="D73" s="99"/>
      <c r="E73" s="922">
        <v>742126</v>
      </c>
      <c r="F73" s="106"/>
      <c r="G73" s="1369" t="s">
        <v>1378</v>
      </c>
      <c r="H73" s="1370"/>
      <c r="I73" s="1370"/>
      <c r="J73" s="1371"/>
      <c r="K73" s="396">
        <v>960000</v>
      </c>
      <c r="L73" s="124">
        <v>960000</v>
      </c>
      <c r="M73" s="953">
        <v>2000000</v>
      </c>
      <c r="N73" s="953">
        <v>2000000</v>
      </c>
      <c r="O73" s="953">
        <v>2000000</v>
      </c>
    </row>
    <row r="74" spans="1:15" ht="12.75">
      <c r="A74" s="35"/>
      <c r="B74" s="105"/>
      <c r="C74" s="105"/>
      <c r="D74" s="105"/>
      <c r="E74" s="916">
        <v>742151</v>
      </c>
      <c r="F74" s="106"/>
      <c r="G74" s="1369" t="s">
        <v>1532</v>
      </c>
      <c r="H74" s="1370"/>
      <c r="I74" s="1370"/>
      <c r="J74" s="1371"/>
      <c r="K74" s="396">
        <v>2000000</v>
      </c>
      <c r="L74" s="124">
        <v>2000000</v>
      </c>
      <c r="M74" s="953">
        <v>5000000</v>
      </c>
      <c r="N74" s="953">
        <v>5000000</v>
      </c>
      <c r="O74" s="953">
        <v>5000000</v>
      </c>
    </row>
    <row r="75" spans="1:15" ht="12.75">
      <c r="A75" s="35"/>
      <c r="B75" s="105"/>
      <c r="C75" s="105"/>
      <c r="D75" s="105"/>
      <c r="E75" s="917">
        <v>742152</v>
      </c>
      <c r="F75" s="106"/>
      <c r="G75" s="389" t="s">
        <v>1521</v>
      </c>
      <c r="H75" s="270"/>
      <c r="I75" s="270"/>
      <c r="J75" s="390"/>
      <c r="K75" s="396">
        <v>1000000</v>
      </c>
      <c r="L75" s="124">
        <v>1000000</v>
      </c>
      <c r="M75" s="953">
        <v>2000000</v>
      </c>
      <c r="N75" s="953">
        <v>2000000</v>
      </c>
      <c r="O75" s="953">
        <v>2000000</v>
      </c>
    </row>
    <row r="76" spans="1:15" ht="12.75">
      <c r="A76" s="35"/>
      <c r="B76" s="105"/>
      <c r="C76" s="105"/>
      <c r="D76" s="105"/>
      <c r="E76" s="917">
        <v>742154</v>
      </c>
      <c r="F76" s="106"/>
      <c r="G76" s="389" t="s">
        <v>1522</v>
      </c>
      <c r="H76" s="270"/>
      <c r="I76" s="270"/>
      <c r="J76" s="390"/>
      <c r="K76" s="396">
        <v>1400000</v>
      </c>
      <c r="L76" s="124">
        <v>1400000</v>
      </c>
      <c r="M76" s="953">
        <v>3000000</v>
      </c>
      <c r="N76" s="953">
        <v>3000000</v>
      </c>
      <c r="O76" s="953">
        <v>3000000</v>
      </c>
    </row>
    <row r="77" spans="1:15" ht="12.75">
      <c r="A77" s="35"/>
      <c r="B77" s="105"/>
      <c r="C77" s="105"/>
      <c r="D77" s="105"/>
      <c r="E77" s="917">
        <v>742155</v>
      </c>
      <c r="F77" s="106"/>
      <c r="G77" s="389" t="s">
        <v>1541</v>
      </c>
      <c r="H77" s="270"/>
      <c r="I77" s="270"/>
      <c r="J77" s="390"/>
      <c r="K77" s="396"/>
      <c r="L77" s="124"/>
      <c r="M77" s="953">
        <v>3500000</v>
      </c>
      <c r="N77" s="953">
        <v>3500000</v>
      </c>
      <c r="O77" s="953">
        <v>3500000</v>
      </c>
    </row>
    <row r="78" spans="1:15" ht="12.75">
      <c r="A78" s="35"/>
      <c r="B78" s="105"/>
      <c r="C78" s="105"/>
      <c r="D78" s="105"/>
      <c r="E78" s="917">
        <v>742156</v>
      </c>
      <c r="F78" s="106"/>
      <c r="G78" s="389" t="s">
        <v>1523</v>
      </c>
      <c r="H78" s="270"/>
      <c r="I78" s="270"/>
      <c r="J78" s="390"/>
      <c r="K78" s="396">
        <v>5000000</v>
      </c>
      <c r="L78" s="124">
        <v>5000000</v>
      </c>
      <c r="M78" s="953">
        <v>8000000</v>
      </c>
      <c r="N78" s="953">
        <v>8000000</v>
      </c>
      <c r="O78" s="953">
        <v>8000000</v>
      </c>
    </row>
    <row r="79" spans="1:15" ht="12.75">
      <c r="A79" s="34"/>
      <c r="B79" s="98"/>
      <c r="C79" s="98"/>
      <c r="D79" s="99">
        <v>7422</v>
      </c>
      <c r="E79" s="915"/>
      <c r="F79" s="100"/>
      <c r="G79" s="101" t="s">
        <v>183</v>
      </c>
      <c r="H79" s="102"/>
      <c r="I79" s="115"/>
      <c r="J79" s="116"/>
      <c r="K79" s="118">
        <f>SUM(K80:K83)</f>
        <v>3550000</v>
      </c>
      <c r="L79" s="118">
        <f>SUM(L80:L83)</f>
        <v>3550000</v>
      </c>
      <c r="M79" s="934">
        <f>SUM(M80:M83)</f>
        <v>10472228</v>
      </c>
      <c r="N79" s="934">
        <f>SUM(N80:N83)</f>
        <v>10472228</v>
      </c>
      <c r="O79" s="934">
        <f>SUM(O80:O83)</f>
        <v>10472228</v>
      </c>
    </row>
    <row r="80" spans="1:15" ht="12.75">
      <c r="A80" s="35"/>
      <c r="B80" s="105"/>
      <c r="C80" s="105"/>
      <c r="D80" s="105"/>
      <c r="E80" s="916">
        <v>742251</v>
      </c>
      <c r="F80" s="106"/>
      <c r="G80" s="1366" t="s">
        <v>1524</v>
      </c>
      <c r="H80" s="1367"/>
      <c r="I80" s="1367"/>
      <c r="J80" s="109"/>
      <c r="K80" s="395">
        <v>550000</v>
      </c>
      <c r="L80" s="119">
        <v>550000</v>
      </c>
      <c r="M80" s="954">
        <v>3000000</v>
      </c>
      <c r="N80" s="954">
        <v>3000000</v>
      </c>
      <c r="O80" s="954">
        <v>3000000</v>
      </c>
    </row>
    <row r="81" spans="1:15" ht="12.75" hidden="1">
      <c r="A81" s="34"/>
      <c r="B81" s="98"/>
      <c r="C81" s="98"/>
      <c r="D81" s="99">
        <v>7423</v>
      </c>
      <c r="E81" s="915"/>
      <c r="F81" s="100"/>
      <c r="G81" s="1372" t="s">
        <v>210</v>
      </c>
      <c r="H81" s="1373"/>
      <c r="I81" s="1373"/>
      <c r="J81" s="1374"/>
      <c r="K81" s="118">
        <f>SUM(K82)</f>
        <v>0</v>
      </c>
      <c r="L81" s="118">
        <f>SUM(L82)</f>
        <v>0</v>
      </c>
      <c r="M81" s="934">
        <f>SUM(M82)</f>
        <v>0</v>
      </c>
      <c r="N81" s="934">
        <f>SUM(N82)</f>
        <v>0</v>
      </c>
      <c r="O81" s="934">
        <f>SUM(O82)</f>
        <v>0</v>
      </c>
    </row>
    <row r="82" spans="1:15" ht="12.75" hidden="1">
      <c r="A82" s="35"/>
      <c r="B82" s="105"/>
      <c r="C82" s="105"/>
      <c r="D82" s="133"/>
      <c r="E82" s="921">
        <v>74235</v>
      </c>
      <c r="F82" s="106"/>
      <c r="G82" s="1369" t="s">
        <v>209</v>
      </c>
      <c r="H82" s="1370"/>
      <c r="I82" s="1370"/>
      <c r="J82" s="1371"/>
      <c r="K82" s="395">
        <v>0</v>
      </c>
      <c r="L82" s="134">
        <v>0</v>
      </c>
      <c r="M82" s="955">
        <v>0</v>
      </c>
      <c r="N82" s="955">
        <v>0</v>
      </c>
      <c r="O82" s="955">
        <v>0</v>
      </c>
    </row>
    <row r="83" spans="1:15" ht="12.75">
      <c r="A83" s="35"/>
      <c r="B83" s="105"/>
      <c r="C83" s="105"/>
      <c r="D83" s="133"/>
      <c r="E83" s="170">
        <v>742255</v>
      </c>
      <c r="F83" s="106"/>
      <c r="G83" s="389" t="s">
        <v>1525</v>
      </c>
      <c r="H83" s="270"/>
      <c r="I83" s="270"/>
      <c r="J83" s="390"/>
      <c r="K83" s="395">
        <v>3000000</v>
      </c>
      <c r="L83" s="134">
        <v>3000000</v>
      </c>
      <c r="M83" s="955">
        <v>7472228</v>
      </c>
      <c r="N83" s="955">
        <v>7472228</v>
      </c>
      <c r="O83" s="955">
        <v>7472228</v>
      </c>
    </row>
    <row r="84" spans="1:15" ht="12.75">
      <c r="A84" s="35"/>
      <c r="B84" s="93"/>
      <c r="C84" s="94">
        <v>743</v>
      </c>
      <c r="D84" s="93"/>
      <c r="E84" s="914"/>
      <c r="F84" s="95"/>
      <c r="G84" s="96" t="s">
        <v>184</v>
      </c>
      <c r="H84" s="78"/>
      <c r="I84" s="78"/>
      <c r="J84" s="79"/>
      <c r="K84" s="114">
        <f>K85</f>
        <v>3500000</v>
      </c>
      <c r="L84" s="114">
        <f>L85</f>
        <v>3500000</v>
      </c>
      <c r="M84" s="933">
        <f>M85</f>
        <v>8586911</v>
      </c>
      <c r="N84" s="933">
        <f>N85</f>
        <v>8586911</v>
      </c>
      <c r="O84" s="933">
        <f>O85</f>
        <v>8586911</v>
      </c>
    </row>
    <row r="85" spans="1:15" ht="12.75">
      <c r="A85" s="35"/>
      <c r="B85" s="105"/>
      <c r="C85" s="105"/>
      <c r="D85" s="99">
        <v>7433</v>
      </c>
      <c r="E85" s="916"/>
      <c r="F85" s="106"/>
      <c r="G85" s="1393" t="s">
        <v>185</v>
      </c>
      <c r="H85" s="1394"/>
      <c r="I85" s="1394"/>
      <c r="J85" s="1395"/>
      <c r="K85" s="118">
        <f>SUM(K86:K87)</f>
        <v>3500000</v>
      </c>
      <c r="L85" s="118">
        <f>SUM(L86:L87)</f>
        <v>3500000</v>
      </c>
      <c r="M85" s="934">
        <f>SUM(M86:M87)</f>
        <v>8586911</v>
      </c>
      <c r="N85" s="934">
        <f>SUM(N86:N87)</f>
        <v>8586911</v>
      </c>
      <c r="O85" s="934">
        <f>SUM(O86:O87)</f>
        <v>8586911</v>
      </c>
    </row>
    <row r="86" spans="1:15" ht="12.75">
      <c r="A86" s="35"/>
      <c r="B86" s="105"/>
      <c r="C86" s="105"/>
      <c r="D86" s="99"/>
      <c r="E86" s="916">
        <v>743324</v>
      </c>
      <c r="F86" s="106"/>
      <c r="G86" s="107" t="s">
        <v>211</v>
      </c>
      <c r="H86" s="108"/>
      <c r="I86" s="108"/>
      <c r="J86" s="111"/>
      <c r="K86" s="396">
        <v>3500000</v>
      </c>
      <c r="L86" s="117">
        <v>3500000</v>
      </c>
      <c r="M86" s="956">
        <v>8586911</v>
      </c>
      <c r="N86" s="956">
        <v>8586911</v>
      </c>
      <c r="O86" s="956">
        <v>8586911</v>
      </c>
    </row>
    <row r="87" spans="1:15" ht="12.75" hidden="1">
      <c r="A87" s="35"/>
      <c r="B87" s="105"/>
      <c r="C87" s="105"/>
      <c r="D87" s="105"/>
      <c r="E87" s="916">
        <v>74335</v>
      </c>
      <c r="F87" s="106"/>
      <c r="G87" s="1366" t="s">
        <v>186</v>
      </c>
      <c r="H87" s="1367"/>
      <c r="I87" s="1367"/>
      <c r="J87" s="1368"/>
      <c r="K87" s="396">
        <v>0</v>
      </c>
      <c r="L87" s="132">
        <v>0</v>
      </c>
      <c r="M87" s="954">
        <v>0</v>
      </c>
      <c r="N87" s="954">
        <v>0</v>
      </c>
      <c r="O87" s="954">
        <v>0</v>
      </c>
    </row>
    <row r="88" spans="1:15" ht="12.75" hidden="1">
      <c r="A88" s="33"/>
      <c r="B88" s="93"/>
      <c r="C88" s="94">
        <v>744</v>
      </c>
      <c r="D88" s="93"/>
      <c r="E88" s="914"/>
      <c r="F88" s="95"/>
      <c r="G88" s="1390" t="s">
        <v>187</v>
      </c>
      <c r="H88" s="1391"/>
      <c r="I88" s="1391"/>
      <c r="J88" s="1392"/>
      <c r="K88" s="114">
        <f>K89+K91</f>
        <v>0</v>
      </c>
      <c r="L88" s="114">
        <f>L89+L91</f>
        <v>0</v>
      </c>
      <c r="M88" s="933">
        <f>M89+M91</f>
        <v>0</v>
      </c>
      <c r="N88" s="933">
        <f>N89+N91</f>
        <v>0</v>
      </c>
      <c r="O88" s="933">
        <f>O89+O91</f>
        <v>0</v>
      </c>
    </row>
    <row r="89" spans="1:15" ht="12.75" hidden="1">
      <c r="A89" s="34"/>
      <c r="B89" s="98"/>
      <c r="C89" s="98"/>
      <c r="D89" s="99">
        <v>7441</v>
      </c>
      <c r="E89" s="915"/>
      <c r="F89" s="100"/>
      <c r="G89" s="101" t="s">
        <v>188</v>
      </c>
      <c r="H89" s="102"/>
      <c r="I89" s="115"/>
      <c r="J89" s="116"/>
      <c r="K89" s="118">
        <f>K90</f>
        <v>0</v>
      </c>
      <c r="L89" s="118">
        <f>L90</f>
        <v>0</v>
      </c>
      <c r="M89" s="934">
        <f>M90</f>
        <v>0</v>
      </c>
      <c r="N89" s="934">
        <f>N90</f>
        <v>0</v>
      </c>
      <c r="O89" s="934">
        <f>O90</f>
        <v>0</v>
      </c>
    </row>
    <row r="90" spans="1:15" ht="12.75" hidden="1">
      <c r="A90" s="35"/>
      <c r="B90" s="105"/>
      <c r="C90" s="105"/>
      <c r="D90" s="105"/>
      <c r="E90" s="916">
        <v>74415</v>
      </c>
      <c r="F90" s="106"/>
      <c r="G90" s="1366" t="s">
        <v>189</v>
      </c>
      <c r="H90" s="1367"/>
      <c r="I90" s="1367"/>
      <c r="J90" s="1368"/>
      <c r="K90" s="396">
        <v>0</v>
      </c>
      <c r="L90" s="119">
        <v>0</v>
      </c>
      <c r="M90" s="957">
        <v>0</v>
      </c>
      <c r="N90" s="957">
        <v>0</v>
      </c>
      <c r="O90" s="957">
        <v>0</v>
      </c>
    </row>
    <row r="91" spans="1:15" ht="12.75" hidden="1">
      <c r="A91" s="35"/>
      <c r="B91" s="105"/>
      <c r="C91" s="105"/>
      <c r="D91" s="135">
        <v>7442</v>
      </c>
      <c r="E91" s="916"/>
      <c r="F91" s="106"/>
      <c r="G91" s="1366" t="s">
        <v>219</v>
      </c>
      <c r="H91" s="1367"/>
      <c r="I91" s="1367"/>
      <c r="J91" s="1368"/>
      <c r="K91" s="118">
        <f>K92</f>
        <v>0</v>
      </c>
      <c r="L91" s="118">
        <f>L92</f>
        <v>0</v>
      </c>
      <c r="M91" s="934">
        <f>M92</f>
        <v>0</v>
      </c>
      <c r="N91" s="934">
        <f>N92</f>
        <v>0</v>
      </c>
      <c r="O91" s="934">
        <f>O92</f>
        <v>0</v>
      </c>
    </row>
    <row r="92" spans="1:15" ht="12.75" hidden="1">
      <c r="A92" s="35"/>
      <c r="B92" s="105"/>
      <c r="C92" s="105"/>
      <c r="D92" s="105"/>
      <c r="E92" s="916">
        <v>74425</v>
      </c>
      <c r="F92" s="106"/>
      <c r="G92" s="1366" t="s">
        <v>190</v>
      </c>
      <c r="H92" s="1367"/>
      <c r="I92" s="1367"/>
      <c r="J92" s="1368"/>
      <c r="K92" s="396">
        <v>0</v>
      </c>
      <c r="L92" s="132">
        <v>0</v>
      </c>
      <c r="M92" s="954">
        <v>0</v>
      </c>
      <c r="N92" s="954">
        <v>0</v>
      </c>
      <c r="O92" s="954">
        <v>0</v>
      </c>
    </row>
    <row r="93" spans="1:15" ht="12.75">
      <c r="A93" s="33"/>
      <c r="B93" s="93"/>
      <c r="C93" s="94">
        <v>745</v>
      </c>
      <c r="D93" s="93"/>
      <c r="E93" s="914"/>
      <c r="F93" s="95"/>
      <c r="G93" s="1390" t="s">
        <v>191</v>
      </c>
      <c r="H93" s="1391"/>
      <c r="I93" s="1391"/>
      <c r="J93" s="1392"/>
      <c r="K93" s="125">
        <f>K94</f>
        <v>24881500</v>
      </c>
      <c r="L93" s="125">
        <f>L94</f>
        <v>24881500</v>
      </c>
      <c r="M93" s="942">
        <f>M94</f>
        <v>24881500</v>
      </c>
      <c r="N93" s="942">
        <f>N94</f>
        <v>24881500</v>
      </c>
      <c r="O93" s="942">
        <f>O94</f>
        <v>24881500</v>
      </c>
    </row>
    <row r="94" spans="1:15" ht="12.75">
      <c r="A94" s="34"/>
      <c r="B94" s="98"/>
      <c r="C94" s="98"/>
      <c r="D94" s="99">
        <v>7451</v>
      </c>
      <c r="E94" s="915"/>
      <c r="F94" s="100"/>
      <c r="G94" s="1393" t="s">
        <v>192</v>
      </c>
      <c r="H94" s="1394"/>
      <c r="I94" s="1394"/>
      <c r="J94" s="116"/>
      <c r="K94" s="121">
        <f>SUM(K95:K97)</f>
        <v>24881500</v>
      </c>
      <c r="L94" s="121">
        <f>SUM(L95:L97)</f>
        <v>24881500</v>
      </c>
      <c r="M94" s="937">
        <f>SUM(M95:M97)</f>
        <v>24881500</v>
      </c>
      <c r="N94" s="937">
        <f>SUM(N95:N97)</f>
        <v>24881500</v>
      </c>
      <c r="O94" s="937">
        <f>SUM(O95:O97)</f>
        <v>24881500</v>
      </c>
    </row>
    <row r="95" spans="1:15" ht="12.75">
      <c r="A95" s="35"/>
      <c r="B95" s="105"/>
      <c r="C95" s="105"/>
      <c r="D95" s="105"/>
      <c r="E95" s="916">
        <v>745151</v>
      </c>
      <c r="F95" s="106"/>
      <c r="G95" s="107" t="s">
        <v>1527</v>
      </c>
      <c r="H95" s="108"/>
      <c r="I95" s="65"/>
      <c r="J95" s="109"/>
      <c r="K95" s="395">
        <v>21000000</v>
      </c>
      <c r="L95" s="128">
        <v>21000000</v>
      </c>
      <c r="M95" s="958">
        <v>21000000</v>
      </c>
      <c r="N95" s="958">
        <v>21000000</v>
      </c>
      <c r="O95" s="958">
        <v>21000000</v>
      </c>
    </row>
    <row r="96" spans="1:15" ht="12.75">
      <c r="A96" s="35"/>
      <c r="B96" s="105"/>
      <c r="C96" s="105"/>
      <c r="D96" s="105"/>
      <c r="E96" s="917">
        <v>745153</v>
      </c>
      <c r="F96" s="106"/>
      <c r="G96" s="107" t="s">
        <v>1528</v>
      </c>
      <c r="H96" s="108"/>
      <c r="I96" s="65"/>
      <c r="J96" s="109"/>
      <c r="K96" s="395">
        <v>2500000</v>
      </c>
      <c r="L96" s="128">
        <v>2500000</v>
      </c>
      <c r="M96" s="958">
        <v>2500000</v>
      </c>
      <c r="N96" s="958">
        <v>2500000</v>
      </c>
      <c r="O96" s="958">
        <v>2500000</v>
      </c>
    </row>
    <row r="97" spans="1:15" ht="12.75">
      <c r="A97" s="35"/>
      <c r="B97" s="105"/>
      <c r="C97" s="105"/>
      <c r="D97" s="105"/>
      <c r="E97" s="917">
        <v>745154</v>
      </c>
      <c r="F97" s="106"/>
      <c r="G97" s="107" t="s">
        <v>1529</v>
      </c>
      <c r="H97" s="108"/>
      <c r="I97" s="65"/>
      <c r="J97" s="109"/>
      <c r="K97" s="395">
        <v>1381500</v>
      </c>
      <c r="L97" s="128">
        <v>1381500</v>
      </c>
      <c r="M97" s="958">
        <v>1381500</v>
      </c>
      <c r="N97" s="958">
        <v>1381500</v>
      </c>
      <c r="O97" s="958">
        <v>1381500</v>
      </c>
    </row>
    <row r="98" spans="1:19" s="32" customFormat="1" ht="11.25" customHeight="1">
      <c r="A98" s="31"/>
      <c r="B98" s="88">
        <v>8</v>
      </c>
      <c r="C98" s="89"/>
      <c r="D98" s="89"/>
      <c r="E98" s="142"/>
      <c r="F98" s="90"/>
      <c r="G98" s="1354" t="s">
        <v>1334</v>
      </c>
      <c r="H98" s="1355"/>
      <c r="I98" s="1355"/>
      <c r="J98" s="1399"/>
      <c r="K98" s="136">
        <f>K99+K104</f>
        <v>57000</v>
      </c>
      <c r="L98" s="136">
        <f>L99+L104</f>
        <v>57000</v>
      </c>
      <c r="M98" s="959">
        <f>M99+M104</f>
        <v>68000</v>
      </c>
      <c r="N98" s="959">
        <f>N99+N104</f>
        <v>68000</v>
      </c>
      <c r="O98" s="959">
        <f>O99+O104</f>
        <v>68000</v>
      </c>
      <c r="S98" s="158"/>
    </row>
    <row r="99" spans="1:15" ht="12.75">
      <c r="A99" s="33"/>
      <c r="B99" s="93"/>
      <c r="C99" s="94">
        <v>811</v>
      </c>
      <c r="D99" s="93"/>
      <c r="E99" s="914"/>
      <c r="F99" s="95"/>
      <c r="G99" s="1390" t="s">
        <v>1334</v>
      </c>
      <c r="H99" s="1391"/>
      <c r="I99" s="1391"/>
      <c r="J99" s="1392"/>
      <c r="K99" s="114">
        <f>K100+K102</f>
        <v>39000</v>
      </c>
      <c r="L99" s="114">
        <f>L100+L102</f>
        <v>39000</v>
      </c>
      <c r="M99" s="933">
        <f>M100+M102</f>
        <v>50000</v>
      </c>
      <c r="N99" s="933">
        <f>N100+N102</f>
        <v>50000</v>
      </c>
      <c r="O99" s="933">
        <f>O100+O102</f>
        <v>50000</v>
      </c>
    </row>
    <row r="100" spans="1:15" ht="12.75">
      <c r="A100" s="34"/>
      <c r="B100" s="98"/>
      <c r="C100" s="98"/>
      <c r="D100" s="99">
        <v>8111</v>
      </c>
      <c r="E100" s="915"/>
      <c r="F100" s="100"/>
      <c r="G100" s="1393" t="s">
        <v>1335</v>
      </c>
      <c r="H100" s="1394"/>
      <c r="I100" s="1394"/>
      <c r="J100" s="1395"/>
      <c r="K100" s="126">
        <f>K101</f>
        <v>39000</v>
      </c>
      <c r="L100" s="126">
        <f>L101</f>
        <v>39000</v>
      </c>
      <c r="M100" s="943">
        <f>M101</f>
        <v>50000</v>
      </c>
      <c r="N100" s="943">
        <f>N101</f>
        <v>50000</v>
      </c>
      <c r="O100" s="943">
        <f>O101</f>
        <v>50000</v>
      </c>
    </row>
    <row r="101" spans="1:15" ht="12.75">
      <c r="A101" s="35"/>
      <c r="B101" s="105"/>
      <c r="C101" s="105"/>
      <c r="D101" s="105"/>
      <c r="E101" s="916">
        <v>811153</v>
      </c>
      <c r="F101" s="106"/>
      <c r="G101" s="1366" t="s">
        <v>1530</v>
      </c>
      <c r="H101" s="1367"/>
      <c r="I101" s="1367"/>
      <c r="J101" s="1368"/>
      <c r="K101" s="395">
        <v>39000</v>
      </c>
      <c r="L101" s="127">
        <v>39000</v>
      </c>
      <c r="M101" s="944">
        <v>50000</v>
      </c>
      <c r="N101" s="944">
        <v>50000</v>
      </c>
      <c r="O101" s="944">
        <v>50000</v>
      </c>
    </row>
    <row r="102" spans="1:15" ht="12.75" hidden="1">
      <c r="A102" s="34"/>
      <c r="B102" s="98"/>
      <c r="C102" s="98"/>
      <c r="D102" s="99">
        <v>9219</v>
      </c>
      <c r="E102" s="915"/>
      <c r="F102" s="100"/>
      <c r="G102" s="1393" t="s">
        <v>193</v>
      </c>
      <c r="H102" s="1394"/>
      <c r="I102" s="1394"/>
      <c r="J102" s="1395"/>
      <c r="K102" s="118">
        <f>K103</f>
        <v>0</v>
      </c>
      <c r="L102" s="118">
        <f>L103</f>
        <v>0</v>
      </c>
      <c r="M102" s="934">
        <f>M103</f>
        <v>0</v>
      </c>
      <c r="N102" s="934">
        <f>N103</f>
        <v>0</v>
      </c>
      <c r="O102" s="934">
        <f>O103</f>
        <v>0</v>
      </c>
    </row>
    <row r="103" spans="1:15" ht="12.75" hidden="1">
      <c r="A103" s="35"/>
      <c r="B103" s="105"/>
      <c r="C103" s="105"/>
      <c r="D103" s="105"/>
      <c r="E103" s="916">
        <v>92195</v>
      </c>
      <c r="F103" s="106"/>
      <c r="G103" s="107" t="s">
        <v>194</v>
      </c>
      <c r="H103" s="108"/>
      <c r="I103" s="65"/>
      <c r="J103" s="109"/>
      <c r="K103" s="395">
        <v>0</v>
      </c>
      <c r="L103" s="119">
        <v>0</v>
      </c>
      <c r="M103" s="960">
        <v>0</v>
      </c>
      <c r="N103" s="960">
        <v>0</v>
      </c>
      <c r="O103" s="960">
        <v>0</v>
      </c>
    </row>
    <row r="104" spans="1:15" ht="12.75">
      <c r="A104" s="33"/>
      <c r="B104" s="93"/>
      <c r="C104" s="94">
        <v>841</v>
      </c>
      <c r="D104" s="93"/>
      <c r="E104" s="914"/>
      <c r="F104" s="95"/>
      <c r="G104" s="1390" t="s">
        <v>1390</v>
      </c>
      <c r="H104" s="1391"/>
      <c r="I104" s="1391"/>
      <c r="J104" s="1392"/>
      <c r="K104" s="114">
        <f>K105+K107</f>
        <v>18000</v>
      </c>
      <c r="L104" s="114">
        <f>L105+L107</f>
        <v>18000</v>
      </c>
      <c r="M104" s="933">
        <f>M105+M107</f>
        <v>18000</v>
      </c>
      <c r="N104" s="933">
        <f>N105+N107</f>
        <v>18000</v>
      </c>
      <c r="O104" s="933">
        <f>O105+O107</f>
        <v>18000</v>
      </c>
    </row>
    <row r="105" spans="1:15" ht="12.75">
      <c r="A105" s="34"/>
      <c r="B105" s="98"/>
      <c r="C105" s="98"/>
      <c r="D105" s="99">
        <v>8411</v>
      </c>
      <c r="E105" s="915"/>
      <c r="F105" s="100"/>
      <c r="G105" s="1393" t="s">
        <v>1391</v>
      </c>
      <c r="H105" s="1394"/>
      <c r="I105" s="1394"/>
      <c r="J105" s="1395"/>
      <c r="K105" s="126">
        <f>K106</f>
        <v>18000</v>
      </c>
      <c r="L105" s="126">
        <f>L106</f>
        <v>18000</v>
      </c>
      <c r="M105" s="943">
        <f>M106</f>
        <v>18000</v>
      </c>
      <c r="N105" s="943">
        <f>N106</f>
        <v>18000</v>
      </c>
      <c r="O105" s="943">
        <f>O106</f>
        <v>18000</v>
      </c>
    </row>
    <row r="106" spans="1:15" ht="12.75">
      <c r="A106" s="35"/>
      <c r="B106" s="105"/>
      <c r="C106" s="105"/>
      <c r="D106" s="105"/>
      <c r="E106" s="916">
        <v>841151</v>
      </c>
      <c r="F106" s="106"/>
      <c r="G106" s="1366" t="s">
        <v>1392</v>
      </c>
      <c r="H106" s="1367"/>
      <c r="I106" s="1367"/>
      <c r="J106" s="1368"/>
      <c r="K106" s="395">
        <v>18000</v>
      </c>
      <c r="L106" s="127">
        <v>18000</v>
      </c>
      <c r="M106" s="944">
        <v>18000</v>
      </c>
      <c r="N106" s="944">
        <v>18000</v>
      </c>
      <c r="O106" s="944">
        <v>18000</v>
      </c>
    </row>
    <row r="107" spans="1:15" ht="12.75">
      <c r="A107" s="35"/>
      <c r="B107" s="105"/>
      <c r="C107" s="105"/>
      <c r="D107" s="105"/>
      <c r="E107" s="916"/>
      <c r="F107" s="106"/>
      <c r="G107" s="107"/>
      <c r="H107" s="108"/>
      <c r="I107" s="65"/>
      <c r="J107" s="109"/>
      <c r="K107" s="395"/>
      <c r="L107" s="119"/>
      <c r="M107" s="960"/>
      <c r="N107" s="960"/>
      <c r="O107" s="960"/>
    </row>
    <row r="108" spans="1:15" ht="12.75">
      <c r="A108" s="87" t="s">
        <v>18</v>
      </c>
      <c r="B108" s="137"/>
      <c r="C108" s="138"/>
      <c r="D108" s="138"/>
      <c r="E108" s="138"/>
      <c r="F108" s="139"/>
      <c r="G108" s="1360" t="s">
        <v>195</v>
      </c>
      <c r="H108" s="1361"/>
      <c r="I108" s="1361"/>
      <c r="J108" s="1362"/>
      <c r="K108" s="37">
        <f>K109</f>
        <v>291168851.55999994</v>
      </c>
      <c r="L108" s="37">
        <f>L109</f>
        <v>527841676</v>
      </c>
      <c r="M108" s="961">
        <f>M109</f>
        <v>205000</v>
      </c>
      <c r="N108" s="961">
        <f>N109</f>
        <v>205000</v>
      </c>
      <c r="O108" s="961">
        <f>O109</f>
        <v>205000</v>
      </c>
    </row>
    <row r="109" spans="1:19" s="32" customFormat="1" ht="12.75">
      <c r="A109" s="141"/>
      <c r="B109" s="88">
        <v>7</v>
      </c>
      <c r="C109" s="142"/>
      <c r="D109" s="142"/>
      <c r="E109" s="143"/>
      <c r="F109" s="144"/>
      <c r="G109" s="131" t="s">
        <v>145</v>
      </c>
      <c r="H109" s="91"/>
      <c r="I109" s="91"/>
      <c r="J109" s="80"/>
      <c r="K109" s="145">
        <f>K113</f>
        <v>291168851.55999994</v>
      </c>
      <c r="L109" s="145">
        <f>L113</f>
        <v>527841676</v>
      </c>
      <c r="M109" s="962">
        <f>M113</f>
        <v>205000</v>
      </c>
      <c r="N109" s="962">
        <f>N113</f>
        <v>205000</v>
      </c>
      <c r="O109" s="962">
        <f>O113</f>
        <v>205000</v>
      </c>
      <c r="S109" s="158"/>
    </row>
    <row r="110" spans="1:15" s="26" customFormat="1" ht="12.75" hidden="1">
      <c r="A110" s="169"/>
      <c r="B110" s="161"/>
      <c r="C110" s="175">
        <v>711</v>
      </c>
      <c r="D110" s="170"/>
      <c r="E110" s="171"/>
      <c r="F110" s="172"/>
      <c r="G110" s="1378" t="s">
        <v>146</v>
      </c>
      <c r="H110" s="1379"/>
      <c r="I110" s="1379"/>
      <c r="J110" s="1380"/>
      <c r="K110" s="399">
        <v>0</v>
      </c>
      <c r="L110" s="160">
        <v>0</v>
      </c>
      <c r="M110" s="963">
        <v>0</v>
      </c>
      <c r="N110" s="963">
        <v>0</v>
      </c>
      <c r="O110" s="963">
        <v>0</v>
      </c>
    </row>
    <row r="111" spans="1:15" s="42" customFormat="1" ht="12.75" hidden="1">
      <c r="A111" s="163"/>
      <c r="B111" s="161"/>
      <c r="C111" s="175">
        <v>733</v>
      </c>
      <c r="D111" s="159"/>
      <c r="E111" s="164"/>
      <c r="F111" s="162"/>
      <c r="G111" s="1384" t="s">
        <v>165</v>
      </c>
      <c r="H111" s="1385"/>
      <c r="I111" s="1385"/>
      <c r="J111" s="1386"/>
      <c r="K111" s="392">
        <v>0</v>
      </c>
      <c r="L111" s="160">
        <v>0</v>
      </c>
      <c r="M111" s="963">
        <v>0</v>
      </c>
      <c r="N111" s="963">
        <v>0</v>
      </c>
      <c r="O111" s="963">
        <v>0</v>
      </c>
    </row>
    <row r="112" spans="1:16" s="158" customFormat="1" ht="12.75" hidden="1">
      <c r="A112" s="153"/>
      <c r="B112" s="154"/>
      <c r="C112" s="94">
        <v>741</v>
      </c>
      <c r="D112" s="155"/>
      <c r="E112" s="156"/>
      <c r="F112" s="157"/>
      <c r="G112" s="1375" t="s">
        <v>177</v>
      </c>
      <c r="H112" s="1376"/>
      <c r="I112" s="1376"/>
      <c r="J112" s="1377"/>
      <c r="K112" s="400">
        <v>0</v>
      </c>
      <c r="L112" s="160">
        <v>0</v>
      </c>
      <c r="M112" s="963">
        <v>0</v>
      </c>
      <c r="N112" s="963">
        <v>0</v>
      </c>
      <c r="O112" s="963">
        <v>0</v>
      </c>
      <c r="P112" s="26"/>
    </row>
    <row r="113" spans="1:15" ht="12.75">
      <c r="A113" s="146"/>
      <c r="B113" s="94"/>
      <c r="C113" s="94">
        <v>742</v>
      </c>
      <c r="D113" s="94"/>
      <c r="E113" s="923"/>
      <c r="F113" s="94"/>
      <c r="G113" s="94" t="s">
        <v>182</v>
      </c>
      <c r="H113" s="94"/>
      <c r="I113" s="94"/>
      <c r="J113" s="94"/>
      <c r="K113" s="114">
        <f>K116</f>
        <v>291168851.55999994</v>
      </c>
      <c r="L113" s="114">
        <f>L116</f>
        <v>527841676</v>
      </c>
      <c r="M113" s="933">
        <f>M116</f>
        <v>205000</v>
      </c>
      <c r="N113" s="933">
        <f>N116</f>
        <v>205000</v>
      </c>
      <c r="O113" s="933">
        <f>O116</f>
        <v>205000</v>
      </c>
    </row>
    <row r="114" spans="1:15" ht="12.75" hidden="1">
      <c r="A114" s="146"/>
      <c r="B114" s="137"/>
      <c r="C114" s="94">
        <v>744</v>
      </c>
      <c r="D114" s="138"/>
      <c r="E114" s="147"/>
      <c r="F114" s="148"/>
      <c r="G114" s="1387" t="s">
        <v>220</v>
      </c>
      <c r="H114" s="1388"/>
      <c r="I114" s="1388"/>
      <c r="J114" s="1389"/>
      <c r="K114" s="392">
        <v>0</v>
      </c>
      <c r="L114" s="149">
        <v>0</v>
      </c>
      <c r="M114" s="964">
        <v>0</v>
      </c>
      <c r="N114" s="964">
        <v>0</v>
      </c>
      <c r="O114" s="964">
        <v>0</v>
      </c>
    </row>
    <row r="115" spans="1:15" ht="12.75" hidden="1">
      <c r="A115" s="146"/>
      <c r="B115" s="137"/>
      <c r="C115" s="94">
        <v>745</v>
      </c>
      <c r="D115" s="138"/>
      <c r="E115" s="147"/>
      <c r="F115" s="148"/>
      <c r="G115" s="1384" t="s">
        <v>191</v>
      </c>
      <c r="H115" s="1385"/>
      <c r="I115" s="1385"/>
      <c r="J115" s="1386"/>
      <c r="K115" s="392">
        <v>0</v>
      </c>
      <c r="L115" s="149">
        <v>0</v>
      </c>
      <c r="M115" s="964">
        <v>0</v>
      </c>
      <c r="N115" s="964">
        <v>0</v>
      </c>
      <c r="O115" s="964">
        <v>0</v>
      </c>
    </row>
    <row r="116" spans="1:15" ht="12.75">
      <c r="A116" s="146"/>
      <c r="B116" s="137"/>
      <c r="C116" s="201"/>
      <c r="D116" s="147">
        <v>7421</v>
      </c>
      <c r="E116" s="147"/>
      <c r="F116" s="148"/>
      <c r="G116" s="1369" t="s">
        <v>1305</v>
      </c>
      <c r="H116" s="1370"/>
      <c r="I116" s="1370"/>
      <c r="J116" s="599"/>
      <c r="K116" s="392">
        <f>K117</f>
        <v>291168851.55999994</v>
      </c>
      <c r="L116" s="149">
        <f>L117</f>
        <v>527841676</v>
      </c>
      <c r="M116" s="965">
        <f>M117</f>
        <v>205000</v>
      </c>
      <c r="N116" s="965">
        <v>205000</v>
      </c>
      <c r="O116" s="965">
        <v>205000</v>
      </c>
    </row>
    <row r="117" spans="1:15" ht="12.75">
      <c r="A117" s="146"/>
      <c r="B117" s="137"/>
      <c r="C117" s="201"/>
      <c r="D117" s="138"/>
      <c r="E117" s="147">
        <v>742151</v>
      </c>
      <c r="F117" s="148"/>
      <c r="G117" s="1369" t="s">
        <v>1306</v>
      </c>
      <c r="H117" s="1370"/>
      <c r="I117" s="1370"/>
      <c r="J117" s="1371"/>
      <c r="K117" s="392">
        <f>'Rashodi-2020'!L508</f>
        <v>291168851.55999994</v>
      </c>
      <c r="L117" s="149">
        <f>'Rashodi-2020'!N508</f>
        <v>527841676</v>
      </c>
      <c r="M117" s="965">
        <f>'Rashodi-2020'!O508</f>
        <v>205000</v>
      </c>
      <c r="N117" s="965">
        <v>205000</v>
      </c>
      <c r="O117" s="965">
        <v>205000</v>
      </c>
    </row>
    <row r="118" spans="1:15" ht="12.75">
      <c r="A118" s="146"/>
      <c r="B118" s="137"/>
      <c r="C118" s="201"/>
      <c r="D118" s="138"/>
      <c r="E118" s="147"/>
      <c r="F118" s="148"/>
      <c r="G118" s="597"/>
      <c r="H118" s="598"/>
      <c r="I118" s="598"/>
      <c r="J118" s="599"/>
      <c r="K118" s="392"/>
      <c r="L118" s="149"/>
      <c r="M118" s="964"/>
      <c r="N118" s="964"/>
      <c r="O118" s="964"/>
    </row>
    <row r="119" spans="1:15" ht="12.75">
      <c r="A119" s="87" t="s">
        <v>20</v>
      </c>
      <c r="B119" s="137"/>
      <c r="C119" s="138"/>
      <c r="D119" s="138"/>
      <c r="E119" s="138"/>
      <c r="F119" s="139"/>
      <c r="G119" s="1360" t="s">
        <v>196</v>
      </c>
      <c r="H119" s="1361"/>
      <c r="I119" s="1361"/>
      <c r="J119" s="1362"/>
      <c r="K119" s="37">
        <f aca="true" t="shared" si="1" ref="K119:O122">K120</f>
        <v>2980000</v>
      </c>
      <c r="L119" s="37">
        <f t="shared" si="1"/>
        <v>2980000</v>
      </c>
      <c r="M119" s="961">
        <f t="shared" si="1"/>
        <v>3810000</v>
      </c>
      <c r="N119" s="961">
        <f t="shared" si="1"/>
        <v>3810000</v>
      </c>
      <c r="O119" s="961">
        <f t="shared" si="1"/>
        <v>3810000</v>
      </c>
    </row>
    <row r="120" spans="1:19" s="32" customFormat="1" ht="12.75">
      <c r="A120" s="141"/>
      <c r="B120" s="88">
        <v>7</v>
      </c>
      <c r="C120" s="142"/>
      <c r="D120" s="142"/>
      <c r="E120" s="143"/>
      <c r="F120" s="144"/>
      <c r="G120" s="1354" t="s">
        <v>145</v>
      </c>
      <c r="H120" s="1355"/>
      <c r="I120" s="91"/>
      <c r="J120" s="80"/>
      <c r="K120" s="145">
        <f t="shared" si="1"/>
        <v>2980000</v>
      </c>
      <c r="L120" s="145">
        <f t="shared" si="1"/>
        <v>2980000</v>
      </c>
      <c r="M120" s="962">
        <f t="shared" si="1"/>
        <v>3810000</v>
      </c>
      <c r="N120" s="962">
        <f t="shared" si="1"/>
        <v>3810000</v>
      </c>
      <c r="O120" s="962">
        <f t="shared" si="1"/>
        <v>3810000</v>
      </c>
      <c r="S120" s="158"/>
    </row>
    <row r="121" spans="1:15" ht="12.75">
      <c r="A121" s="146"/>
      <c r="B121" s="94"/>
      <c r="C121" s="94">
        <v>732</v>
      </c>
      <c r="D121" s="94"/>
      <c r="E121" s="923"/>
      <c r="F121" s="94"/>
      <c r="G121" s="94" t="s">
        <v>197</v>
      </c>
      <c r="H121" s="94"/>
      <c r="I121" s="94"/>
      <c r="J121" s="94"/>
      <c r="K121" s="114">
        <f t="shared" si="1"/>
        <v>2980000</v>
      </c>
      <c r="L121" s="114">
        <f t="shared" si="1"/>
        <v>2980000</v>
      </c>
      <c r="M121" s="933">
        <f t="shared" si="1"/>
        <v>3810000</v>
      </c>
      <c r="N121" s="933">
        <f t="shared" si="1"/>
        <v>3810000</v>
      </c>
      <c r="O121" s="933">
        <f t="shared" si="1"/>
        <v>3810000</v>
      </c>
    </row>
    <row r="122" spans="1:15" ht="12.75">
      <c r="A122" s="146"/>
      <c r="B122" s="137"/>
      <c r="C122" s="201"/>
      <c r="D122" s="147">
        <v>7321</v>
      </c>
      <c r="E122" s="147"/>
      <c r="F122" s="139"/>
      <c r="G122" s="1369" t="s">
        <v>1344</v>
      </c>
      <c r="H122" s="1370"/>
      <c r="I122" s="1370"/>
      <c r="J122" s="1371"/>
      <c r="K122" s="392">
        <f t="shared" si="1"/>
        <v>2980000</v>
      </c>
      <c r="L122" s="700">
        <f t="shared" si="1"/>
        <v>2980000</v>
      </c>
      <c r="M122" s="965">
        <f>M123</f>
        <v>3810000</v>
      </c>
      <c r="N122" s="965">
        <f>N123</f>
        <v>3810000</v>
      </c>
      <c r="O122" s="965">
        <f>O123</f>
        <v>3810000</v>
      </c>
    </row>
    <row r="123" spans="1:15" ht="12.75">
      <c r="A123" s="146"/>
      <c r="B123" s="137"/>
      <c r="C123" s="201"/>
      <c r="D123" s="138"/>
      <c r="E123" s="147">
        <v>732151</v>
      </c>
      <c r="F123" s="139"/>
      <c r="G123" s="1369" t="s">
        <v>1345</v>
      </c>
      <c r="H123" s="1370"/>
      <c r="I123" s="1370"/>
      <c r="J123" s="1371"/>
      <c r="K123" s="392">
        <v>2980000</v>
      </c>
      <c r="L123" s="149">
        <v>2980000</v>
      </c>
      <c r="M123" s="966">
        <v>3810000</v>
      </c>
      <c r="N123" s="966">
        <v>3810000</v>
      </c>
      <c r="O123" s="966">
        <v>3810000</v>
      </c>
    </row>
    <row r="124" spans="1:15" ht="12.75" hidden="1">
      <c r="A124" s="146"/>
      <c r="B124" s="137"/>
      <c r="C124" s="201"/>
      <c r="D124" s="138"/>
      <c r="E124" s="147"/>
      <c r="F124" s="139"/>
      <c r="G124" s="597"/>
      <c r="H124" s="598"/>
      <c r="I124" s="598"/>
      <c r="J124" s="599"/>
      <c r="K124" s="392"/>
      <c r="L124" s="149"/>
      <c r="M124" s="964"/>
      <c r="N124" s="964"/>
      <c r="O124" s="964"/>
    </row>
    <row r="125" spans="1:15" ht="12.75">
      <c r="A125" s="87" t="s">
        <v>19</v>
      </c>
      <c r="B125" s="137"/>
      <c r="C125" s="138"/>
      <c r="D125" s="138"/>
      <c r="E125" s="138"/>
      <c r="F125" s="139"/>
      <c r="G125" s="1360" t="s">
        <v>198</v>
      </c>
      <c r="H125" s="1361"/>
      <c r="I125" s="1361"/>
      <c r="J125" s="1362"/>
      <c r="K125" s="37">
        <f aca="true" t="shared" si="2" ref="K125:O126">K126</f>
        <v>40915100.88</v>
      </c>
      <c r="L125" s="37">
        <f t="shared" si="2"/>
        <v>40915100.88</v>
      </c>
      <c r="M125" s="961">
        <f t="shared" si="2"/>
        <v>36446642.879999995</v>
      </c>
      <c r="N125" s="961">
        <f t="shared" si="2"/>
        <v>36446642.879999995</v>
      </c>
      <c r="O125" s="961">
        <f t="shared" si="2"/>
        <v>36446642.879999995</v>
      </c>
    </row>
    <row r="126" spans="1:19" s="32" customFormat="1" ht="12.75">
      <c r="A126" s="141"/>
      <c r="B126" s="88">
        <v>7</v>
      </c>
      <c r="C126" s="142"/>
      <c r="D126" s="142"/>
      <c r="E126" s="143"/>
      <c r="F126" s="144"/>
      <c r="G126" s="1354" t="s">
        <v>145</v>
      </c>
      <c r="H126" s="1355"/>
      <c r="I126" s="91"/>
      <c r="J126" s="80"/>
      <c r="K126" s="145">
        <f t="shared" si="2"/>
        <v>40915100.88</v>
      </c>
      <c r="L126" s="145">
        <f t="shared" si="2"/>
        <v>40915100.88</v>
      </c>
      <c r="M126" s="962">
        <f t="shared" si="2"/>
        <v>36446642.879999995</v>
      </c>
      <c r="N126" s="962">
        <f t="shared" si="2"/>
        <v>36446642.879999995</v>
      </c>
      <c r="O126" s="962">
        <f t="shared" si="2"/>
        <v>36446642.879999995</v>
      </c>
      <c r="S126" s="158"/>
    </row>
    <row r="127" spans="1:15" ht="12.75">
      <c r="A127" s="146"/>
      <c r="B127" s="94"/>
      <c r="C127" s="94">
        <v>733</v>
      </c>
      <c r="D127" s="94"/>
      <c r="E127" s="923"/>
      <c r="F127" s="94"/>
      <c r="G127" s="94" t="s">
        <v>165</v>
      </c>
      <c r="H127" s="94"/>
      <c r="I127" s="94"/>
      <c r="J127" s="94"/>
      <c r="K127" s="114">
        <f>K131+K128+K134</f>
        <v>40915100.88</v>
      </c>
      <c r="L127" s="114">
        <f>L131+L128+L134</f>
        <v>40915100.88</v>
      </c>
      <c r="M127" s="933">
        <f>M131+M128+M134</f>
        <v>36446642.879999995</v>
      </c>
      <c r="N127" s="933">
        <f>N131+N128+N134</f>
        <v>36446642.879999995</v>
      </c>
      <c r="O127" s="933">
        <f>O131+O128+O134</f>
        <v>36446642.879999995</v>
      </c>
    </row>
    <row r="128" spans="1:19" s="746" customFormat="1" ht="12.75">
      <c r="A128" s="146"/>
      <c r="B128" s="98"/>
      <c r="C128" s="701"/>
      <c r="D128" s="147">
        <v>7331</v>
      </c>
      <c r="E128" s="147"/>
      <c r="F128" s="702"/>
      <c r="G128" s="1409" t="s">
        <v>1393</v>
      </c>
      <c r="H128" s="1410"/>
      <c r="I128" s="1410"/>
      <c r="J128" s="1411"/>
      <c r="K128" s="705">
        <f>SUM(K129:K130)</f>
        <v>5000000</v>
      </c>
      <c r="L128" s="699">
        <f>SUM(L129:L130)</f>
        <v>5000000</v>
      </c>
      <c r="M128" s="967">
        <f>SUM(M129:M130)</f>
        <v>6000000</v>
      </c>
      <c r="N128" s="967">
        <f>SUM(N129:N130)</f>
        <v>6000000</v>
      </c>
      <c r="O128" s="967">
        <f>SUM(O129:O130)</f>
        <v>6000000</v>
      </c>
      <c r="S128" s="802"/>
    </row>
    <row r="129" spans="1:15" ht="12.75">
      <c r="A129" s="146"/>
      <c r="B129" s="137"/>
      <c r="C129" s="201"/>
      <c r="D129" s="138"/>
      <c r="E129" s="147">
        <v>733154</v>
      </c>
      <c r="F129" s="139"/>
      <c r="G129" s="1351" t="s">
        <v>1512</v>
      </c>
      <c r="H129" s="1352"/>
      <c r="I129" s="1352"/>
      <c r="J129" s="1353"/>
      <c r="K129" s="705">
        <v>4000000</v>
      </c>
      <c r="L129" s="699">
        <v>4000000</v>
      </c>
      <c r="M129" s="966">
        <v>1000000</v>
      </c>
      <c r="N129" s="966">
        <v>1000000</v>
      </c>
      <c r="O129" s="966">
        <v>1000000</v>
      </c>
    </row>
    <row r="130" spans="1:15" ht="12.75">
      <c r="A130" s="146"/>
      <c r="B130" s="137"/>
      <c r="C130" s="201"/>
      <c r="D130" s="138"/>
      <c r="E130" s="875">
        <v>733156</v>
      </c>
      <c r="F130" s="139"/>
      <c r="G130" s="706" t="s">
        <v>1513</v>
      </c>
      <c r="H130" s="872"/>
      <c r="I130" s="177"/>
      <c r="J130" s="178"/>
      <c r="K130" s="399">
        <v>1000000</v>
      </c>
      <c r="L130" s="149">
        <v>1000000</v>
      </c>
      <c r="M130" s="965">
        <v>5000000</v>
      </c>
      <c r="N130" s="965">
        <v>5000000</v>
      </c>
      <c r="O130" s="965">
        <v>5000000</v>
      </c>
    </row>
    <row r="131" spans="1:19" s="746" customFormat="1" ht="12.75">
      <c r="A131" s="146"/>
      <c r="B131" s="98"/>
      <c r="C131" s="701"/>
      <c r="D131" s="147">
        <v>7332</v>
      </c>
      <c r="E131" s="147"/>
      <c r="F131" s="702"/>
      <c r="G131" s="874" t="s">
        <v>1307</v>
      </c>
      <c r="H131" s="703"/>
      <c r="I131" s="703"/>
      <c r="J131" s="704"/>
      <c r="K131" s="705">
        <f>K132+K133</f>
        <v>35721600.88</v>
      </c>
      <c r="L131" s="699">
        <f>L132+L133</f>
        <v>35721600.88</v>
      </c>
      <c r="M131" s="967">
        <f>M132+M133</f>
        <v>30436642.88</v>
      </c>
      <c r="N131" s="967">
        <f>N132+N133</f>
        <v>30436642.88</v>
      </c>
      <c r="O131" s="967">
        <f>O132+O133</f>
        <v>30436642.88</v>
      </c>
      <c r="S131" s="802"/>
    </row>
    <row r="132" spans="1:15" ht="12.75">
      <c r="A132" s="146"/>
      <c r="B132" s="137"/>
      <c r="C132" s="201"/>
      <c r="D132" s="138"/>
      <c r="E132" s="147">
        <v>733251</v>
      </c>
      <c r="F132" s="139"/>
      <c r="G132" s="706" t="s">
        <v>1514</v>
      </c>
      <c r="H132" s="177"/>
      <c r="I132" s="177"/>
      <c r="J132" s="178"/>
      <c r="K132" s="799">
        <v>1261758</v>
      </c>
      <c r="L132" s="700">
        <v>1261758</v>
      </c>
      <c r="M132" s="965">
        <v>1022320</v>
      </c>
      <c r="N132" s="965">
        <v>1022320</v>
      </c>
      <c r="O132" s="965">
        <v>1022320</v>
      </c>
    </row>
    <row r="133" spans="1:15" ht="12.75">
      <c r="A133" s="146"/>
      <c r="B133" s="137"/>
      <c r="C133" s="201"/>
      <c r="D133" s="138"/>
      <c r="E133" s="875">
        <v>733252</v>
      </c>
      <c r="F133" s="139"/>
      <c r="G133" s="706" t="s">
        <v>1515</v>
      </c>
      <c r="H133" s="177"/>
      <c r="I133" s="177"/>
      <c r="J133" s="178"/>
      <c r="K133" s="799">
        <v>34459842.88</v>
      </c>
      <c r="L133" s="700">
        <v>34459842.88</v>
      </c>
      <c r="M133" s="965">
        <v>29414322.88</v>
      </c>
      <c r="N133" s="965">
        <v>29414322.88</v>
      </c>
      <c r="O133" s="965">
        <v>29414322.88</v>
      </c>
    </row>
    <row r="134" spans="1:19" s="746" customFormat="1" ht="12.75">
      <c r="A134" s="146"/>
      <c r="B134" s="98"/>
      <c r="C134" s="701"/>
      <c r="D134" s="147">
        <v>7721</v>
      </c>
      <c r="E134" s="147"/>
      <c r="F134" s="702"/>
      <c r="G134" s="1409" t="s">
        <v>1394</v>
      </c>
      <c r="H134" s="1410"/>
      <c r="I134" s="1410"/>
      <c r="J134" s="1411"/>
      <c r="K134" s="705">
        <f>K135</f>
        <v>193500</v>
      </c>
      <c r="L134" s="699">
        <f>L135</f>
        <v>193500</v>
      </c>
      <c r="M134" s="967">
        <f>M135</f>
        <v>10000</v>
      </c>
      <c r="N134" s="967">
        <f>N135</f>
        <v>10000</v>
      </c>
      <c r="O134" s="967">
        <f>O135</f>
        <v>10000</v>
      </c>
      <c r="S134" s="802"/>
    </row>
    <row r="135" spans="1:15" ht="12.75">
      <c r="A135" s="146"/>
      <c r="B135" s="137"/>
      <c r="C135" s="201"/>
      <c r="D135" s="138"/>
      <c r="E135" s="147">
        <v>772114</v>
      </c>
      <c r="F135" s="139"/>
      <c r="G135" s="1351" t="s">
        <v>1394</v>
      </c>
      <c r="H135" s="1352"/>
      <c r="I135" s="1352"/>
      <c r="J135" s="1353"/>
      <c r="K135" s="799">
        <v>193500</v>
      </c>
      <c r="L135" s="700">
        <v>193500</v>
      </c>
      <c r="M135" s="965">
        <v>10000</v>
      </c>
      <c r="N135" s="965">
        <v>10000</v>
      </c>
      <c r="O135" s="965">
        <v>10000</v>
      </c>
    </row>
    <row r="136" spans="1:15" ht="12.75">
      <c r="A136" s="146"/>
      <c r="B136" s="137"/>
      <c r="C136" s="201"/>
      <c r="D136" s="138"/>
      <c r="E136" s="147"/>
      <c r="F136" s="139"/>
      <c r="G136" s="176"/>
      <c r="H136" s="177"/>
      <c r="I136" s="177"/>
      <c r="J136" s="178"/>
      <c r="K136" s="399"/>
      <c r="L136" s="149"/>
      <c r="M136" s="964"/>
      <c r="N136" s="964"/>
      <c r="O136" s="964"/>
    </row>
    <row r="137" spans="1:15" ht="12.75">
      <c r="A137" s="87" t="s">
        <v>1190</v>
      </c>
      <c r="B137" s="137"/>
      <c r="C137" s="138"/>
      <c r="D137" s="138"/>
      <c r="E137" s="138"/>
      <c r="F137" s="139"/>
      <c r="G137" s="1360" t="s">
        <v>1204</v>
      </c>
      <c r="H137" s="1361"/>
      <c r="I137" s="1361"/>
      <c r="J137" s="1362"/>
      <c r="K137" s="37">
        <f>K139</f>
        <v>135635973.1</v>
      </c>
      <c r="L137" s="37">
        <f>L139</f>
        <v>4570000</v>
      </c>
      <c r="M137" s="961">
        <f>M139</f>
        <v>505000</v>
      </c>
      <c r="N137" s="961">
        <f>N139</f>
        <v>505000</v>
      </c>
      <c r="O137" s="961">
        <f>O139</f>
        <v>505000</v>
      </c>
    </row>
    <row r="138" spans="1:19" s="32" customFormat="1" ht="12.75">
      <c r="A138" s="141"/>
      <c r="B138" s="88">
        <v>7</v>
      </c>
      <c r="C138" s="142"/>
      <c r="D138" s="142"/>
      <c r="E138" s="143"/>
      <c r="F138" s="144"/>
      <c r="G138" s="1354" t="s">
        <v>145</v>
      </c>
      <c r="H138" s="1355"/>
      <c r="I138" s="91"/>
      <c r="J138" s="80"/>
      <c r="K138" s="145">
        <f aca="true" t="shared" si="3" ref="K138:L140">K139</f>
        <v>135635973.1</v>
      </c>
      <c r="L138" s="145">
        <f t="shared" si="3"/>
        <v>4570000</v>
      </c>
      <c r="M138" s="962">
        <f aca="true" t="shared" si="4" ref="M138:O139">M139</f>
        <v>505000</v>
      </c>
      <c r="N138" s="962">
        <f t="shared" si="4"/>
        <v>505000</v>
      </c>
      <c r="O138" s="962">
        <f t="shared" si="4"/>
        <v>505000</v>
      </c>
      <c r="S138" s="158"/>
    </row>
    <row r="139" spans="1:15" ht="12.75">
      <c r="A139" s="146"/>
      <c r="B139" s="94"/>
      <c r="C139" s="94">
        <v>742</v>
      </c>
      <c r="D139" s="94"/>
      <c r="E139" s="923"/>
      <c r="F139" s="94"/>
      <c r="G139" s="94" t="s">
        <v>182</v>
      </c>
      <c r="H139" s="94"/>
      <c r="I139" s="94"/>
      <c r="J139" s="94"/>
      <c r="K139" s="114">
        <f t="shared" si="3"/>
        <v>135635973.1</v>
      </c>
      <c r="L139" s="114">
        <f t="shared" si="3"/>
        <v>4570000</v>
      </c>
      <c r="M139" s="933">
        <f t="shared" si="4"/>
        <v>505000</v>
      </c>
      <c r="N139" s="933">
        <f t="shared" si="4"/>
        <v>505000</v>
      </c>
      <c r="O139" s="933">
        <f t="shared" si="4"/>
        <v>505000</v>
      </c>
    </row>
    <row r="140" spans="1:19" s="746" customFormat="1" ht="12.75">
      <c r="A140" s="146"/>
      <c r="B140" s="876"/>
      <c r="C140" s="201"/>
      <c r="D140" s="147">
        <v>7423</v>
      </c>
      <c r="E140" s="147"/>
      <c r="F140" s="139"/>
      <c r="G140" s="1372" t="s">
        <v>1526</v>
      </c>
      <c r="H140" s="1373"/>
      <c r="I140" s="1373"/>
      <c r="J140" s="1374"/>
      <c r="K140" s="392">
        <f t="shared" si="3"/>
        <v>135635973.1</v>
      </c>
      <c r="L140" s="149">
        <f t="shared" si="3"/>
        <v>4570000</v>
      </c>
      <c r="M140" s="967">
        <f>M141</f>
        <v>505000</v>
      </c>
      <c r="N140" s="967">
        <v>505000</v>
      </c>
      <c r="O140" s="967">
        <v>505000</v>
      </c>
      <c r="S140" s="802"/>
    </row>
    <row r="141" spans="1:15" ht="12.75">
      <c r="A141" s="146"/>
      <c r="B141" s="137"/>
      <c r="C141" s="201"/>
      <c r="D141" s="138"/>
      <c r="E141" s="147">
        <v>742378</v>
      </c>
      <c r="F141" s="139"/>
      <c r="G141" s="1369" t="s">
        <v>1204</v>
      </c>
      <c r="H141" s="1370"/>
      <c r="I141" s="1370"/>
      <c r="J141" s="1371"/>
      <c r="K141" s="392">
        <f>'Rashodi-2020'!R508</f>
        <v>135635973.1</v>
      </c>
      <c r="L141" s="149">
        <f>'Rashodi-2020'!S508</f>
        <v>4570000</v>
      </c>
      <c r="M141" s="965">
        <f>'Rashodi-2020'!T508</f>
        <v>505000</v>
      </c>
      <c r="N141" s="965">
        <v>505000</v>
      </c>
      <c r="O141" s="965">
        <v>505000</v>
      </c>
    </row>
    <row r="142" spans="1:15" ht="12.75">
      <c r="A142" s="146"/>
      <c r="B142" s="137"/>
      <c r="C142" s="201"/>
      <c r="D142" s="138"/>
      <c r="E142" s="147"/>
      <c r="F142" s="139"/>
      <c r="G142" s="176"/>
      <c r="H142" s="177"/>
      <c r="I142" s="177"/>
      <c r="J142" s="178"/>
      <c r="K142" s="399"/>
      <c r="L142" s="149"/>
      <c r="M142" s="964"/>
      <c r="N142" s="964"/>
      <c r="O142" s="964"/>
    </row>
    <row r="143" spans="1:15" ht="12.75">
      <c r="A143" s="87" t="s">
        <v>226</v>
      </c>
      <c r="B143" s="137"/>
      <c r="C143" s="179">
        <v>321</v>
      </c>
      <c r="D143" s="138"/>
      <c r="E143" s="138"/>
      <c r="F143" s="139"/>
      <c r="G143" s="1360" t="s">
        <v>233</v>
      </c>
      <c r="H143" s="1361"/>
      <c r="I143" s="1361"/>
      <c r="J143" s="1362"/>
      <c r="K143" s="398">
        <f>'Rashodi-2020'!P508</f>
        <v>3810000</v>
      </c>
      <c r="L143" s="140">
        <f>'Rashodi-2020'!Q508</f>
        <v>36446642.879999995</v>
      </c>
      <c r="M143" s="961">
        <f>'Rashodi-2020'!R508</f>
        <v>135635973.1</v>
      </c>
      <c r="N143" s="961">
        <f>M143</f>
        <v>135635973.1</v>
      </c>
      <c r="O143" s="961">
        <f>N143</f>
        <v>135635973.1</v>
      </c>
    </row>
    <row r="144" spans="1:15" ht="12.75">
      <c r="A144" s="192"/>
      <c r="B144" s="137"/>
      <c r="C144" s="201"/>
      <c r="D144" s="138"/>
      <c r="E144" s="138"/>
      <c r="F144" s="139"/>
      <c r="G144" s="185"/>
      <c r="H144" s="186"/>
      <c r="I144" s="186"/>
      <c r="J144" s="187"/>
      <c r="K144" s="398"/>
      <c r="L144" s="140"/>
      <c r="M144" s="968"/>
      <c r="N144" s="968"/>
      <c r="O144" s="968"/>
    </row>
    <row r="145" spans="1:16" ht="12.75">
      <c r="A145" s="87" t="s">
        <v>227</v>
      </c>
      <c r="B145" s="137"/>
      <c r="C145" s="179">
        <v>311</v>
      </c>
      <c r="D145" s="138"/>
      <c r="E145" s="138"/>
      <c r="F145" s="139"/>
      <c r="G145" s="1360" t="s">
        <v>230</v>
      </c>
      <c r="H145" s="1361"/>
      <c r="I145" s="1361"/>
      <c r="J145" s="1362"/>
      <c r="K145" s="398">
        <f>'Rashodi-2020'!Q508</f>
        <v>36446642.879999995</v>
      </c>
      <c r="L145" s="140">
        <f>'Rashodi-2020'!R508</f>
        <v>135635973.1</v>
      </c>
      <c r="M145" s="969">
        <f>'Rashodi-2020'!S508</f>
        <v>4570000</v>
      </c>
      <c r="N145" s="969">
        <v>4570000</v>
      </c>
      <c r="O145" s="969">
        <v>4570000</v>
      </c>
      <c r="P145" s="271"/>
    </row>
    <row r="146" spans="1:15" ht="12.75">
      <c r="A146" s="192"/>
      <c r="B146" s="137"/>
      <c r="C146" s="201"/>
      <c r="D146" s="138"/>
      <c r="E146" s="138"/>
      <c r="F146" s="139"/>
      <c r="G146" s="185"/>
      <c r="H146" s="186"/>
      <c r="I146" s="186"/>
      <c r="J146" s="187"/>
      <c r="K146" s="398"/>
      <c r="L146" s="140"/>
      <c r="M146" s="961"/>
      <c r="N146" s="961"/>
      <c r="O146" s="961"/>
    </row>
    <row r="147" spans="1:15" ht="12.75">
      <c r="A147" s="192"/>
      <c r="B147" s="137"/>
      <c r="C147" s="201"/>
      <c r="D147" s="138"/>
      <c r="E147" s="138"/>
      <c r="F147" s="139"/>
      <c r="G147" s="185"/>
      <c r="H147" s="186"/>
      <c r="I147" s="186"/>
      <c r="J147" s="187"/>
      <c r="K147" s="398"/>
      <c r="L147" s="140"/>
      <c r="M147" s="961"/>
      <c r="N147" s="961"/>
      <c r="O147" s="961"/>
    </row>
    <row r="148" spans="1:15" ht="12.75">
      <c r="A148" s="33"/>
      <c r="B148" s="137"/>
      <c r="C148" s="137"/>
      <c r="D148" s="137"/>
      <c r="E148" s="924"/>
      <c r="F148" s="150"/>
      <c r="G148" s="1381" t="s">
        <v>199</v>
      </c>
      <c r="H148" s="1382"/>
      <c r="I148" s="1382"/>
      <c r="J148" s="1383"/>
      <c r="K148" s="173">
        <f>K8+K98</f>
        <v>452948288</v>
      </c>
      <c r="L148" s="173">
        <f>L8+L98</f>
        <v>452948288</v>
      </c>
      <c r="M148" s="970">
        <f>M8+M98</f>
        <v>527841676</v>
      </c>
      <c r="N148" s="970">
        <f>M148</f>
        <v>527841676</v>
      </c>
      <c r="O148" s="970">
        <f>N148</f>
        <v>527841676</v>
      </c>
    </row>
    <row r="149" spans="1:15" ht="15" customHeight="1">
      <c r="A149" s="35"/>
      <c r="B149" s="105"/>
      <c r="C149" s="105"/>
      <c r="D149" s="105"/>
      <c r="E149" s="921"/>
      <c r="F149" s="106"/>
      <c r="G149" s="1363" t="s">
        <v>200</v>
      </c>
      <c r="H149" s="1364"/>
      <c r="I149" s="1364"/>
      <c r="J149" s="1365"/>
      <c r="K149" s="401">
        <v>245000</v>
      </c>
      <c r="L149" s="38">
        <v>245000</v>
      </c>
      <c r="M149" s="966">
        <f>M108</f>
        <v>205000</v>
      </c>
      <c r="N149" s="966">
        <f>N108</f>
        <v>205000</v>
      </c>
      <c r="O149" s="966">
        <f>O108</f>
        <v>205000</v>
      </c>
    </row>
    <row r="150" spans="1:15" ht="12.75">
      <c r="A150" s="35"/>
      <c r="B150" s="105"/>
      <c r="C150" s="105"/>
      <c r="D150" s="105"/>
      <c r="E150" s="921"/>
      <c r="F150" s="106"/>
      <c r="G150" s="1363" t="s">
        <v>201</v>
      </c>
      <c r="H150" s="1364"/>
      <c r="I150" s="1364"/>
      <c r="J150" s="1365"/>
      <c r="K150" s="401">
        <f>K119</f>
        <v>2980000</v>
      </c>
      <c r="L150" s="38">
        <f>L119</f>
        <v>2980000</v>
      </c>
      <c r="M150" s="966">
        <f>M119</f>
        <v>3810000</v>
      </c>
      <c r="N150" s="966">
        <f>N119</f>
        <v>3810000</v>
      </c>
      <c r="O150" s="966">
        <f>O119</f>
        <v>3810000</v>
      </c>
    </row>
    <row r="151" spans="1:16" ht="12.75">
      <c r="A151" s="35"/>
      <c r="B151" s="105"/>
      <c r="C151" s="105"/>
      <c r="D151" s="105"/>
      <c r="E151" s="921"/>
      <c r="F151" s="106"/>
      <c r="G151" s="1363" t="s">
        <v>202</v>
      </c>
      <c r="H151" s="1364"/>
      <c r="I151" s="1364"/>
      <c r="J151" s="1365"/>
      <c r="K151" s="401">
        <f>K125</f>
        <v>40915100.88</v>
      </c>
      <c r="L151" s="38">
        <f>L125</f>
        <v>40915100.88</v>
      </c>
      <c r="M151" s="1036">
        <f>M125</f>
        <v>36446642.879999995</v>
      </c>
      <c r="N151" s="1036">
        <f>N125</f>
        <v>36446642.879999995</v>
      </c>
      <c r="O151" s="1036">
        <f>O125</f>
        <v>36446642.879999995</v>
      </c>
      <c r="P151" s="503"/>
    </row>
    <row r="152" spans="1:15" ht="12.75">
      <c r="A152" s="35"/>
      <c r="B152" s="105"/>
      <c r="C152" s="105"/>
      <c r="D152" s="105"/>
      <c r="E152" s="921"/>
      <c r="F152" s="106"/>
      <c r="G152" s="1363" t="s">
        <v>228</v>
      </c>
      <c r="H152" s="1364"/>
      <c r="I152" s="1364"/>
      <c r="J152" s="1365"/>
      <c r="K152" s="38">
        <f>'Rashodi-2020'!P508</f>
        <v>3810000</v>
      </c>
      <c r="L152" s="38">
        <f>'Rashodi-2020'!Q508</f>
        <v>36446642.879999995</v>
      </c>
      <c r="M152" s="1037">
        <f>M143</f>
        <v>135635973.1</v>
      </c>
      <c r="N152" s="1037">
        <f>N143</f>
        <v>135635973.1</v>
      </c>
      <c r="O152" s="1037">
        <f>O143</f>
        <v>135635973.1</v>
      </c>
    </row>
    <row r="153" spans="1:15" ht="12.75">
      <c r="A153" s="188"/>
      <c r="B153" s="189"/>
      <c r="C153" s="189"/>
      <c r="D153" s="189"/>
      <c r="E153" s="925"/>
      <c r="F153" s="190"/>
      <c r="G153" s="1363" t="s">
        <v>229</v>
      </c>
      <c r="H153" s="1364"/>
      <c r="I153" s="1364"/>
      <c r="J153" s="1364"/>
      <c r="K153" s="38">
        <f>K145</f>
        <v>36446642.879999995</v>
      </c>
      <c r="L153" s="38">
        <f>L145</f>
        <v>135635973.1</v>
      </c>
      <c r="M153" s="971">
        <f>M145</f>
        <v>4570000</v>
      </c>
      <c r="N153" s="971">
        <f>N145</f>
        <v>4570000</v>
      </c>
      <c r="O153" s="971">
        <f>O145</f>
        <v>4570000</v>
      </c>
    </row>
    <row r="154" spans="1:15" ht="12.75">
      <c r="A154" s="188"/>
      <c r="B154" s="189"/>
      <c r="C154" s="189"/>
      <c r="D154" s="189"/>
      <c r="E154" s="925"/>
      <c r="F154" s="190"/>
      <c r="G154" s="1413" t="s">
        <v>1191</v>
      </c>
      <c r="H154" s="1414"/>
      <c r="I154" s="1414"/>
      <c r="J154" s="1414"/>
      <c r="K154" s="534">
        <f>K137</f>
        <v>135635973.1</v>
      </c>
      <c r="L154" s="191">
        <f>L137</f>
        <v>4570000</v>
      </c>
      <c r="M154" s="971">
        <f>M137</f>
        <v>505000</v>
      </c>
      <c r="N154" s="971">
        <f>N137</f>
        <v>505000</v>
      </c>
      <c r="O154" s="971">
        <f>O137</f>
        <v>505000</v>
      </c>
    </row>
    <row r="155" spans="1:15" ht="13.5" thickBot="1">
      <c r="A155" s="39"/>
      <c r="B155" s="151"/>
      <c r="C155" s="151"/>
      <c r="D155" s="151"/>
      <c r="E155" s="926"/>
      <c r="F155" s="152"/>
      <c r="G155" s="1357" t="s">
        <v>130</v>
      </c>
      <c r="H155" s="1358"/>
      <c r="I155" s="1358"/>
      <c r="J155" s="1359"/>
      <c r="K155" s="40">
        <f>SUM(K148:K154)</f>
        <v>672981004.86</v>
      </c>
      <c r="L155" s="40">
        <f>SUM(L148:L154)</f>
        <v>673741004.86</v>
      </c>
      <c r="M155" s="972">
        <f>SUM(M148:M154)</f>
        <v>709014291.98</v>
      </c>
      <c r="N155" s="972">
        <f>SUM(N148:N154)</f>
        <v>709014291.98</v>
      </c>
      <c r="O155" s="972">
        <f>SUM(O148:O154)</f>
        <v>709014291.98</v>
      </c>
    </row>
    <row r="156" spans="1:11" ht="12.75">
      <c r="A156" s="29"/>
      <c r="B156" s="29"/>
      <c r="C156" s="29"/>
      <c r="D156" s="29"/>
      <c r="E156" s="912"/>
      <c r="F156" s="29"/>
      <c r="G156" s="29"/>
      <c r="H156" s="29"/>
      <c r="I156" s="29"/>
      <c r="J156" s="29"/>
      <c r="K156" s="394"/>
    </row>
    <row r="157" spans="1:6" ht="12.75" hidden="1">
      <c r="A157" s="1356"/>
      <c r="B157" s="1356"/>
      <c r="C157" s="1356"/>
      <c r="D157" s="1356"/>
      <c r="E157" s="1356"/>
      <c r="F157" s="1356"/>
    </row>
    <row r="158" ht="12.75" hidden="1">
      <c r="H158" s="503"/>
    </row>
    <row r="159" spans="1:11" ht="12.75" hidden="1">
      <c r="A159" s="1356"/>
      <c r="B159" s="1356"/>
      <c r="C159" s="1356"/>
      <c r="D159" s="1356"/>
      <c r="E159" s="1356"/>
      <c r="F159" s="1356"/>
      <c r="K159" s="407"/>
    </row>
    <row r="160" spans="12:15" ht="12.75" hidden="1">
      <c r="L160" s="41"/>
      <c r="M160" s="41"/>
      <c r="N160" s="41"/>
      <c r="O160" s="41"/>
    </row>
    <row r="161" spans="8:16" ht="12.75" hidden="1">
      <c r="H161" s="586" t="s">
        <v>1192</v>
      </c>
      <c r="I161" s="1415">
        <f>M148+M149+M150+M151+M154</f>
        <v>568808318.88</v>
      </c>
      <c r="J161" s="1416"/>
      <c r="K161" s="181">
        <v>0.1</v>
      </c>
      <c r="L161" s="26">
        <v>0.1</v>
      </c>
      <c r="M161" s="571">
        <v>0.1</v>
      </c>
      <c r="N161" s="571"/>
      <c r="O161" s="571"/>
      <c r="P161" s="43"/>
    </row>
    <row r="162" spans="13:16" ht="12.75" hidden="1">
      <c r="M162" s="77"/>
      <c r="N162" s="77"/>
      <c r="O162" s="77"/>
      <c r="P162" s="574"/>
    </row>
    <row r="163" spans="13:15" ht="12.75" hidden="1">
      <c r="M163" s="77"/>
      <c r="N163" s="77"/>
      <c r="O163" s="77"/>
    </row>
    <row r="164" spans="9:10" ht="12.75" hidden="1">
      <c r="I164" s="1407">
        <f>I161*M161</f>
        <v>56880831.888000004</v>
      </c>
      <c r="J164" s="1407"/>
    </row>
    <row r="165" spans="9:10" ht="12.75" hidden="1">
      <c r="I165" s="1408" t="s">
        <v>1203</v>
      </c>
      <c r="J165" s="1408"/>
    </row>
    <row r="166" spans="9:10" ht="12.75" hidden="1">
      <c r="I166" s="572"/>
      <c r="J166" s="572"/>
    </row>
    <row r="167" ht="12.75" hidden="1"/>
    <row r="168" ht="12.75" hidden="1"/>
    <row r="169" spans="8:15" ht="12.75" hidden="1">
      <c r="H169" s="1">
        <f>'Rashodi-2020'!N508-'Prihodi-2020.'!M148</f>
        <v>0</v>
      </c>
      <c r="K169" s="181">
        <f>K148+K149+K150+K151+K154</f>
        <v>632724361.98</v>
      </c>
      <c r="L169" s="26">
        <f>L148+L149+L150+L151+L154</f>
        <v>501658388.88</v>
      </c>
      <c r="M169" s="43">
        <f>M148+M149+M150+M151+M154</f>
        <v>568808318.88</v>
      </c>
      <c r="N169" s="43"/>
      <c r="O169" s="43"/>
    </row>
    <row r="170" ht="12.75" hidden="1"/>
    <row r="171" ht="12.75" hidden="1"/>
    <row r="172" ht="12.75" hidden="1"/>
    <row r="173" ht="12.75" hidden="1"/>
    <row r="174" spans="11:13" ht="12.75" hidden="1">
      <c r="K174" s="181">
        <f>K148+K149+K150+K151+K154</f>
        <v>632724361.98</v>
      </c>
      <c r="L174" s="26">
        <f>L148+L149+L150+L151+L154</f>
        <v>501658388.88</v>
      </c>
      <c r="M174" s="43">
        <f>M148+M149+M150+M151+M154</f>
        <v>568808318.88</v>
      </c>
    </row>
    <row r="175" spans="11:13" ht="12.75" hidden="1">
      <c r="K175" s="181">
        <f>K174+K143+K145</f>
        <v>672981004.86</v>
      </c>
      <c r="L175" s="26">
        <f>L174+L143+L145</f>
        <v>673741004.86</v>
      </c>
      <c r="M175" s="43">
        <f>M174+M143+M145</f>
        <v>709014291.98</v>
      </c>
    </row>
    <row r="176" spans="11:13" ht="12.75" hidden="1">
      <c r="K176" s="181">
        <f>K175-K174</f>
        <v>40256642.879999995</v>
      </c>
      <c r="L176" s="26">
        <f>L175-L174</f>
        <v>172082615.98000002</v>
      </c>
      <c r="M176" s="43">
        <f>M175-M174</f>
        <v>140205973.10000002</v>
      </c>
    </row>
    <row r="183" ht="12.75">
      <c r="H183" s="271"/>
    </row>
    <row r="188" ht="12.75">
      <c r="M188" s="77"/>
    </row>
  </sheetData>
  <sheetProtection/>
  <mergeCells count="99">
    <mergeCell ref="P39:Q39"/>
    <mergeCell ref="G154:J154"/>
    <mergeCell ref="I161:J161"/>
    <mergeCell ref="G153:J153"/>
    <mergeCell ref="G129:J129"/>
    <mergeCell ref="G149:J149"/>
    <mergeCell ref="G123:J123"/>
    <mergeCell ref="G100:J100"/>
    <mergeCell ref="G137:J137"/>
    <mergeCell ref="G141:J141"/>
    <mergeCell ref="I164:J164"/>
    <mergeCell ref="I165:J165"/>
    <mergeCell ref="G26:H26"/>
    <mergeCell ref="G102:J102"/>
    <mergeCell ref="G120:H120"/>
    <mergeCell ref="G115:J115"/>
    <mergeCell ref="G134:J134"/>
    <mergeCell ref="G116:I116"/>
    <mergeCell ref="G67:J67"/>
    <mergeCell ref="G128:J128"/>
    <mergeCell ref="B4:M4"/>
    <mergeCell ref="G108:J108"/>
    <mergeCell ref="G6:J6"/>
    <mergeCell ref="G7:J7"/>
    <mergeCell ref="G8:J8"/>
    <mergeCell ref="G46:J46"/>
    <mergeCell ref="G10:J10"/>
    <mergeCell ref="G22:I22"/>
    <mergeCell ref="G93:J93"/>
    <mergeCell ref="G11:H11"/>
    <mergeCell ref="G18:H18"/>
    <mergeCell ref="G47:H47"/>
    <mergeCell ref="G106:J106"/>
    <mergeCell ref="G94:I94"/>
    <mergeCell ref="G12:J12"/>
    <mergeCell ref="G24:H24"/>
    <mergeCell ref="G21:J21"/>
    <mergeCell ref="G27:I27"/>
    <mergeCell ref="G30:I30"/>
    <mergeCell ref="G63:J63"/>
    <mergeCell ref="G15:I15"/>
    <mergeCell ref="G38:I38"/>
    <mergeCell ref="G54:H54"/>
    <mergeCell ref="G34:J34"/>
    <mergeCell ref="G56:J56"/>
    <mergeCell ref="G49:J49"/>
    <mergeCell ref="G39:I39"/>
    <mergeCell ref="G40:J40"/>
    <mergeCell ref="G44:J44"/>
    <mergeCell ref="G45:J45"/>
    <mergeCell ref="G41:J41"/>
    <mergeCell ref="G82:J82"/>
    <mergeCell ref="G81:J81"/>
    <mergeCell ref="G52:J52"/>
    <mergeCell ref="G62:I62"/>
    <mergeCell ref="G32:J32"/>
    <mergeCell ref="G74:J74"/>
    <mergeCell ref="G71:J71"/>
    <mergeCell ref="G80:I80"/>
    <mergeCell ref="G105:J105"/>
    <mergeCell ref="G42:J42"/>
    <mergeCell ref="G43:J43"/>
    <mergeCell ref="G50:J50"/>
    <mergeCell ref="G90:J90"/>
    <mergeCell ref="G66:J66"/>
    <mergeCell ref="G92:J92"/>
    <mergeCell ref="G85:J85"/>
    <mergeCell ref="G98:J98"/>
    <mergeCell ref="G91:J91"/>
    <mergeCell ref="G148:J148"/>
    <mergeCell ref="G53:J53"/>
    <mergeCell ref="G48:J48"/>
    <mergeCell ref="G111:J111"/>
    <mergeCell ref="G114:J114"/>
    <mergeCell ref="G64:J64"/>
    <mergeCell ref="G88:J88"/>
    <mergeCell ref="G99:J99"/>
    <mergeCell ref="G73:J73"/>
    <mergeCell ref="G104:J104"/>
    <mergeCell ref="G152:J152"/>
    <mergeCell ref="G101:J101"/>
    <mergeCell ref="G150:J150"/>
    <mergeCell ref="G87:J87"/>
    <mergeCell ref="G122:J122"/>
    <mergeCell ref="G140:J140"/>
    <mergeCell ref="G143:J143"/>
    <mergeCell ref="G112:J112"/>
    <mergeCell ref="G110:J110"/>
    <mergeCell ref="G117:J117"/>
    <mergeCell ref="G135:J135"/>
    <mergeCell ref="G138:H138"/>
    <mergeCell ref="A159:F159"/>
    <mergeCell ref="A157:F157"/>
    <mergeCell ref="G155:J155"/>
    <mergeCell ref="G119:J119"/>
    <mergeCell ref="G125:J125"/>
    <mergeCell ref="G126:H126"/>
    <mergeCell ref="G151:J151"/>
    <mergeCell ref="G145:J145"/>
  </mergeCells>
  <printOptions horizontalCentered="1" verticalCentered="1"/>
  <pageMargins left="0.5118110236220472" right="0.15748031496062992" top="0.2362204724409449" bottom="0.1968503937007874" header="0.2755905511811024" footer="0.15748031496062992"/>
  <pageSetup horizontalDpi="600" verticalDpi="600" orientation="landscape" scale="65" r:id="rId2"/>
  <headerFooter alignWithMargins="0">
    <oddFooter>&amp;CPage &amp;P of &amp;N</oddFooter>
  </headerFooter>
  <rowBreaks count="3" manualBreakCount="3">
    <brk id="71" max="18" man="1"/>
    <brk id="155" max="13" man="1"/>
    <brk id="156" max="255" man="1"/>
  </rowBreaks>
  <colBreaks count="1" manualBreakCount="1">
    <brk id="1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29">
      <selection activeCell="K21" sqref="K21"/>
    </sheetView>
  </sheetViews>
  <sheetFormatPr defaultColWidth="9.140625" defaultRowHeight="12.75"/>
  <cols>
    <col min="1" max="1" width="6.140625" style="283" customWidth="1"/>
    <col min="2" max="2" width="35.28125" style="22" customWidth="1"/>
    <col min="3" max="3" width="13.421875" style="26" bestFit="1" customWidth="1"/>
    <col min="4" max="5" width="12.00390625" style="43" bestFit="1" customWidth="1"/>
    <col min="6" max="6" width="12.28125" style="26" bestFit="1" customWidth="1"/>
    <col min="7" max="7" width="14.57421875" style="26" customWidth="1"/>
    <col min="8" max="8" width="12.00390625" style="26" bestFit="1" customWidth="1"/>
    <col min="9" max="9" width="14.57421875" style="26" bestFit="1" customWidth="1"/>
    <col min="10" max="10" width="13.421875" style="1" bestFit="1" customWidth="1"/>
    <col min="11" max="11" width="15.57421875" style="22" customWidth="1"/>
    <col min="12" max="16384" width="9.140625" style="22" customWidth="1"/>
  </cols>
  <sheetData>
    <row r="1" spans="1:10" s="23" customFormat="1" ht="12.75">
      <c r="A1" s="1350" t="s">
        <v>1559</v>
      </c>
      <c r="B1" s="1350"/>
      <c r="C1" s="1350"/>
      <c r="D1" s="1350"/>
      <c r="E1" s="1350"/>
      <c r="F1" s="1350"/>
      <c r="G1" s="272"/>
      <c r="H1" s="272"/>
      <c r="I1" s="272"/>
      <c r="J1" s="273"/>
    </row>
    <row r="2" spans="1:4" ht="13.5" thickBot="1">
      <c r="A2" s="274"/>
      <c r="B2" s="23"/>
      <c r="C2" s="42"/>
      <c r="D2" s="275"/>
    </row>
    <row r="3" spans="1:10" s="23" customFormat="1" ht="66" customHeight="1" thickBot="1">
      <c r="A3" s="1039" t="s">
        <v>23</v>
      </c>
      <c r="B3" s="1040" t="s">
        <v>24</v>
      </c>
      <c r="C3" s="1041" t="s">
        <v>1380</v>
      </c>
      <c r="D3" s="1041" t="s">
        <v>1381</v>
      </c>
      <c r="E3" s="1041" t="s">
        <v>1382</v>
      </c>
      <c r="F3" s="1041" t="s">
        <v>1383</v>
      </c>
      <c r="G3" s="1041" t="s">
        <v>1384</v>
      </c>
      <c r="H3" s="1041" t="s">
        <v>1531</v>
      </c>
      <c r="I3" s="1041" t="s">
        <v>1385</v>
      </c>
      <c r="J3" s="1042" t="s">
        <v>1560</v>
      </c>
    </row>
    <row r="4" spans="1:10" s="23" customFormat="1" ht="17.25" customHeight="1" thickBot="1">
      <c r="A4" s="1419" t="s">
        <v>25</v>
      </c>
      <c r="B4" s="1420"/>
      <c r="C4" s="1043">
        <f>C5+C12+C19+C22+C24+C28+C30+C35+C37</f>
        <v>527841676</v>
      </c>
      <c r="D4" s="1043">
        <f aca="true" t="shared" si="0" ref="D4:I4">D5+D12+D19+D22+D24+D28+D30+D35+D37</f>
        <v>205000</v>
      </c>
      <c r="E4" s="1043">
        <f t="shared" si="0"/>
        <v>3810000</v>
      </c>
      <c r="F4" s="1043">
        <f t="shared" si="0"/>
        <v>36446642.879999995</v>
      </c>
      <c r="G4" s="1043">
        <f t="shared" si="0"/>
        <v>135635973.1</v>
      </c>
      <c r="H4" s="1043">
        <f t="shared" si="0"/>
        <v>4570000</v>
      </c>
      <c r="I4" s="1043">
        <f t="shared" si="0"/>
        <v>505000</v>
      </c>
      <c r="J4" s="1043">
        <f>SUM(C4:I4)</f>
        <v>709014291.98</v>
      </c>
    </row>
    <row r="5" spans="1:10" s="23" customFormat="1" ht="15" customHeight="1" thickBot="1">
      <c r="A5" s="1044">
        <v>41</v>
      </c>
      <c r="B5" s="1045" t="s">
        <v>26</v>
      </c>
      <c r="C5" s="1046">
        <f aca="true" t="shared" si="1" ref="C5:I5">SUM(C6:C11)</f>
        <v>106198868</v>
      </c>
      <c r="D5" s="1046">
        <f t="shared" si="1"/>
        <v>0</v>
      </c>
      <c r="E5" s="1046">
        <f t="shared" si="1"/>
        <v>0</v>
      </c>
      <c r="F5" s="1046">
        <f t="shared" si="1"/>
        <v>1075000</v>
      </c>
      <c r="G5" s="1046">
        <f t="shared" si="1"/>
        <v>250000</v>
      </c>
      <c r="H5" s="1046">
        <f t="shared" si="1"/>
        <v>0</v>
      </c>
      <c r="I5" s="1046">
        <f t="shared" si="1"/>
        <v>0</v>
      </c>
      <c r="J5" s="1043">
        <f aca="true" t="shared" si="2" ref="J5:J47">SUM(C5:I5)</f>
        <v>107523868</v>
      </c>
    </row>
    <row r="6" spans="1:11" ht="12.75">
      <c r="A6" s="1047">
        <v>411</v>
      </c>
      <c r="B6" s="1048" t="s">
        <v>27</v>
      </c>
      <c r="C6" s="1049">
        <f>'Rashodi-2020'!N11+'Rashodi-2020'!N43+'Rashodi-2020'!N61+'Rashodi-2020'!N77+'Rashodi-2020'!N433+'Rashodi-2020'!N451+'Rashodi-2020'!N500+'Rashodi-2020'!N464+'Rashodi-2020'!N33+'Rashodi-2020'!N395+'Rashodi-2020'!N373</f>
        <v>85718200</v>
      </c>
      <c r="D6" s="1049">
        <f>'Rashodi-2020'!O11+'Rashodi-2020'!O43+'Rashodi-2020'!O61+'Rashodi-2020'!O77+'Rashodi-2020'!O433+'Rashodi-2020'!O451+'Rashodi-2020'!O500+'Rashodi-2020'!O464+'Rashodi-2020'!O33+'Rashodi-2020'!O395+'Rashodi-2020'!O373</f>
        <v>0</v>
      </c>
      <c r="E6" s="1049">
        <f>'Rashodi-2020'!P11+'Rashodi-2020'!P43+'Rashodi-2020'!P61+'Rashodi-2020'!P77+'Rashodi-2020'!P433+'Rashodi-2020'!P451+'Rashodi-2020'!P500+'Rashodi-2020'!P464+'Rashodi-2020'!P33+'Rashodi-2020'!P395+'Rashodi-2020'!P373</f>
        <v>0</v>
      </c>
      <c r="F6" s="1049">
        <f>'Rashodi-2020'!Q11+'Rashodi-2020'!Q43+'Rashodi-2020'!Q61+'Rashodi-2020'!Q77+'Rashodi-2020'!Q433+'Rashodi-2020'!Q451+'Rashodi-2020'!Q500+'Rashodi-2020'!Q464+'Rashodi-2020'!Q33+'Rashodi-2020'!Q395+'Rashodi-2020'!Q373</f>
        <v>500000</v>
      </c>
      <c r="G6" s="1049">
        <f>'Rashodi-2020'!R11+'Rashodi-2020'!R43+'Rashodi-2020'!R61+'Rashodi-2020'!R77+'Rashodi-2020'!R433+'Rashodi-2020'!R451+'Rashodi-2020'!R500+'Rashodi-2020'!R464+'Rashodi-2020'!R33+'Rashodi-2020'!R395+'Rashodi-2020'!R373</f>
        <v>0</v>
      </c>
      <c r="H6" s="1049">
        <f>'Rashodi-2020'!S11+'Rashodi-2020'!S43+'Rashodi-2020'!S61+'Rashodi-2020'!S77+'Rashodi-2020'!S433+'Rashodi-2020'!S451+'Rashodi-2020'!S500+'Rashodi-2020'!S464+'Rashodi-2020'!S33+'Rashodi-2020'!S395+'Rashodi-2020'!S373</f>
        <v>0</v>
      </c>
      <c r="I6" s="1049">
        <f>'Rashodi-2020'!T11+'Rashodi-2020'!T43+'Rashodi-2020'!T61+'Rashodi-2020'!T77+'Rashodi-2020'!T433+'Rashodi-2020'!T451+'Rashodi-2020'!T500+'Rashodi-2020'!T464+'Rashodi-2020'!T33+'Rashodi-2020'!T395+'Rashodi-2020'!T373</f>
        <v>0</v>
      </c>
      <c r="J6" s="1050">
        <f t="shared" si="2"/>
        <v>86218200</v>
      </c>
      <c r="K6" s="1"/>
    </row>
    <row r="7" spans="1:11" ht="12.75">
      <c r="A7" s="1051">
        <v>412</v>
      </c>
      <c r="B7" s="1052" t="s">
        <v>28</v>
      </c>
      <c r="C7" s="1053">
        <f>'Rashodi-2020'!N12+'Rashodi-2020'!N44+'Rashodi-2020'!N62+'Rashodi-2020'!N78+'Rashodi-2020'!N434+'Rashodi-2020'!N452+'Rashodi-2020'!N501+'Rashodi-2020'!N465+'Rashodi-2020'!N34+'Rashodi-2020'!N396+'Rashodi-2020'!N374</f>
        <v>15137678</v>
      </c>
      <c r="D7" s="1053">
        <f>'Rashodi-2020'!O12+'Rashodi-2020'!O44+'Rashodi-2020'!O62+'Rashodi-2020'!O78+'Rashodi-2020'!O434+'Rashodi-2020'!O452+'Rashodi-2020'!O501+'Rashodi-2020'!O465+'Rashodi-2020'!O34+'Rashodi-2020'!O396+'Rashodi-2020'!O374</f>
        <v>0</v>
      </c>
      <c r="E7" s="1053">
        <f>'Rashodi-2020'!P12+'Rashodi-2020'!P44+'Rashodi-2020'!P62+'Rashodi-2020'!P78+'Rashodi-2020'!P434+'Rashodi-2020'!P452+'Rashodi-2020'!P501+'Rashodi-2020'!P465+'Rashodi-2020'!P34+'Rashodi-2020'!P396+'Rashodi-2020'!P374</f>
        <v>0</v>
      </c>
      <c r="F7" s="1053">
        <f>'Rashodi-2020'!Q12+'Rashodi-2020'!Q44+'Rashodi-2020'!Q62+'Rashodi-2020'!Q78+'Rashodi-2020'!Q434+'Rashodi-2020'!Q452+'Rashodi-2020'!Q501+'Rashodi-2020'!Q465+'Rashodi-2020'!Q34+'Rashodi-2020'!Q396+'Rashodi-2020'!Q374</f>
        <v>0</v>
      </c>
      <c r="G7" s="1053">
        <f>'Rashodi-2020'!R12+'Rashodi-2020'!R44+'Rashodi-2020'!R62+'Rashodi-2020'!R78+'Rashodi-2020'!R434+'Rashodi-2020'!R452+'Rashodi-2020'!R501+'Rashodi-2020'!R465+'Rashodi-2020'!R34+'Rashodi-2020'!R396+'Rashodi-2020'!R374</f>
        <v>0</v>
      </c>
      <c r="H7" s="1053">
        <f>'Rashodi-2020'!S12+'Rashodi-2020'!S44+'Rashodi-2020'!S62+'Rashodi-2020'!S78+'Rashodi-2020'!S434+'Rashodi-2020'!S452+'Rashodi-2020'!S501+'Rashodi-2020'!S465+'Rashodi-2020'!S34+'Rashodi-2020'!S396+'Rashodi-2020'!S374</f>
        <v>0</v>
      </c>
      <c r="I7" s="1053">
        <f>'Rashodi-2020'!T12+'Rashodi-2020'!T44+'Rashodi-2020'!T62+'Rashodi-2020'!T78+'Rashodi-2020'!T434+'Rashodi-2020'!T452+'Rashodi-2020'!T501+'Rashodi-2020'!T465+'Rashodi-2020'!T34+'Rashodi-2020'!T396+'Rashodi-2020'!T374</f>
        <v>0</v>
      </c>
      <c r="J7" s="1054">
        <f t="shared" si="2"/>
        <v>15137678</v>
      </c>
      <c r="K7" s="1"/>
    </row>
    <row r="8" spans="1:10" ht="12.75">
      <c r="A8" s="1051">
        <v>413</v>
      </c>
      <c r="B8" s="1052" t="s">
        <v>29</v>
      </c>
      <c r="C8" s="1053">
        <f>'Rashodi-2020'!N375</f>
        <v>200000</v>
      </c>
      <c r="D8" s="1053">
        <f>'Rashodi-2020'!O375</f>
        <v>0</v>
      </c>
      <c r="E8" s="1053">
        <f>'Rashodi-2020'!P375</f>
        <v>0</v>
      </c>
      <c r="F8" s="1053">
        <f>'Rashodi-2020'!Q375</f>
        <v>150000</v>
      </c>
      <c r="G8" s="1053">
        <f>'Rashodi-2020'!R375</f>
        <v>50000</v>
      </c>
      <c r="H8" s="1053">
        <f>'Rashodi-2020'!S375</f>
        <v>0</v>
      </c>
      <c r="I8" s="1053">
        <f>'Rashodi-2020'!T375</f>
        <v>0</v>
      </c>
      <c r="J8" s="1054">
        <f t="shared" si="2"/>
        <v>400000</v>
      </c>
    </row>
    <row r="9" spans="1:10" ht="12.75">
      <c r="A9" s="1051">
        <v>414</v>
      </c>
      <c r="B9" s="1052" t="s">
        <v>30</v>
      </c>
      <c r="C9" s="1053">
        <f>'Rashodi-2020'!N79+'Rashodi-2020'!N13+'Rashodi-2020'!N45+'Rashodi-2020'!N63+'Rashodi-2020'!N397+'Rashodi-2020'!N376+'Rashodi-2020'!N435</f>
        <v>1860990</v>
      </c>
      <c r="D9" s="1053">
        <f>'Rashodi-2020'!O79+'Rashodi-2020'!O13+'Rashodi-2020'!O45+'Rashodi-2020'!O63+'Rashodi-2020'!O397+'Rashodi-2020'!O376+'Rashodi-2020'!O435</f>
        <v>0</v>
      </c>
      <c r="E9" s="1053">
        <f>'Rashodi-2020'!P79+'Rashodi-2020'!P13+'Rashodi-2020'!P45+'Rashodi-2020'!P63+'Rashodi-2020'!P397+'Rashodi-2020'!P376+'Rashodi-2020'!P435</f>
        <v>0</v>
      </c>
      <c r="F9" s="1053">
        <f>'Rashodi-2020'!Q79+'Rashodi-2020'!Q13+'Rashodi-2020'!Q45+'Rashodi-2020'!Q63+'Rashodi-2020'!Q397+'Rashodi-2020'!Q376+'Rashodi-2020'!Q435</f>
        <v>25000</v>
      </c>
      <c r="G9" s="1053">
        <f>'Rashodi-2020'!R79+'Rashodi-2020'!R13+'Rashodi-2020'!R45+'Rashodi-2020'!R63+'Rashodi-2020'!R397+'Rashodi-2020'!R376+'Rashodi-2020'!R435</f>
        <v>0</v>
      </c>
      <c r="H9" s="1053">
        <f>'Rashodi-2020'!S79+'Rashodi-2020'!S13+'Rashodi-2020'!S45+'Rashodi-2020'!S63+'Rashodi-2020'!S397+'Rashodi-2020'!S376+'Rashodi-2020'!S435</f>
        <v>0</v>
      </c>
      <c r="I9" s="1053">
        <f>'Rashodi-2020'!T79+'Rashodi-2020'!T13+'Rashodi-2020'!T45+'Rashodi-2020'!T63+'Rashodi-2020'!T397+'Rashodi-2020'!T376+'Rashodi-2020'!T435</f>
        <v>0</v>
      </c>
      <c r="J9" s="1054">
        <f t="shared" si="2"/>
        <v>1885990</v>
      </c>
    </row>
    <row r="10" spans="1:10" ht="12.75">
      <c r="A10" s="1051">
        <v>415</v>
      </c>
      <c r="B10" s="1052" t="s">
        <v>31</v>
      </c>
      <c r="C10" s="1053">
        <f>'Rashodi-2020'!N14+'Rashodi-2020'!N64+'Rashodi-2020'!N80+'Rashodi-2020'!N46+'Rashodi-2020'!N35+'Rashodi-2020'!N398+'Rashodi-2020'!N377</f>
        <v>2392000</v>
      </c>
      <c r="D10" s="1053">
        <f>'Rashodi-2020'!O14+'Rashodi-2020'!O64+'Rashodi-2020'!O80+'Rashodi-2020'!O46+'Rashodi-2020'!O35+'Rashodi-2020'!O398+'Rashodi-2020'!O377</f>
        <v>0</v>
      </c>
      <c r="E10" s="1053">
        <f>'Rashodi-2020'!P14+'Rashodi-2020'!P64+'Rashodi-2020'!P80+'Rashodi-2020'!P46+'Rashodi-2020'!P35+'Rashodi-2020'!P398+'Rashodi-2020'!P377</f>
        <v>0</v>
      </c>
      <c r="F10" s="1053">
        <f>'Rashodi-2020'!Q14+'Rashodi-2020'!Q64+'Rashodi-2020'!Q80+'Rashodi-2020'!Q46+'Rashodi-2020'!Q35+'Rashodi-2020'!Q398+'Rashodi-2020'!Q377</f>
        <v>400000</v>
      </c>
      <c r="G10" s="1053">
        <f>'Rashodi-2020'!R14+'Rashodi-2020'!R64+'Rashodi-2020'!R80+'Rashodi-2020'!R46+'Rashodi-2020'!R35+'Rashodi-2020'!R398+'Rashodi-2020'!R377</f>
        <v>200000</v>
      </c>
      <c r="H10" s="1053">
        <f>'Rashodi-2020'!S14+'Rashodi-2020'!S64+'Rashodi-2020'!S80+'Rashodi-2020'!S46+'Rashodi-2020'!S35+'Rashodi-2020'!S398+'Rashodi-2020'!S377</f>
        <v>0</v>
      </c>
      <c r="I10" s="1053">
        <f>'Rashodi-2020'!T14+'Rashodi-2020'!T64+'Rashodi-2020'!T80+'Rashodi-2020'!T46+'Rashodi-2020'!T35+'Rashodi-2020'!T398+'Rashodi-2020'!T377</f>
        <v>0</v>
      </c>
      <c r="J10" s="1054">
        <f t="shared" si="2"/>
        <v>2992000</v>
      </c>
    </row>
    <row r="11" spans="1:10" ht="13.5" thickBot="1">
      <c r="A11" s="1055">
        <v>416</v>
      </c>
      <c r="B11" s="1056" t="s">
        <v>203</v>
      </c>
      <c r="C11" s="1057">
        <f>'Rashodi-2020'!N378+'Rashodi-2020'!N81</f>
        <v>890000</v>
      </c>
      <c r="D11" s="1057">
        <f>'Rashodi-2020'!O378+'Rashodi-2020'!O81</f>
        <v>0</v>
      </c>
      <c r="E11" s="1057">
        <f>'Rashodi-2020'!P378+'Rashodi-2020'!P81</f>
        <v>0</v>
      </c>
      <c r="F11" s="1057">
        <f>'Rashodi-2020'!Q378+'Rashodi-2020'!Q81</f>
        <v>0</v>
      </c>
      <c r="G11" s="1057">
        <f>'Rashodi-2020'!R378+'Rashodi-2020'!R81</f>
        <v>0</v>
      </c>
      <c r="H11" s="1057">
        <f>'Rashodi-2020'!S378+'Rashodi-2020'!S81</f>
        <v>0</v>
      </c>
      <c r="I11" s="1057">
        <f>'Rashodi-2020'!T378+'Rashodi-2020'!T81</f>
        <v>0</v>
      </c>
      <c r="J11" s="1058">
        <f t="shared" si="2"/>
        <v>890000</v>
      </c>
    </row>
    <row r="12" spans="1:10" s="23" customFormat="1" ht="14.25" customHeight="1" thickBot="1">
      <c r="A12" s="1044">
        <v>42</v>
      </c>
      <c r="B12" s="1059" t="s">
        <v>32</v>
      </c>
      <c r="C12" s="1060">
        <f>SUM(C13:C18)</f>
        <v>154574976</v>
      </c>
      <c r="D12" s="1060">
        <f aca="true" t="shared" si="3" ref="D12:I12">SUM(D13:D18)</f>
        <v>175000</v>
      </c>
      <c r="E12" s="1060">
        <f t="shared" si="3"/>
        <v>3440000</v>
      </c>
      <c r="F12" s="1060">
        <f t="shared" si="3"/>
        <v>3055000</v>
      </c>
      <c r="G12" s="1060">
        <f t="shared" si="3"/>
        <v>60847590</v>
      </c>
      <c r="H12" s="1060">
        <f t="shared" si="3"/>
        <v>4510000</v>
      </c>
      <c r="I12" s="1060">
        <f t="shared" si="3"/>
        <v>505000</v>
      </c>
      <c r="J12" s="1043">
        <f t="shared" si="2"/>
        <v>227107566</v>
      </c>
    </row>
    <row r="13" spans="1:10" ht="12.75">
      <c r="A13" s="1047">
        <v>421</v>
      </c>
      <c r="B13" s="1048" t="s">
        <v>33</v>
      </c>
      <c r="C13" s="1049">
        <f>'Rashodi-2020'!N15+'Rashodi-2020'!N47+'Rashodi-2020'!N82+'Rashodi-2020'!N424+'Rashodi-2020'!N436+'Rashodi-2020'!N453+'Rashodi-2020'!N466+'Rashodi-2020'!N476+'Rashodi-2020'!N489+'Rashodi-2020'!N502+'Rashodi-2020'!N65+'Rashodi-2020'!N266+'Rashodi-2020'!N399+'Rashodi-2020'!N379+'Rashodi-2020'!N298++'Rashodi-2020'!N36+'Rashodi-2020'!N110</f>
        <v>19632106</v>
      </c>
      <c r="D13" s="1049">
        <f>'Rashodi-2020'!O15+'Rashodi-2020'!O47+'Rashodi-2020'!O82+'Rashodi-2020'!O424+'Rashodi-2020'!O436+'Rashodi-2020'!O453+'Rashodi-2020'!O466+'Rashodi-2020'!O476+'Rashodi-2020'!O489+'Rashodi-2020'!O502+'Rashodi-2020'!O65+'Rashodi-2020'!O266+'Rashodi-2020'!O399+'Rashodi-2020'!O379+'Rashodi-2020'!O298++'Rashodi-2020'!O36+'Rashodi-2020'!O110</f>
        <v>23000</v>
      </c>
      <c r="E13" s="1049">
        <f>'Rashodi-2020'!P15+'Rashodi-2020'!P47+'Rashodi-2020'!P82+'Rashodi-2020'!P424+'Rashodi-2020'!P436+'Rashodi-2020'!P453+'Rashodi-2020'!P466+'Rashodi-2020'!P476+'Rashodi-2020'!P489+'Rashodi-2020'!P502+'Rashodi-2020'!P65+'Rashodi-2020'!P266+'Rashodi-2020'!P399+'Rashodi-2020'!P379+'Rashodi-2020'!P298++'Rashodi-2020'!P36+'Rashodi-2020'!P110</f>
        <v>0</v>
      </c>
      <c r="F13" s="1049">
        <f>'Rashodi-2020'!Q15+'Rashodi-2020'!Q47+'Rashodi-2020'!Q82+'Rashodi-2020'!Q424+'Rashodi-2020'!Q436+'Rashodi-2020'!Q453+'Rashodi-2020'!Q466+'Rashodi-2020'!Q476+'Rashodi-2020'!Q489+'Rashodi-2020'!Q502+'Rashodi-2020'!Q65+'Rashodi-2020'!Q266+'Rashodi-2020'!Q399+'Rashodi-2020'!Q379+'Rashodi-2020'!Q298++'Rashodi-2020'!Q36+'Rashodi-2020'!Q110</f>
        <v>984500</v>
      </c>
      <c r="G13" s="1049">
        <f>'Rashodi-2020'!R15+'Rashodi-2020'!R47+'Rashodi-2020'!R82+'Rashodi-2020'!R424+'Rashodi-2020'!R436+'Rashodi-2020'!R453+'Rashodi-2020'!R466+'Rashodi-2020'!R476+'Rashodi-2020'!R489+'Rashodi-2020'!R502+'Rashodi-2020'!R65+'Rashodi-2020'!R266+'Rashodi-2020'!R399+'Rashodi-2020'!R379+'Rashodi-2020'!R298++'Rashodi-2020'!R36+'Rashodi-2020'!R110</f>
        <v>318000</v>
      </c>
      <c r="H13" s="1049">
        <f>'Rashodi-2020'!S15+'Rashodi-2020'!S47+'Rashodi-2020'!S82+'Rashodi-2020'!S424+'Rashodi-2020'!S436+'Rashodi-2020'!S453+'Rashodi-2020'!S466+'Rashodi-2020'!S476+'Rashodi-2020'!S489+'Rashodi-2020'!S502+'Rashodi-2020'!S65+'Rashodi-2020'!S266+'Rashodi-2020'!S399+'Rashodi-2020'!S379+'Rashodi-2020'!S298++'Rashodi-2020'!S36+'Rashodi-2020'!S110</f>
        <v>100000</v>
      </c>
      <c r="I13" s="1049">
        <f>'Rashodi-2020'!T15+'Rashodi-2020'!T47+'Rashodi-2020'!T82+'Rashodi-2020'!T424+'Rashodi-2020'!T436+'Rashodi-2020'!T453+'Rashodi-2020'!T466+'Rashodi-2020'!T476+'Rashodi-2020'!T489+'Rashodi-2020'!T502+'Rashodi-2020'!T65+'Rashodi-2020'!T266+'Rashodi-2020'!T399+'Rashodi-2020'!T379+'Rashodi-2020'!T298++'Rashodi-2020'!T36+'Rashodi-2020'!T110</f>
        <v>80000</v>
      </c>
      <c r="J13" s="1050">
        <f t="shared" si="2"/>
        <v>21137606</v>
      </c>
    </row>
    <row r="14" spans="1:10" ht="12.75">
      <c r="A14" s="1051">
        <v>422</v>
      </c>
      <c r="B14" s="1052" t="s">
        <v>34</v>
      </c>
      <c r="C14" s="1053">
        <f>'Rashodi-2020'!N16+'Rashodi-2020'!N48+'Rashodi-2020'!N66+'Rashodi-2020'!N83+'Rashodi-2020'!N437+'Rashodi-2020'!N477+'Rashodi-2020'!N490+'Rashodi-2020'!N400+'Rashodi-2020'!N380+'Rashodi-2020'!N111</f>
        <v>730000</v>
      </c>
      <c r="D14" s="1053">
        <f>'Rashodi-2020'!O16+'Rashodi-2020'!O48+'Rashodi-2020'!O66+'Rashodi-2020'!O83+'Rashodi-2020'!O437+'Rashodi-2020'!O477+'Rashodi-2020'!O490+'Rashodi-2020'!O400+'Rashodi-2020'!O380+'Rashodi-2020'!O111</f>
        <v>10000</v>
      </c>
      <c r="E14" s="1053">
        <f>'Rashodi-2020'!P16+'Rashodi-2020'!P48+'Rashodi-2020'!P66+'Rashodi-2020'!P83+'Rashodi-2020'!P437+'Rashodi-2020'!P477+'Rashodi-2020'!P490+'Rashodi-2020'!P400+'Rashodi-2020'!P380+'Rashodi-2020'!P111</f>
        <v>0</v>
      </c>
      <c r="F14" s="1053">
        <f>'Rashodi-2020'!Q16+'Rashodi-2020'!Q48+'Rashodi-2020'!Q66+'Rashodi-2020'!Q83+'Rashodi-2020'!Q437+'Rashodi-2020'!Q477+'Rashodi-2020'!Q490+'Rashodi-2020'!Q400+'Rashodi-2020'!Q380+'Rashodi-2020'!Q111</f>
        <v>0</v>
      </c>
      <c r="G14" s="1053">
        <f>'Rashodi-2020'!R16+'Rashodi-2020'!R48+'Rashodi-2020'!R66+'Rashodi-2020'!R83+'Rashodi-2020'!R437+'Rashodi-2020'!R477+'Rashodi-2020'!R490+'Rashodi-2020'!R400+'Rashodi-2020'!R380+'Rashodi-2020'!R111</f>
        <v>0</v>
      </c>
      <c r="H14" s="1053">
        <f>'Rashodi-2020'!S16+'Rashodi-2020'!S48+'Rashodi-2020'!S66+'Rashodi-2020'!S83+'Rashodi-2020'!S437+'Rashodi-2020'!S477+'Rashodi-2020'!S490+'Rashodi-2020'!S400+'Rashodi-2020'!S380+'Rashodi-2020'!S111</f>
        <v>0</v>
      </c>
      <c r="I14" s="1053">
        <f>'Rashodi-2020'!T16+'Rashodi-2020'!T48+'Rashodi-2020'!T66+'Rashodi-2020'!T83+'Rashodi-2020'!T437+'Rashodi-2020'!T477+'Rashodi-2020'!T490+'Rashodi-2020'!T400+'Rashodi-2020'!T380+'Rashodi-2020'!T111</f>
        <v>40000</v>
      </c>
      <c r="J14" s="1054">
        <f t="shared" si="2"/>
        <v>780000</v>
      </c>
    </row>
    <row r="15" spans="1:10" ht="12.75">
      <c r="A15" s="1051">
        <v>423</v>
      </c>
      <c r="B15" s="1052" t="s">
        <v>35</v>
      </c>
      <c r="C15" s="1053">
        <f>'Rashodi-2020'!N19+'Rashodi-2020'!N20+'Rashodi-2020'!N49+'Rashodi-2020'!N50+'Rashodi-2020'!N51+'Rashodi-2020'!N67+'Rashodi-2020'!N69+'Rashodi-2020'!N84+'Rashodi-2020'!N86+'Rashodi-2020'!N425+'Rashodi-2020'!N438+'Rashodi-2020'!N454+'Rashodi-2020'!N467+'Rashodi-2020'!N478+'Rashodi-2020'!N491+'Rashodi-2020'!N503+'Rashodi-2020'!N70+'Rashodi-2020'!N267+'Rashodi-2020'!N52+'Rashodi-2020'!N317+'Rashodi-2020'!N112+'Rashodi-2020'!N87+'Rashodi-2020'!N17+'Rashodi-2020'!N18+'Rashodi-2020'!N68+'Rashodi-2020'!N88+'Rashodi-2020'!N401+'Rashodi-2020'!N402+'Rashodi-2020'!N412+'Rashodi-2020'!N417+'Rashodi-2020'!N381+'Rashodi-2020'!N141+'Rashodi-2020'!N124+'Rashodi-2020'!N89+'Rashodi-2020'!N85+'Rashodi-2020'!N21</f>
        <v>52976034</v>
      </c>
      <c r="D15" s="1053">
        <f>'Rashodi-2020'!O19+'Rashodi-2020'!O20+'Rashodi-2020'!O49+'Rashodi-2020'!O50+'Rashodi-2020'!O51+'Rashodi-2020'!O67+'Rashodi-2020'!O69+'Rashodi-2020'!O84+'Rashodi-2020'!O86+'Rashodi-2020'!O425+'Rashodi-2020'!O438+'Rashodi-2020'!O454+'Rashodi-2020'!O467+'Rashodi-2020'!O478+'Rashodi-2020'!O491+'Rashodi-2020'!O503+'Rashodi-2020'!O70+'Rashodi-2020'!O267+'Rashodi-2020'!O52+'Rashodi-2020'!O317+'Rashodi-2020'!O112+'Rashodi-2020'!O87+'Rashodi-2020'!O17+'Rashodi-2020'!O18+'Rashodi-2020'!O68+'Rashodi-2020'!O88+'Rashodi-2020'!O401+'Rashodi-2020'!O402+'Rashodi-2020'!O412+'Rashodi-2020'!O417+'Rashodi-2020'!O381+'Rashodi-2020'!O141+'Rashodi-2020'!O124+'Rashodi-2020'!O89</f>
        <v>50000</v>
      </c>
      <c r="E15" s="1053">
        <f>'Rashodi-2020'!P19+'Rashodi-2020'!P20+'Rashodi-2020'!P49+'Rashodi-2020'!P50+'Rashodi-2020'!P51+'Rashodi-2020'!P67+'Rashodi-2020'!P69+'Rashodi-2020'!P84+'Rashodi-2020'!P86+'Rashodi-2020'!P425+'Rashodi-2020'!P438+'Rashodi-2020'!P454+'Rashodi-2020'!P467+'Rashodi-2020'!P478+'Rashodi-2020'!P491+'Rashodi-2020'!P503+'Rashodi-2020'!P70+'Rashodi-2020'!P267+'Rashodi-2020'!P52+'Rashodi-2020'!P317+'Rashodi-2020'!P112+'Rashodi-2020'!P87+'Rashodi-2020'!P17+'Rashodi-2020'!P18+'Rashodi-2020'!P68+'Rashodi-2020'!P88+'Rashodi-2020'!P401+'Rashodi-2020'!P402+'Rashodi-2020'!P412+'Rashodi-2020'!P417+'Rashodi-2020'!P381+'Rashodi-2020'!P141+'Rashodi-2020'!P124+'Rashodi-2020'!P89</f>
        <v>3340000</v>
      </c>
      <c r="F15" s="1053">
        <f>'Rashodi-2020'!Q19+'Rashodi-2020'!Q20+'Rashodi-2020'!Q49+'Rashodi-2020'!Q50+'Rashodi-2020'!Q51+'Rashodi-2020'!Q67+'Rashodi-2020'!Q69+'Rashodi-2020'!Q84+'Rashodi-2020'!Q86+'Rashodi-2020'!Q425+'Rashodi-2020'!Q438+'Rashodi-2020'!Q454+'Rashodi-2020'!Q467+'Rashodi-2020'!Q478+'Rashodi-2020'!Q491+'Rashodi-2020'!Q503+'Rashodi-2020'!Q70+'Rashodi-2020'!Q267+'Rashodi-2020'!Q52+'Rashodi-2020'!Q317+'Rashodi-2020'!Q112+'Rashodi-2020'!Q87+'Rashodi-2020'!Q17+'Rashodi-2020'!Q18+'Rashodi-2020'!Q68+'Rashodi-2020'!Q88+'Rashodi-2020'!Q401+'Rashodi-2020'!Q402+'Rashodi-2020'!Q412+'Rashodi-2020'!Q417+'Rashodi-2020'!Q381+'Rashodi-2020'!Q141+'Rashodi-2020'!Q124+'Rashodi-2020'!Q89</f>
        <v>160500</v>
      </c>
      <c r="G15" s="1053">
        <f>'Rashodi-2020'!R19+'Rashodi-2020'!R20+'Rashodi-2020'!R49+'Rashodi-2020'!R50+'Rashodi-2020'!R51+'Rashodi-2020'!R67+'Rashodi-2020'!R69+'Rashodi-2020'!R84+'Rashodi-2020'!R86+'Rashodi-2020'!R425+'Rashodi-2020'!R438+'Rashodi-2020'!R454+'Rashodi-2020'!R467+'Rashodi-2020'!R478+'Rashodi-2020'!R491+'Rashodi-2020'!R503+'Rashodi-2020'!R70+'Rashodi-2020'!R267+'Rashodi-2020'!R52+'Rashodi-2020'!R317+'Rashodi-2020'!R112+'Rashodi-2020'!R87+'Rashodi-2020'!R17+'Rashodi-2020'!R18+'Rashodi-2020'!R68+'Rashodi-2020'!R88+'Rashodi-2020'!R401+'Rashodi-2020'!R402+'Rashodi-2020'!R412+'Rashodi-2020'!R417+'Rashodi-2020'!R381+'Rashodi-2020'!R141+'Rashodi-2020'!R124+'Rashodi-2020'!R89</f>
        <v>12428590</v>
      </c>
      <c r="H15" s="1053">
        <f>'Rashodi-2020'!S19+'Rashodi-2020'!S20+'Rashodi-2020'!S49+'Rashodi-2020'!S50+'Rashodi-2020'!S51+'Rashodi-2020'!S67+'Rashodi-2020'!S69+'Rashodi-2020'!S84+'Rashodi-2020'!S86+'Rashodi-2020'!S425+'Rashodi-2020'!S438+'Rashodi-2020'!S454+'Rashodi-2020'!S467+'Rashodi-2020'!S478+'Rashodi-2020'!S491+'Rashodi-2020'!S503+'Rashodi-2020'!S70+'Rashodi-2020'!S267+'Rashodi-2020'!S52+'Rashodi-2020'!S317+'Rashodi-2020'!S112+'Rashodi-2020'!S87+'Rashodi-2020'!S17+'Rashodi-2020'!S18+'Rashodi-2020'!S68+'Rashodi-2020'!S88+'Rashodi-2020'!S401+'Rashodi-2020'!S402+'Rashodi-2020'!S412+'Rashodi-2020'!S417+'Rashodi-2020'!S381+'Rashodi-2020'!S141+'Rashodi-2020'!S124+'Rashodi-2020'!S89</f>
        <v>4410000</v>
      </c>
      <c r="I15" s="1053">
        <f>'Rashodi-2020'!T19+'Rashodi-2020'!T20+'Rashodi-2020'!T49+'Rashodi-2020'!T50+'Rashodi-2020'!T51+'Rashodi-2020'!T67+'Rashodi-2020'!T69+'Rashodi-2020'!T84+'Rashodi-2020'!T86+'Rashodi-2020'!T425+'Rashodi-2020'!T438+'Rashodi-2020'!T454+'Rashodi-2020'!T467+'Rashodi-2020'!T478+'Rashodi-2020'!T491+'Rashodi-2020'!T503+'Rashodi-2020'!T70+'Rashodi-2020'!T267+'Rashodi-2020'!T52+'Rashodi-2020'!T317+'Rashodi-2020'!T112+'Rashodi-2020'!T87+'Rashodi-2020'!T17+'Rashodi-2020'!T18+'Rashodi-2020'!T68+'Rashodi-2020'!T88+'Rashodi-2020'!T401+'Rashodi-2020'!T402+'Rashodi-2020'!T412+'Rashodi-2020'!T417+'Rashodi-2020'!T381+'Rashodi-2020'!T141+'Rashodi-2020'!T124+'Rashodi-2020'!T89</f>
        <v>385000</v>
      </c>
      <c r="J15" s="1054">
        <f t="shared" si="2"/>
        <v>73750124</v>
      </c>
    </row>
    <row r="16" spans="1:10" ht="12.75">
      <c r="A16" s="1051">
        <v>424</v>
      </c>
      <c r="B16" s="1052" t="s">
        <v>36</v>
      </c>
      <c r="C16" s="1053">
        <f>'Rashodi-2020'!N90+'Rashodi-2020'!N439+'Rashodi-2020'!N479+'Rashodi-2020'!N504+'Rashodi-2020'!N268+'Rashodi-2020'!N269+'Rashodi-2020'!N270+'Rashodi-2020'!N318+'Rashodi-2020'!N53+'Rashodi-2020'!N283+'Rashodi-2020'!N125+'Rashodi-2020'!N403+'Rashodi-2020'!N413+'Rashodi-2020'!N382+'Rashodi-2020'!N262+'Rashodi-2020'!N288+'Rashodi-2020'!N302+'Rashodi-2020'!N359+'Rashodi-2020'!N329+'Rashodi-2020'!N291+'Rashodi-2020'!N360+'Rashodi-2020'!N364+'Rashodi-2020'!N289+'Rashodi-2020'!N319+'Rashodi-2020'!N361+'Rashodi-2020'!N362+'Rashodi-2020'!N363+'Rashodi-2020'!N284+'Rashodi-2020'!N303+'Rashodi-2020'!N330+'Rashodi-2020'!N308</f>
        <v>44936000</v>
      </c>
      <c r="D16" s="1053">
        <f>'Rashodi-2020'!O90+'Rashodi-2020'!O439+'Rashodi-2020'!O479+'Rashodi-2020'!O504+'Rashodi-2020'!O268+'Rashodi-2020'!O269+'Rashodi-2020'!O270+'Rashodi-2020'!O318+'Rashodi-2020'!O53+'Rashodi-2020'!O283+'Rashodi-2020'!O125+'Rashodi-2020'!O403+'Rashodi-2020'!O413+'Rashodi-2020'!O382+'Rashodi-2020'!O262+'Rashodi-2020'!O288+'Rashodi-2020'!O302+'Rashodi-2020'!O359+'Rashodi-2020'!O329+'Rashodi-2020'!O291+'Rashodi-2020'!O360+'Rashodi-2020'!O364+'Rashodi-2020'!O289+'Rashodi-2020'!O319+'Rashodi-2020'!O361+'Rashodi-2020'!O362+'Rashodi-2020'!O363+'Rashodi-2020'!O284+'Rashodi-2020'!O303+'Rashodi-2020'!O330</f>
        <v>30000</v>
      </c>
      <c r="E16" s="1053">
        <f>'Rashodi-2020'!P90+'Rashodi-2020'!P439+'Rashodi-2020'!P479+'Rashodi-2020'!P504+'Rashodi-2020'!P268+'Rashodi-2020'!P269+'Rashodi-2020'!P270+'Rashodi-2020'!P318+'Rashodi-2020'!P53+'Rashodi-2020'!P283+'Rashodi-2020'!P125+'Rashodi-2020'!P403+'Rashodi-2020'!P413+'Rashodi-2020'!P382+'Rashodi-2020'!P262+'Rashodi-2020'!P288+'Rashodi-2020'!P302+'Rashodi-2020'!P359+'Rashodi-2020'!P329+'Rashodi-2020'!P291+'Rashodi-2020'!P360+'Rashodi-2020'!P364+'Rashodi-2020'!P289+'Rashodi-2020'!P319+'Rashodi-2020'!P361+'Rashodi-2020'!P362+'Rashodi-2020'!P363+'Rashodi-2020'!P284+'Rashodi-2020'!P303+'Rashodi-2020'!P330</f>
        <v>100000</v>
      </c>
      <c r="F16" s="1053">
        <f>'Rashodi-2020'!Q90+'Rashodi-2020'!Q439+'Rashodi-2020'!Q479+'Rashodi-2020'!Q504+'Rashodi-2020'!Q268+'Rashodi-2020'!Q269+'Rashodi-2020'!Q270+'Rashodi-2020'!Q318+'Rashodi-2020'!Q53+'Rashodi-2020'!Q283+'Rashodi-2020'!Q125+'Rashodi-2020'!Q403+'Rashodi-2020'!Q413+'Rashodi-2020'!Q382+'Rashodi-2020'!Q262+'Rashodi-2020'!Q288+'Rashodi-2020'!Q302+'Rashodi-2020'!Q359+'Rashodi-2020'!Q329+'Rashodi-2020'!Q291+'Rashodi-2020'!Q360+'Rashodi-2020'!Q364+'Rashodi-2020'!Q289+'Rashodi-2020'!Q319+'Rashodi-2020'!Q361+'Rashodi-2020'!Q362+'Rashodi-2020'!Q363+'Rashodi-2020'!Q284+'Rashodi-2020'!Q303+'Rashodi-2020'!Q330</f>
        <v>270500</v>
      </c>
      <c r="G16" s="1053">
        <f>'Rashodi-2020'!R90+'Rashodi-2020'!R439+'Rashodi-2020'!R479+'Rashodi-2020'!R504+'Rashodi-2020'!R268+'Rashodi-2020'!R269+'Rashodi-2020'!R270+'Rashodi-2020'!R318+'Rashodi-2020'!R53+'Rashodi-2020'!R283+'Rashodi-2020'!R125+'Rashodi-2020'!R403+'Rashodi-2020'!R413+'Rashodi-2020'!R382+'Rashodi-2020'!R262+'Rashodi-2020'!R288+'Rashodi-2020'!R302+'Rashodi-2020'!R359+'Rashodi-2020'!R329+'Rashodi-2020'!R291+'Rashodi-2020'!R360+'Rashodi-2020'!R364+'Rashodi-2020'!R289+'Rashodi-2020'!R319+'Rashodi-2020'!R361+'Rashodi-2020'!R362+'Rashodi-2020'!R363+'Rashodi-2020'!R284+'Rashodi-2020'!R303+'Rashodi-2020'!R330</f>
        <v>40417500</v>
      </c>
      <c r="H16" s="1053">
        <f>'Rashodi-2020'!S90+'Rashodi-2020'!S439+'Rashodi-2020'!S479+'Rashodi-2020'!S504+'Rashodi-2020'!S268+'Rashodi-2020'!S269+'Rashodi-2020'!S270+'Rashodi-2020'!S318+'Rashodi-2020'!S53+'Rashodi-2020'!S283+'Rashodi-2020'!S125+'Rashodi-2020'!S403+'Rashodi-2020'!S413+'Rashodi-2020'!S382+'Rashodi-2020'!S262+'Rashodi-2020'!S288+'Rashodi-2020'!S302+'Rashodi-2020'!S359+'Rashodi-2020'!S329+'Rashodi-2020'!S291+'Rashodi-2020'!S360+'Rashodi-2020'!S364+'Rashodi-2020'!S289+'Rashodi-2020'!S319+'Rashodi-2020'!S361+'Rashodi-2020'!S362+'Rashodi-2020'!S363+'Rashodi-2020'!S284+'Rashodi-2020'!S303+'Rashodi-2020'!S330</f>
        <v>0</v>
      </c>
      <c r="I16" s="1053">
        <f>'Rashodi-2020'!T90+'Rashodi-2020'!T439+'Rashodi-2020'!T479+'Rashodi-2020'!T504+'Rashodi-2020'!T268+'Rashodi-2020'!T269+'Rashodi-2020'!T270+'Rashodi-2020'!T318+'Rashodi-2020'!T53+'Rashodi-2020'!T283+'Rashodi-2020'!T125+'Rashodi-2020'!T403+'Rashodi-2020'!T413+'Rashodi-2020'!T382+'Rashodi-2020'!T262+'Rashodi-2020'!T288+'Rashodi-2020'!T302+'Rashodi-2020'!T359+'Rashodi-2020'!T329+'Rashodi-2020'!T291+'Rashodi-2020'!T360+'Rashodi-2020'!T364+'Rashodi-2020'!T289+'Rashodi-2020'!T319+'Rashodi-2020'!T361+'Rashodi-2020'!T362+'Rashodi-2020'!T363+'Rashodi-2020'!T284+'Rashodi-2020'!T303+'Rashodi-2020'!T330</f>
        <v>0</v>
      </c>
      <c r="J16" s="1054">
        <f t="shared" si="2"/>
        <v>85754000</v>
      </c>
    </row>
    <row r="17" spans="1:10" ht="12.75">
      <c r="A17" s="1051">
        <v>425</v>
      </c>
      <c r="B17" s="1052" t="s">
        <v>37</v>
      </c>
      <c r="C17" s="1053">
        <f>'Rashodi-2020'!N91+'Rashodi-2020'!N426+'Rashodi-2020'!N440+'Rashodi-2020'!N455+'Rashodi-2020'!N468+'Rashodi-2020'!N480+'Rashodi-2020'!N492+'Rashodi-2020'!N505+'Rashodi-2020'!N271+'Rashodi-2020'!N92+'Rashodi-2020'!N404+'Rashodi-2020'!N383+'Rashodi-2020'!N299+'Rashodi-2020'!N365+'Rashodi-2020'!N304+'Rashodi-2020'!N366+'Rashodi-2020'!N294+'Rashodi-2020'!N367+'Rashodi-2020'!N309</f>
        <v>24308000</v>
      </c>
      <c r="D17" s="1053">
        <f>'Rashodi-2020'!O91+'Rashodi-2020'!O426+'Rashodi-2020'!O440+'Rashodi-2020'!O455+'Rashodi-2020'!O468+'Rashodi-2020'!O480+'Rashodi-2020'!O492+'Rashodi-2020'!O505+'Rashodi-2020'!O271+'Rashodi-2020'!O92+'Rashodi-2020'!O404+'Rashodi-2020'!O383+'Rashodi-2020'!O299+'Rashodi-2020'!O365+'Rashodi-2020'!O304+'Rashodi-2020'!O366+'Rashodi-2020'!O294+'Rashodi-2020'!O367+'Rashodi-2020'!O309</f>
        <v>5000</v>
      </c>
      <c r="E17" s="1053">
        <f>'Rashodi-2020'!P91+'Rashodi-2020'!P426+'Rashodi-2020'!P440+'Rashodi-2020'!P455+'Rashodi-2020'!P468+'Rashodi-2020'!P480+'Rashodi-2020'!P492+'Rashodi-2020'!P505+'Rashodi-2020'!P271+'Rashodi-2020'!P92+'Rashodi-2020'!P404+'Rashodi-2020'!P383+'Rashodi-2020'!P299+'Rashodi-2020'!P365+'Rashodi-2020'!P304+'Rashodi-2020'!P366+'Rashodi-2020'!P294+'Rashodi-2020'!P367+'Rashodi-2020'!P309</f>
        <v>0</v>
      </c>
      <c r="F17" s="1053">
        <f>'Rashodi-2020'!Q91+'Rashodi-2020'!Q426+'Rashodi-2020'!Q440+'Rashodi-2020'!Q455+'Rashodi-2020'!Q468+'Rashodi-2020'!Q480+'Rashodi-2020'!Q492+'Rashodi-2020'!Q505+'Rashodi-2020'!Q271+'Rashodi-2020'!Q92+'Rashodi-2020'!Q404+'Rashodi-2020'!Q383+'Rashodi-2020'!Q299+'Rashodi-2020'!Q365+'Rashodi-2020'!Q304+'Rashodi-2020'!Q366+'Rashodi-2020'!Q294+'Rashodi-2020'!Q367+'Rashodi-2020'!Q309</f>
        <v>170000</v>
      </c>
      <c r="G17" s="1053">
        <f>'Rashodi-2020'!R91+'Rashodi-2020'!R426+'Rashodi-2020'!R440+'Rashodi-2020'!R455+'Rashodi-2020'!R468+'Rashodi-2020'!R480+'Rashodi-2020'!R492+'Rashodi-2020'!R505+'Rashodi-2020'!R271+'Rashodi-2020'!R92+'Rashodi-2020'!R404+'Rashodi-2020'!R383+'Rashodi-2020'!R299+'Rashodi-2020'!R365+'Rashodi-2020'!R304+'Rashodi-2020'!R366+'Rashodi-2020'!R294+'Rashodi-2020'!R367+'Rashodi-2020'!R309</f>
        <v>6909000</v>
      </c>
      <c r="H17" s="1053">
        <f>'Rashodi-2020'!S91+'Rashodi-2020'!S426+'Rashodi-2020'!S440+'Rashodi-2020'!S455+'Rashodi-2020'!S468+'Rashodi-2020'!S480+'Rashodi-2020'!S492+'Rashodi-2020'!S505+'Rashodi-2020'!S271+'Rashodi-2020'!S92+'Rashodi-2020'!S404+'Rashodi-2020'!S383+'Rashodi-2020'!S299+'Rashodi-2020'!S365+'Rashodi-2020'!S304+'Rashodi-2020'!S366+'Rashodi-2020'!S294+'Rashodi-2020'!S367+'Rashodi-2020'!S309</f>
        <v>0</v>
      </c>
      <c r="I17" s="1053">
        <f>'Rashodi-2020'!T91+'Rashodi-2020'!T426+'Rashodi-2020'!T440+'Rashodi-2020'!T455+'Rashodi-2020'!T468+'Rashodi-2020'!T480+'Rashodi-2020'!T492+'Rashodi-2020'!T505+'Rashodi-2020'!T271+'Rashodi-2020'!T92+'Rashodi-2020'!T404+'Rashodi-2020'!T383+'Rashodi-2020'!T299+'Rashodi-2020'!T365+'Rashodi-2020'!T304+'Rashodi-2020'!T366+'Rashodi-2020'!T294+'Rashodi-2020'!T367+'Rashodi-2020'!T309</f>
        <v>0</v>
      </c>
      <c r="J17" s="1054">
        <f t="shared" si="2"/>
        <v>31392000</v>
      </c>
    </row>
    <row r="18" spans="1:10" ht="13.5" thickBot="1">
      <c r="A18" s="1055">
        <v>426</v>
      </c>
      <c r="B18" s="1056" t="s">
        <v>38</v>
      </c>
      <c r="C18" s="1057">
        <f>'Rashodi-2020'!N22+'Rashodi-2020'!N54+'Rashodi-2020'!N71+'Rashodi-2020'!N93+'Rashodi-2020'!N427+'Rashodi-2020'!N441+'Rashodi-2020'!N456+'Rashodi-2020'!N469+'Rashodi-2020'!N481+'Rashodi-2020'!N493+'Rashodi-2020'!N506+'Rashodi-2020'!N272+'Rashodi-2020'!N273+'Rashodi-2020'!N113+'Rashodi-2020'!N94+'Rashodi-2020'!N405+'Rashodi-2020'!N414+'Rashodi-2020'!N418+'Rashodi-2020'!N384+'Rashodi-2020'!N37</f>
        <v>11992836</v>
      </c>
      <c r="D18" s="1057">
        <f>'Rashodi-2020'!O22+'Rashodi-2020'!O54+'Rashodi-2020'!O71+'Rashodi-2020'!O93+'Rashodi-2020'!O427+'Rashodi-2020'!O441+'Rashodi-2020'!O456+'Rashodi-2020'!O469+'Rashodi-2020'!O481+'Rashodi-2020'!O493+'Rashodi-2020'!O506+'Rashodi-2020'!O272+'Rashodi-2020'!O273+'Rashodi-2020'!O113+'Rashodi-2020'!O94+'Rashodi-2020'!O405+'Rashodi-2020'!O414+'Rashodi-2020'!O418+'Rashodi-2020'!O384+'Rashodi-2020'!O37</f>
        <v>57000</v>
      </c>
      <c r="E18" s="1057">
        <f>'Rashodi-2020'!P22+'Rashodi-2020'!P54+'Rashodi-2020'!P71+'Rashodi-2020'!P93+'Rashodi-2020'!P427+'Rashodi-2020'!P441+'Rashodi-2020'!P456+'Rashodi-2020'!P469+'Rashodi-2020'!P481+'Rashodi-2020'!P493+'Rashodi-2020'!P506+'Rashodi-2020'!P272+'Rashodi-2020'!P273+'Rashodi-2020'!P113+'Rashodi-2020'!P94+'Rashodi-2020'!P405+'Rashodi-2020'!P414+'Rashodi-2020'!P418+'Rashodi-2020'!P384+'Rashodi-2020'!P37</f>
        <v>0</v>
      </c>
      <c r="F18" s="1057">
        <f>'Rashodi-2020'!Q22+'Rashodi-2020'!Q54+'Rashodi-2020'!Q71+'Rashodi-2020'!Q93+'Rashodi-2020'!Q427+'Rashodi-2020'!Q441+'Rashodi-2020'!Q456+'Rashodi-2020'!Q469+'Rashodi-2020'!Q481+'Rashodi-2020'!Q493+'Rashodi-2020'!Q506+'Rashodi-2020'!Q272+'Rashodi-2020'!Q273+'Rashodi-2020'!Q113+'Rashodi-2020'!Q94+'Rashodi-2020'!Q405+'Rashodi-2020'!Q414+'Rashodi-2020'!Q418+'Rashodi-2020'!Q384+'Rashodi-2020'!Q37</f>
        <v>1469500</v>
      </c>
      <c r="G18" s="1057">
        <f>'Rashodi-2020'!R22+'Rashodi-2020'!R54+'Rashodi-2020'!R71+'Rashodi-2020'!R93+'Rashodi-2020'!R427+'Rashodi-2020'!R441+'Rashodi-2020'!R456+'Rashodi-2020'!R469+'Rashodi-2020'!R481+'Rashodi-2020'!R493+'Rashodi-2020'!R506+'Rashodi-2020'!R272+'Rashodi-2020'!R273+'Rashodi-2020'!R113+'Rashodi-2020'!R94+'Rashodi-2020'!R405+'Rashodi-2020'!R414+'Rashodi-2020'!R418+'Rashodi-2020'!R384+'Rashodi-2020'!R37</f>
        <v>774500</v>
      </c>
      <c r="H18" s="1057">
        <f>'Rashodi-2020'!S22+'Rashodi-2020'!S54+'Rashodi-2020'!S71+'Rashodi-2020'!S93+'Rashodi-2020'!S427+'Rashodi-2020'!S441+'Rashodi-2020'!S456+'Rashodi-2020'!S469+'Rashodi-2020'!S481+'Rashodi-2020'!S493+'Rashodi-2020'!S506+'Rashodi-2020'!S272+'Rashodi-2020'!S273+'Rashodi-2020'!S113+'Rashodi-2020'!S94+'Rashodi-2020'!S405+'Rashodi-2020'!S414+'Rashodi-2020'!S418+'Rashodi-2020'!S384+'Rashodi-2020'!S37</f>
        <v>0</v>
      </c>
      <c r="I18" s="1057">
        <f>'Rashodi-2020'!T22+'Rashodi-2020'!T54+'Rashodi-2020'!T71+'Rashodi-2020'!T93+'Rashodi-2020'!T427+'Rashodi-2020'!T441+'Rashodi-2020'!T456+'Rashodi-2020'!T469+'Rashodi-2020'!T481+'Rashodi-2020'!T493+'Rashodi-2020'!T506+'Rashodi-2020'!T272+'Rashodi-2020'!T273+'Rashodi-2020'!T113+'Rashodi-2020'!T94+'Rashodi-2020'!T405+'Rashodi-2020'!T414+'Rashodi-2020'!T418+'Rashodi-2020'!T384+'Rashodi-2020'!T37</f>
        <v>0</v>
      </c>
      <c r="J18" s="1058">
        <f t="shared" si="2"/>
        <v>14293836</v>
      </c>
    </row>
    <row r="19" spans="1:10" s="23" customFormat="1" ht="15" customHeight="1" thickBot="1">
      <c r="A19" s="1044">
        <v>44</v>
      </c>
      <c r="B19" s="1061" t="s">
        <v>40</v>
      </c>
      <c r="C19" s="1060">
        <f>SUM(C20:C21)</f>
        <v>11000</v>
      </c>
      <c r="D19" s="1060">
        <f aca="true" t="shared" si="4" ref="D19:I19">SUM(D20:D21)</f>
        <v>0</v>
      </c>
      <c r="E19" s="1060">
        <f t="shared" si="4"/>
        <v>0</v>
      </c>
      <c r="F19" s="1060">
        <f t="shared" si="4"/>
        <v>0</v>
      </c>
      <c r="G19" s="1060">
        <f t="shared" si="4"/>
        <v>0</v>
      </c>
      <c r="H19" s="1060">
        <f t="shared" si="4"/>
        <v>60000</v>
      </c>
      <c r="I19" s="1060">
        <f t="shared" si="4"/>
        <v>0</v>
      </c>
      <c r="J19" s="1043">
        <f t="shared" si="2"/>
        <v>71000</v>
      </c>
    </row>
    <row r="20" spans="1:10" ht="13.5" thickBot="1">
      <c r="A20" s="1047">
        <v>441</v>
      </c>
      <c r="B20" s="1048" t="s">
        <v>41</v>
      </c>
      <c r="C20" s="1049">
        <f>'Rashodi-2020'!N442</f>
        <v>10000</v>
      </c>
      <c r="D20" s="1049">
        <f>'Rashodi-2020'!O442</f>
        <v>0</v>
      </c>
      <c r="E20" s="1049">
        <f>'Rashodi-2020'!P442</f>
        <v>0</v>
      </c>
      <c r="F20" s="1049">
        <f>'Rashodi-2020'!Q442</f>
        <v>0</v>
      </c>
      <c r="G20" s="1049">
        <f>'Rashodi-2020'!R442</f>
        <v>0</v>
      </c>
      <c r="H20" s="1049">
        <f>'Rashodi-2020'!S442</f>
        <v>0</v>
      </c>
      <c r="I20" s="1049">
        <f>'Rashodi-2020'!T442</f>
        <v>0</v>
      </c>
      <c r="J20" s="1043">
        <f t="shared" si="2"/>
        <v>10000</v>
      </c>
    </row>
    <row r="21" spans="1:10" ht="13.5" thickBot="1">
      <c r="A21" s="1062">
        <v>444</v>
      </c>
      <c r="B21" s="1063" t="s">
        <v>215</v>
      </c>
      <c r="C21" s="1064">
        <f>'Rashodi-2020'!N385+'Rashodi-2020'!N114</f>
        <v>1000</v>
      </c>
      <c r="D21" s="1064">
        <f>'Rashodi-2020'!O385</f>
        <v>0</v>
      </c>
      <c r="E21" s="1064">
        <f>'Rashodi-2020'!P385</f>
        <v>0</v>
      </c>
      <c r="F21" s="1064">
        <f>'Rashodi-2020'!Q385</f>
        <v>0</v>
      </c>
      <c r="G21" s="1064">
        <f>'Rashodi-2020'!R385</f>
        <v>0</v>
      </c>
      <c r="H21" s="1064">
        <f>'Rashodi-2020'!S385+'Rashodi-2020'!S114</f>
        <v>60000</v>
      </c>
      <c r="I21" s="1064">
        <f>'Rashodi-2020'!T385</f>
        <v>0</v>
      </c>
      <c r="J21" s="1065">
        <f t="shared" si="2"/>
        <v>61000</v>
      </c>
    </row>
    <row r="22" spans="1:10" s="23" customFormat="1" ht="15" customHeight="1" thickBot="1">
      <c r="A22" s="1044">
        <v>45</v>
      </c>
      <c r="B22" s="1066" t="s">
        <v>1329</v>
      </c>
      <c r="C22" s="1060">
        <f>C23</f>
        <v>26500000</v>
      </c>
      <c r="D22" s="1060">
        <f aca="true" t="shared" si="5" ref="D22:I22">D23</f>
        <v>0</v>
      </c>
      <c r="E22" s="1060">
        <f t="shared" si="5"/>
        <v>0</v>
      </c>
      <c r="F22" s="1060">
        <f t="shared" si="5"/>
        <v>0</v>
      </c>
      <c r="G22" s="1060">
        <f t="shared" si="5"/>
        <v>8500000</v>
      </c>
      <c r="H22" s="1060">
        <f t="shared" si="5"/>
        <v>0</v>
      </c>
      <c r="I22" s="1060">
        <f t="shared" si="5"/>
        <v>0</v>
      </c>
      <c r="J22" s="1043">
        <f t="shared" si="2"/>
        <v>35000000</v>
      </c>
    </row>
    <row r="23" spans="1:10" ht="13.5" thickBot="1">
      <c r="A23" s="1067">
        <v>451</v>
      </c>
      <c r="B23" s="1068" t="s">
        <v>1330</v>
      </c>
      <c r="C23" s="1069">
        <f>'Rashodi-2020'!N322+'Rashodi-2020'!N285+'Rashodi-2020'!N274+'Rashodi-2020'!N279</f>
        <v>26500000</v>
      </c>
      <c r="D23" s="1069">
        <f>'Rashodi-2020'!O322+'Rashodi-2020'!O285+'Rashodi-2020'!O274+'Rashodi-2020'!O279</f>
        <v>0</v>
      </c>
      <c r="E23" s="1069">
        <f>'Rashodi-2020'!P322+'Rashodi-2020'!P285+'Rashodi-2020'!P274+'Rashodi-2020'!P279</f>
        <v>0</v>
      </c>
      <c r="F23" s="1069">
        <f>'Rashodi-2020'!Q322+'Rashodi-2020'!Q285+'Rashodi-2020'!Q274+'Rashodi-2020'!Q279</f>
        <v>0</v>
      </c>
      <c r="G23" s="1069">
        <f>'Rashodi-2020'!R322+'Rashodi-2020'!R285+'Rashodi-2020'!R274+'Rashodi-2020'!R279</f>
        <v>8500000</v>
      </c>
      <c r="H23" s="1069">
        <f>'Rashodi-2020'!S322+'Rashodi-2020'!S285+'Rashodi-2020'!S274+'Rashodi-2020'!S279</f>
        <v>0</v>
      </c>
      <c r="I23" s="1069">
        <f>'Rashodi-2020'!T322+'Rashodi-2020'!T285+'Rashodi-2020'!T274+'Rashodi-2020'!T279</f>
        <v>0</v>
      </c>
      <c r="J23" s="1065">
        <f t="shared" si="2"/>
        <v>35000000</v>
      </c>
    </row>
    <row r="24" spans="1:10" s="23" customFormat="1" ht="15" customHeight="1" thickBot="1">
      <c r="A24" s="1044">
        <v>46</v>
      </c>
      <c r="B24" s="1066" t="s">
        <v>42</v>
      </c>
      <c r="C24" s="1060">
        <f>SUM(C25:C27)</f>
        <v>89299832</v>
      </c>
      <c r="D24" s="1060">
        <f aca="true" t="shared" si="6" ref="D24:I24">SUM(D25:D27)</f>
        <v>0</v>
      </c>
      <c r="E24" s="1060">
        <f t="shared" si="6"/>
        <v>0</v>
      </c>
      <c r="F24" s="1060">
        <f t="shared" si="6"/>
        <v>0</v>
      </c>
      <c r="G24" s="1060">
        <f t="shared" si="6"/>
        <v>0</v>
      </c>
      <c r="H24" s="1060">
        <f t="shared" si="6"/>
        <v>0</v>
      </c>
      <c r="I24" s="1060">
        <f t="shared" si="6"/>
        <v>0</v>
      </c>
      <c r="J24" s="1043">
        <f t="shared" si="2"/>
        <v>89299832</v>
      </c>
    </row>
    <row r="25" spans="1:10" ht="13.5" thickBot="1">
      <c r="A25" s="1067">
        <v>463</v>
      </c>
      <c r="B25" s="1068" t="s">
        <v>43</v>
      </c>
      <c r="C25" s="1069">
        <f>'Rashodi-2020'!N119+'Rashodi-2020'!N150+'Rashodi-2020'!N151+'Rashodi-2020'!N152+'Rashodi-2020'!N153+'Rashodi-2020'!N154+'Rashodi-2020'!N155+'Rashodi-2020'!N156+'Rashodi-2020'!N157+'Rashodi-2020'!N158+'Rashodi-2020'!N159+'Rashodi-2020'!N160+'Rashodi-2020'!N161+'Rashodi-2020'!N162+'Rashodi-2020'!N165+'Rashodi-2020'!N166+'Rashodi-2020'!N167+'Rashodi-2020'!N168+'Rashodi-2020'!N169+'Rashodi-2020'!N170+'Rashodi-2020'!N171+'Rashodi-2020'!N172+'Rashodi-2020'!N173+'Rashodi-2020'!N174+'Rashodi-2020'!N175+'Rashodi-2020'!N176+'Rashodi-2020'!N180+'Rashodi-2020'!N181+'Rashodi-2020'!N182+'Rashodi-2020'!N183+'Rashodi-2020'!N184+'Rashodi-2020'!N185+'Rashodi-2020'!N186+'Rashodi-2020'!N187+'Rashodi-2020'!N188+'Rashodi-2020'!N189+'Rashodi-2020'!N196+'Rashodi-2020'!N197+'Rashodi-2020'!N198+'Rashodi-2020'!N199+'Rashodi-2020'!N200+'Rashodi-2020'!N201+'Rashodi-2020'!N202+'Rashodi-2020'!N203+'Rashodi-2020'!N204+'Rashodi-2020'!N205+'Rashodi-2020'!N206+'Rashodi-2020'!N210+'Rashodi-2020'!N211+'Rashodi-2020'!N213+'Rashodi-2020'!N214+'Rashodi-2020'!N215+'Rashodi-2020'!N216+'Rashodi-2020'!N217+'Rashodi-2020'!N218+'Rashodi-2020'!N219+'Rashodi-2020'!N220+'Rashodi-2020'!N221+'Rashodi-2020'!N222+'Rashodi-2020'!N223+'Rashodi-2020'!N224+'Rashodi-2020'!N227+'Rashodi-2020'!N228+'Rashodi-2020'!N230+'Rashodi-2020'!N231+'Rashodi-2020'!N232+'Rashodi-2020'!N233+'Rashodi-2020'!N190+'Rashodi-2020'!N177+'Rashodi-2020'!N192+'Rashodi-2020'!N191+'Rashodi-2020'!N212+'Rashodi-2020'!N229</f>
        <v>63286322</v>
      </c>
      <c r="D25" s="1069">
        <f>'Rashodi-2020'!O119+'Rashodi-2020'!O150+'Rashodi-2020'!O151+'Rashodi-2020'!O152+'Rashodi-2020'!O153+'Rashodi-2020'!O154+'Rashodi-2020'!O155+'Rashodi-2020'!O156+'Rashodi-2020'!O157+'Rashodi-2020'!O158+'Rashodi-2020'!O159+'Rashodi-2020'!O160+'Rashodi-2020'!O161+'Rashodi-2020'!O162+'Rashodi-2020'!O165+'Rashodi-2020'!O166+'Rashodi-2020'!O167+'Rashodi-2020'!O168+'Rashodi-2020'!O169+'Rashodi-2020'!O170+'Rashodi-2020'!O171+'Rashodi-2020'!O172+'Rashodi-2020'!O173+'Rashodi-2020'!O174+'Rashodi-2020'!O175+'Rashodi-2020'!O176+'Rashodi-2020'!O180+'Rashodi-2020'!O181+'Rashodi-2020'!O182+'Rashodi-2020'!O183+'Rashodi-2020'!O184+'Rashodi-2020'!O185+'Rashodi-2020'!O186+'Rashodi-2020'!O187+'Rashodi-2020'!O188+'Rashodi-2020'!O189+'Rashodi-2020'!O196+'Rashodi-2020'!O197+'Rashodi-2020'!O198+'Rashodi-2020'!O199+'Rashodi-2020'!O200+'Rashodi-2020'!O201+'Rashodi-2020'!O202+'Rashodi-2020'!O203+'Rashodi-2020'!O204+'Rashodi-2020'!O205+'Rashodi-2020'!O206+'Rashodi-2020'!O210+'Rashodi-2020'!O211+'Rashodi-2020'!O213+'Rashodi-2020'!O214+'Rashodi-2020'!O215+'Rashodi-2020'!O216+'Rashodi-2020'!O217+'Rashodi-2020'!O218+'Rashodi-2020'!O219+'Rashodi-2020'!O220+'Rashodi-2020'!O221+'Rashodi-2020'!O222+'Rashodi-2020'!O223+'Rashodi-2020'!O224+'Rashodi-2020'!O227+'Rashodi-2020'!O228+'Rashodi-2020'!O230+'Rashodi-2020'!O231+'Rashodi-2020'!O232+'Rashodi-2020'!O233+'Rashodi-2020'!O190+'Rashodi-2020'!O177+'Rashodi-2020'!O192+'Rashodi-2020'!O191+'Rashodi-2020'!O212</f>
        <v>0</v>
      </c>
      <c r="E25" s="1069">
        <f>'Rashodi-2020'!P119+'Rashodi-2020'!P150+'Rashodi-2020'!P151+'Rashodi-2020'!P152+'Rashodi-2020'!P153+'Rashodi-2020'!P154+'Rashodi-2020'!P155+'Rashodi-2020'!P156+'Rashodi-2020'!P157+'Rashodi-2020'!P158+'Rashodi-2020'!P159+'Rashodi-2020'!P160+'Rashodi-2020'!P161+'Rashodi-2020'!P162+'Rashodi-2020'!P165+'Rashodi-2020'!P166+'Rashodi-2020'!P167+'Rashodi-2020'!P168+'Rashodi-2020'!P169+'Rashodi-2020'!P170+'Rashodi-2020'!P171+'Rashodi-2020'!P172+'Rashodi-2020'!P173+'Rashodi-2020'!P174+'Rashodi-2020'!P175+'Rashodi-2020'!P176+'Rashodi-2020'!P180+'Rashodi-2020'!P181+'Rashodi-2020'!P182+'Rashodi-2020'!P183+'Rashodi-2020'!P184+'Rashodi-2020'!P185+'Rashodi-2020'!P186+'Rashodi-2020'!P187+'Rashodi-2020'!P188+'Rashodi-2020'!P189+'Rashodi-2020'!P196+'Rashodi-2020'!P197+'Rashodi-2020'!P198+'Rashodi-2020'!P199+'Rashodi-2020'!P200+'Rashodi-2020'!P201+'Rashodi-2020'!P202+'Rashodi-2020'!P203+'Rashodi-2020'!P204+'Rashodi-2020'!P205+'Rashodi-2020'!P206+'Rashodi-2020'!P210+'Rashodi-2020'!P211+'Rashodi-2020'!P213+'Rashodi-2020'!P214+'Rashodi-2020'!P215+'Rashodi-2020'!P216+'Rashodi-2020'!P217+'Rashodi-2020'!P218+'Rashodi-2020'!P219+'Rashodi-2020'!P220+'Rashodi-2020'!P221+'Rashodi-2020'!P222+'Rashodi-2020'!P223+'Rashodi-2020'!P224+'Rashodi-2020'!P227+'Rashodi-2020'!P228+'Rashodi-2020'!P230+'Rashodi-2020'!P231+'Rashodi-2020'!P232+'Rashodi-2020'!P233+'Rashodi-2020'!P190+'Rashodi-2020'!P177+'Rashodi-2020'!P192+'Rashodi-2020'!P191+'Rashodi-2020'!P212</f>
        <v>0</v>
      </c>
      <c r="F25" s="1069">
        <f>'Rashodi-2020'!Q119+'Rashodi-2020'!Q150+'Rashodi-2020'!Q151+'Rashodi-2020'!Q152+'Rashodi-2020'!Q153+'Rashodi-2020'!Q154+'Rashodi-2020'!Q155+'Rashodi-2020'!Q156+'Rashodi-2020'!Q157+'Rashodi-2020'!Q158+'Rashodi-2020'!Q159+'Rashodi-2020'!Q160+'Rashodi-2020'!Q161+'Rashodi-2020'!Q162+'Rashodi-2020'!Q165+'Rashodi-2020'!Q166+'Rashodi-2020'!Q167+'Rashodi-2020'!Q168+'Rashodi-2020'!Q169+'Rashodi-2020'!Q170+'Rashodi-2020'!Q171+'Rashodi-2020'!Q172+'Rashodi-2020'!Q173+'Rashodi-2020'!Q174+'Rashodi-2020'!Q175+'Rashodi-2020'!Q176+'Rashodi-2020'!Q180+'Rashodi-2020'!Q181+'Rashodi-2020'!Q182+'Rashodi-2020'!Q183+'Rashodi-2020'!Q184+'Rashodi-2020'!Q185+'Rashodi-2020'!Q186+'Rashodi-2020'!Q187+'Rashodi-2020'!Q188+'Rashodi-2020'!Q189+'Rashodi-2020'!Q196+'Rashodi-2020'!Q197+'Rashodi-2020'!Q198+'Rashodi-2020'!Q199+'Rashodi-2020'!Q200+'Rashodi-2020'!Q201+'Rashodi-2020'!Q202+'Rashodi-2020'!Q203+'Rashodi-2020'!Q204+'Rashodi-2020'!Q205+'Rashodi-2020'!Q206+'Rashodi-2020'!Q210+'Rashodi-2020'!Q211+'Rashodi-2020'!Q213+'Rashodi-2020'!Q214+'Rashodi-2020'!Q215+'Rashodi-2020'!Q216+'Rashodi-2020'!Q217+'Rashodi-2020'!Q218+'Rashodi-2020'!Q219+'Rashodi-2020'!Q220+'Rashodi-2020'!Q221+'Rashodi-2020'!Q222+'Rashodi-2020'!Q223+'Rashodi-2020'!Q224+'Rashodi-2020'!Q227+'Rashodi-2020'!Q228+'Rashodi-2020'!Q230+'Rashodi-2020'!Q231+'Rashodi-2020'!Q232+'Rashodi-2020'!Q233+'Rashodi-2020'!Q190+'Rashodi-2020'!Q177+'Rashodi-2020'!Q192+'Rashodi-2020'!Q191+'Rashodi-2020'!Q212</f>
        <v>0</v>
      </c>
      <c r="G25" s="1069">
        <f>'Rashodi-2020'!R119+'Rashodi-2020'!R150+'Rashodi-2020'!R151+'Rashodi-2020'!R152+'Rashodi-2020'!R153+'Rashodi-2020'!R154+'Rashodi-2020'!R155+'Rashodi-2020'!R156+'Rashodi-2020'!R157+'Rashodi-2020'!R158+'Rashodi-2020'!R159+'Rashodi-2020'!R160+'Rashodi-2020'!R161+'Rashodi-2020'!R162+'Rashodi-2020'!R165+'Rashodi-2020'!R166+'Rashodi-2020'!R167+'Rashodi-2020'!R168+'Rashodi-2020'!R169+'Rashodi-2020'!R170+'Rashodi-2020'!R171+'Rashodi-2020'!R172+'Rashodi-2020'!R173+'Rashodi-2020'!R174+'Rashodi-2020'!R175+'Rashodi-2020'!R176+'Rashodi-2020'!R180+'Rashodi-2020'!R181+'Rashodi-2020'!R182+'Rashodi-2020'!R183+'Rashodi-2020'!R184+'Rashodi-2020'!R185+'Rashodi-2020'!R186+'Rashodi-2020'!R187+'Rashodi-2020'!R188+'Rashodi-2020'!R189+'Rashodi-2020'!R196+'Rashodi-2020'!R197+'Rashodi-2020'!R198+'Rashodi-2020'!R199+'Rashodi-2020'!R200+'Rashodi-2020'!R201+'Rashodi-2020'!R202+'Rashodi-2020'!R203+'Rashodi-2020'!R204+'Rashodi-2020'!R205+'Rashodi-2020'!R206+'Rashodi-2020'!R210+'Rashodi-2020'!R211+'Rashodi-2020'!R213+'Rashodi-2020'!R214+'Rashodi-2020'!R215+'Rashodi-2020'!R216+'Rashodi-2020'!R217+'Rashodi-2020'!R218+'Rashodi-2020'!R219+'Rashodi-2020'!R220+'Rashodi-2020'!R221+'Rashodi-2020'!R222+'Rashodi-2020'!R223+'Rashodi-2020'!R224+'Rashodi-2020'!R227+'Rashodi-2020'!R228+'Rashodi-2020'!R230+'Rashodi-2020'!R231+'Rashodi-2020'!R232+'Rashodi-2020'!R233+'Rashodi-2020'!R190+'Rashodi-2020'!R177+'Rashodi-2020'!R192+'Rashodi-2020'!R191+'Rashodi-2020'!R212</f>
        <v>0</v>
      </c>
      <c r="H25" s="1069">
        <f>'Rashodi-2020'!S119+'Rashodi-2020'!S150+'Rashodi-2020'!S151+'Rashodi-2020'!S152+'Rashodi-2020'!S153+'Rashodi-2020'!S154+'Rashodi-2020'!S155+'Rashodi-2020'!S156+'Rashodi-2020'!S157+'Rashodi-2020'!S158+'Rashodi-2020'!S159+'Rashodi-2020'!S160+'Rashodi-2020'!S161+'Rashodi-2020'!S162+'Rashodi-2020'!S165+'Rashodi-2020'!S166+'Rashodi-2020'!S167+'Rashodi-2020'!S168+'Rashodi-2020'!S169+'Rashodi-2020'!S170+'Rashodi-2020'!S171+'Rashodi-2020'!S172+'Rashodi-2020'!S173+'Rashodi-2020'!S174+'Rashodi-2020'!S175+'Rashodi-2020'!S176+'Rashodi-2020'!S180+'Rashodi-2020'!S181+'Rashodi-2020'!S182+'Rashodi-2020'!S183+'Rashodi-2020'!S184+'Rashodi-2020'!S185+'Rashodi-2020'!S186+'Rashodi-2020'!S187+'Rashodi-2020'!S188+'Rashodi-2020'!S189+'Rashodi-2020'!S196+'Rashodi-2020'!S197+'Rashodi-2020'!S198+'Rashodi-2020'!S199+'Rashodi-2020'!S200+'Rashodi-2020'!S201+'Rashodi-2020'!S202+'Rashodi-2020'!S203+'Rashodi-2020'!S204+'Rashodi-2020'!S205+'Rashodi-2020'!S206+'Rashodi-2020'!S210+'Rashodi-2020'!S211+'Rashodi-2020'!S213+'Rashodi-2020'!S214+'Rashodi-2020'!S215+'Rashodi-2020'!S216+'Rashodi-2020'!S217+'Rashodi-2020'!S218+'Rashodi-2020'!S219+'Rashodi-2020'!S220+'Rashodi-2020'!S221+'Rashodi-2020'!S222+'Rashodi-2020'!S223+'Rashodi-2020'!S224+'Rashodi-2020'!S227+'Rashodi-2020'!S228+'Rashodi-2020'!S230+'Rashodi-2020'!S231+'Rashodi-2020'!S232+'Rashodi-2020'!S233+'Rashodi-2020'!S190+'Rashodi-2020'!S177+'Rashodi-2020'!S192+'Rashodi-2020'!S191+'Rashodi-2020'!S212</f>
        <v>0</v>
      </c>
      <c r="I25" s="1069">
        <f>'Rashodi-2020'!T119+'Rashodi-2020'!T150+'Rashodi-2020'!T151+'Rashodi-2020'!T152+'Rashodi-2020'!T153+'Rashodi-2020'!T154+'Rashodi-2020'!T155+'Rashodi-2020'!T156+'Rashodi-2020'!T157+'Rashodi-2020'!T158+'Rashodi-2020'!T159+'Rashodi-2020'!T160+'Rashodi-2020'!T161+'Rashodi-2020'!T162+'Rashodi-2020'!T165+'Rashodi-2020'!T166+'Rashodi-2020'!T167+'Rashodi-2020'!T168+'Rashodi-2020'!T169+'Rashodi-2020'!T170+'Rashodi-2020'!T171+'Rashodi-2020'!T172+'Rashodi-2020'!T173+'Rashodi-2020'!T174+'Rashodi-2020'!T175+'Rashodi-2020'!T176+'Rashodi-2020'!T180+'Rashodi-2020'!T181+'Rashodi-2020'!T182+'Rashodi-2020'!T183+'Rashodi-2020'!T184+'Rashodi-2020'!T185+'Rashodi-2020'!T186+'Rashodi-2020'!T187+'Rashodi-2020'!T188+'Rashodi-2020'!T189+'Rashodi-2020'!T196+'Rashodi-2020'!T197+'Rashodi-2020'!T198+'Rashodi-2020'!T199+'Rashodi-2020'!T200+'Rashodi-2020'!T201+'Rashodi-2020'!T202+'Rashodi-2020'!T203+'Rashodi-2020'!T204+'Rashodi-2020'!T205+'Rashodi-2020'!T206+'Rashodi-2020'!T210+'Rashodi-2020'!T211+'Rashodi-2020'!T213+'Rashodi-2020'!T214+'Rashodi-2020'!T215+'Rashodi-2020'!T216+'Rashodi-2020'!T217+'Rashodi-2020'!T218+'Rashodi-2020'!T219+'Rashodi-2020'!T220+'Rashodi-2020'!T221+'Rashodi-2020'!T222+'Rashodi-2020'!T223+'Rashodi-2020'!T224+'Rashodi-2020'!T227+'Rashodi-2020'!T228+'Rashodi-2020'!T230+'Rashodi-2020'!T231+'Rashodi-2020'!T232+'Rashodi-2020'!T233+'Rashodi-2020'!T190+'Rashodi-2020'!T177+'Rashodi-2020'!T192+'Rashodi-2020'!T191+'Rashodi-2020'!T212</f>
        <v>0</v>
      </c>
      <c r="J25" s="1050">
        <f t="shared" si="2"/>
        <v>63286322</v>
      </c>
    </row>
    <row r="26" spans="1:10" ht="13.5" thickBot="1">
      <c r="A26" s="1067">
        <v>464</v>
      </c>
      <c r="B26" s="1068" t="s">
        <v>1304</v>
      </c>
      <c r="C26" s="1069">
        <f>'Rashodi-2020'!N249+'Rashodi-2020'!N250+'Rashodi-2020'!N252+'Rashodi-2020'!N253+'Rashodi-2020'!N254+'Rashodi-2020'!N255+'Rashodi-2020'!N355+'Rashodi-2020'!N251+'Rashodi-2020'!N256</f>
        <v>17600897</v>
      </c>
      <c r="D26" s="1069">
        <f>'Rashodi-2020'!O249+'Rashodi-2020'!O250+'Rashodi-2020'!O252+'Rashodi-2020'!O253+'Rashodi-2020'!O254+'Rashodi-2020'!O255+'Rashodi-2020'!O355+'Rashodi-2020'!O251+'Rashodi-2020'!O256</f>
        <v>0</v>
      </c>
      <c r="E26" s="1069">
        <f>'Rashodi-2020'!P249+'Rashodi-2020'!P250+'Rashodi-2020'!P252+'Rashodi-2020'!P253+'Rashodi-2020'!P254+'Rashodi-2020'!P255+'Rashodi-2020'!P355+'Rashodi-2020'!P251+'Rashodi-2020'!P256</f>
        <v>0</v>
      </c>
      <c r="F26" s="1069">
        <f>'Rashodi-2020'!Q249+'Rashodi-2020'!Q250+'Rashodi-2020'!Q252+'Rashodi-2020'!Q253+'Rashodi-2020'!Q254+'Rashodi-2020'!Q255+'Rashodi-2020'!Q355+'Rashodi-2020'!Q251+'Rashodi-2020'!Q256</f>
        <v>0</v>
      </c>
      <c r="G26" s="1069">
        <f>'Rashodi-2020'!R249+'Rashodi-2020'!R250+'Rashodi-2020'!R252+'Rashodi-2020'!R253+'Rashodi-2020'!R254+'Rashodi-2020'!R255+'Rashodi-2020'!R355+'Rashodi-2020'!R251+'Rashodi-2020'!R256</f>
        <v>0</v>
      </c>
      <c r="H26" s="1069">
        <f>'Rashodi-2020'!S249+'Rashodi-2020'!S250+'Rashodi-2020'!S252+'Rashodi-2020'!S253+'Rashodi-2020'!S254+'Rashodi-2020'!S255+'Rashodi-2020'!S355+'Rashodi-2020'!S251+'Rashodi-2020'!S256</f>
        <v>0</v>
      </c>
      <c r="I26" s="1069">
        <f>'Rashodi-2020'!T249+'Rashodi-2020'!T250+'Rashodi-2020'!T252+'Rashodi-2020'!T253+'Rashodi-2020'!T254+'Rashodi-2020'!T255+'Rashodi-2020'!T355+'Rashodi-2020'!T251+'Rashodi-2020'!T256</f>
        <v>0</v>
      </c>
      <c r="J26" s="1058">
        <f t="shared" si="2"/>
        <v>17600897</v>
      </c>
    </row>
    <row r="27" spans="1:10" s="26" customFormat="1" ht="13.5" thickBot="1">
      <c r="A27" s="1070">
        <v>465</v>
      </c>
      <c r="B27" s="1071" t="s">
        <v>216</v>
      </c>
      <c r="C27" s="1069">
        <f>'Rashodi-2020'!N457+'Rashodi-2020'!N97+'Rashodi-2020'!N23+'Rashodi-2020'!N55+'Rashodi-2020'!N72+'Rashodi-2020'!N443+'Rashodi-2020'!N96+'Rashodi-2020'!N38+'Rashodi-2020'!N406+'Rashodi-2020'!N386+'Rashodi-2020'!N95</f>
        <v>8412613</v>
      </c>
      <c r="D27" s="1069">
        <f>'Rashodi-2020'!O457+'Rashodi-2020'!O97+'Rashodi-2020'!O23+'Rashodi-2020'!O55+'Rashodi-2020'!O72+'Rashodi-2020'!O443+'Rashodi-2020'!O96+'Rashodi-2020'!O38+'Rashodi-2020'!O406+'Rashodi-2020'!O386+'Rashodi-2020'!O95</f>
        <v>0</v>
      </c>
      <c r="E27" s="1069">
        <f>'Rashodi-2020'!P457+'Rashodi-2020'!P97+'Rashodi-2020'!P23+'Rashodi-2020'!P55+'Rashodi-2020'!P72+'Rashodi-2020'!P443+'Rashodi-2020'!P96+'Rashodi-2020'!P38+'Rashodi-2020'!P406+'Rashodi-2020'!P386+'Rashodi-2020'!P95</f>
        <v>0</v>
      </c>
      <c r="F27" s="1069">
        <f>'Rashodi-2020'!Q457+'Rashodi-2020'!Q97+'Rashodi-2020'!Q23+'Rashodi-2020'!Q55+'Rashodi-2020'!Q72+'Rashodi-2020'!Q443+'Rashodi-2020'!Q96+'Rashodi-2020'!Q38+'Rashodi-2020'!Q406+'Rashodi-2020'!Q386+'Rashodi-2020'!Q95</f>
        <v>0</v>
      </c>
      <c r="G27" s="1069">
        <f>'Rashodi-2020'!R457+'Rashodi-2020'!R97+'Rashodi-2020'!R23+'Rashodi-2020'!R55+'Rashodi-2020'!R72+'Rashodi-2020'!R443+'Rashodi-2020'!R96+'Rashodi-2020'!R38+'Rashodi-2020'!R406+'Rashodi-2020'!R386+'Rashodi-2020'!R95</f>
        <v>0</v>
      </c>
      <c r="H27" s="1069">
        <f>'Rashodi-2020'!S457+'Rashodi-2020'!S97+'Rashodi-2020'!S23+'Rashodi-2020'!S55+'Rashodi-2020'!S72+'Rashodi-2020'!S443+'Rashodi-2020'!S96+'Rashodi-2020'!S38+'Rashodi-2020'!S406+'Rashodi-2020'!S386+'Rashodi-2020'!S95</f>
        <v>0</v>
      </c>
      <c r="I27" s="1069">
        <f>'Rashodi-2020'!T457+'Rashodi-2020'!T97+'Rashodi-2020'!T23+'Rashodi-2020'!T55+'Rashodi-2020'!T72+'Rashodi-2020'!T443+'Rashodi-2020'!T96+'Rashodi-2020'!T38+'Rashodi-2020'!T406+'Rashodi-2020'!T386+'Rashodi-2020'!T95</f>
        <v>0</v>
      </c>
      <c r="J27" s="1065">
        <f t="shared" si="2"/>
        <v>8412613</v>
      </c>
    </row>
    <row r="28" spans="1:10" s="23" customFormat="1" ht="15" customHeight="1" thickBot="1">
      <c r="A28" s="1044">
        <v>47</v>
      </c>
      <c r="B28" s="1061" t="s">
        <v>71</v>
      </c>
      <c r="C28" s="1060">
        <f aca="true" t="shared" si="7" ref="C28:I28">SUM(C29)</f>
        <v>17120000</v>
      </c>
      <c r="D28" s="1060">
        <f t="shared" si="7"/>
        <v>0</v>
      </c>
      <c r="E28" s="1060">
        <f t="shared" si="7"/>
        <v>0</v>
      </c>
      <c r="F28" s="1060">
        <f t="shared" si="7"/>
        <v>0</v>
      </c>
      <c r="G28" s="1060">
        <f t="shared" si="7"/>
        <v>3065000</v>
      </c>
      <c r="H28" s="1060">
        <f t="shared" si="7"/>
        <v>0</v>
      </c>
      <c r="I28" s="1060">
        <f t="shared" si="7"/>
        <v>0</v>
      </c>
      <c r="J28" s="1043">
        <f t="shared" si="2"/>
        <v>20185000</v>
      </c>
    </row>
    <row r="29" spans="1:10" s="356" customFormat="1" ht="13.5" thickBot="1">
      <c r="A29" s="1062">
        <v>472</v>
      </c>
      <c r="B29" s="1063" t="s">
        <v>44</v>
      </c>
      <c r="C29" s="1064">
        <f>'Rashodi-2020'!N98+'Rashodi-2020'!N236+'Rashodi-2020'!N241+'Rashodi-2020'!N245+'Rashodi-2020'!N344+'Rashodi-2020'!N346+'Rashodi-2020'!N345+'Rashodi-2020'!N237+'Rashodi-2020'!N238+'Rashodi-2020'!N239+'Rashodi-2020'!N240</f>
        <v>17120000</v>
      </c>
      <c r="D29" s="1064">
        <f>'Rashodi-2020'!O98+'Rashodi-2020'!O236+'Rashodi-2020'!O241+'Rashodi-2020'!O245+'Rashodi-2020'!O344+'Rashodi-2020'!O346+'Rashodi-2020'!O345+'Rashodi-2020'!O237+'Rashodi-2020'!O238+'Rashodi-2020'!O239+'Rashodi-2020'!O240</f>
        <v>0</v>
      </c>
      <c r="E29" s="1064">
        <f>'Rashodi-2020'!P98+'Rashodi-2020'!P236+'Rashodi-2020'!P241+'Rashodi-2020'!P245+'Rashodi-2020'!P344+'Rashodi-2020'!P346+'Rashodi-2020'!P345+'Rashodi-2020'!P237+'Rashodi-2020'!P238+'Rashodi-2020'!P239+'Rashodi-2020'!P240</f>
        <v>0</v>
      </c>
      <c r="F29" s="1064">
        <f>'Rashodi-2020'!Q98+'Rashodi-2020'!Q236+'Rashodi-2020'!Q241+'Rashodi-2020'!Q245+'Rashodi-2020'!Q344+'Rashodi-2020'!Q346+'Rashodi-2020'!Q345+'Rashodi-2020'!Q237+'Rashodi-2020'!Q238+'Rashodi-2020'!Q239+'Rashodi-2020'!Q240</f>
        <v>0</v>
      </c>
      <c r="G29" s="1064">
        <f>'Rashodi-2020'!R98+'Rashodi-2020'!R236+'Rashodi-2020'!R241+'Rashodi-2020'!R245+'Rashodi-2020'!R344+'Rashodi-2020'!R346+'Rashodi-2020'!R345+'Rashodi-2020'!R237+'Rashodi-2020'!R238+'Rashodi-2020'!R239+'Rashodi-2020'!R240</f>
        <v>3065000</v>
      </c>
      <c r="H29" s="1064">
        <f>'Rashodi-2020'!S98+'Rashodi-2020'!S236+'Rashodi-2020'!S241+'Rashodi-2020'!S245+'Rashodi-2020'!S344+'Rashodi-2020'!S346+'Rashodi-2020'!S345+'Rashodi-2020'!S237+'Rashodi-2020'!S238+'Rashodi-2020'!S239+'Rashodi-2020'!S240</f>
        <v>0</v>
      </c>
      <c r="I29" s="1064">
        <f>'Rashodi-2020'!T98+'Rashodi-2020'!T236+'Rashodi-2020'!T241+'Rashodi-2020'!T245+'Rashodi-2020'!T344+'Rashodi-2020'!T346+'Rashodi-2020'!T345+'Rashodi-2020'!T237+'Rashodi-2020'!T238+'Rashodi-2020'!T239+'Rashodi-2020'!T240</f>
        <v>0</v>
      </c>
      <c r="J29" s="1065">
        <f t="shared" si="2"/>
        <v>20185000</v>
      </c>
    </row>
    <row r="30" spans="1:10" s="23" customFormat="1" ht="15" customHeight="1" thickBot="1">
      <c r="A30" s="1044">
        <v>48</v>
      </c>
      <c r="B30" s="1061" t="s">
        <v>45</v>
      </c>
      <c r="C30" s="1060">
        <f>SUM(C31:C34)</f>
        <v>29693000</v>
      </c>
      <c r="D30" s="1060">
        <f aca="true" t="shared" si="8" ref="D30:I30">SUM(D31:D34)</f>
        <v>1000</v>
      </c>
      <c r="E30" s="1060">
        <f t="shared" si="8"/>
        <v>0</v>
      </c>
      <c r="F30" s="1060">
        <f t="shared" si="8"/>
        <v>0</v>
      </c>
      <c r="G30" s="1060">
        <f t="shared" si="8"/>
        <v>0</v>
      </c>
      <c r="H30" s="1060">
        <f t="shared" si="8"/>
        <v>0</v>
      </c>
      <c r="I30" s="1060">
        <f t="shared" si="8"/>
        <v>0</v>
      </c>
      <c r="J30" s="1043">
        <f t="shared" si="2"/>
        <v>29694000</v>
      </c>
    </row>
    <row r="31" spans="1:10" ht="12.75">
      <c r="A31" s="1047">
        <v>481</v>
      </c>
      <c r="B31" s="1048" t="s">
        <v>46</v>
      </c>
      <c r="C31" s="1049">
        <f>'Rashodi-2020'!N24+'Rashodi-2020'!N444+'Rashodi-2020'!N136+'Rashodi-2020'!N138+'Rashodi-2020'!N145+'Rashodi-2020'!N352+'Rashodi-2020'!N137+'Rashodi-2020'!N244+'Rashodi-2020'!N290+'Rashodi-2020'!N494+'Rashodi-2020'!N28+'Rashodi-2020'!N100+'Rashodi-2020'!N99+'Rashodi-2020'!N341+'Rashodi-2020'!N146</f>
        <v>25420000</v>
      </c>
      <c r="D31" s="1049">
        <f>'Rashodi-2020'!O24+'Rashodi-2020'!O444+'Rashodi-2020'!O136+'Rashodi-2020'!O138+'Rashodi-2020'!O145+'Rashodi-2020'!O352+'Rashodi-2020'!O137+'Rashodi-2020'!O244+'Rashodi-2020'!O290+'Rashodi-2020'!O494+'Rashodi-2020'!O28+'Rashodi-2020'!O100+'Rashodi-2020'!O99+'Rashodi-2020'!O341+'Rashodi-2020'!O146</f>
        <v>0</v>
      </c>
      <c r="E31" s="1049">
        <f>'Rashodi-2020'!P24+'Rashodi-2020'!P444+'Rashodi-2020'!P136+'Rashodi-2020'!P138+'Rashodi-2020'!P145+'Rashodi-2020'!P352+'Rashodi-2020'!P137+'Rashodi-2020'!P244+'Rashodi-2020'!P290+'Rashodi-2020'!P494+'Rashodi-2020'!P28+'Rashodi-2020'!P100+'Rashodi-2020'!P99+'Rashodi-2020'!P341+'Rashodi-2020'!P146</f>
        <v>0</v>
      </c>
      <c r="F31" s="1049">
        <f>'Rashodi-2020'!Q24+'Rashodi-2020'!Q444+'Rashodi-2020'!Q136+'Rashodi-2020'!Q138+'Rashodi-2020'!Q145+'Rashodi-2020'!Q352+'Rashodi-2020'!Q137+'Rashodi-2020'!Q244+'Rashodi-2020'!Q290+'Rashodi-2020'!Q494+'Rashodi-2020'!Q28+'Rashodi-2020'!Q100+'Rashodi-2020'!Q99+'Rashodi-2020'!Q341+'Rashodi-2020'!Q146</f>
        <v>0</v>
      </c>
      <c r="G31" s="1049">
        <f>'Rashodi-2020'!R24+'Rashodi-2020'!R444+'Rashodi-2020'!R136+'Rashodi-2020'!R138+'Rashodi-2020'!R145+'Rashodi-2020'!R352+'Rashodi-2020'!R137+'Rashodi-2020'!R244+'Rashodi-2020'!R290+'Rashodi-2020'!R494+'Rashodi-2020'!R28+'Rashodi-2020'!R100+'Rashodi-2020'!R99+'Rashodi-2020'!R341+'Rashodi-2020'!R146</f>
        <v>0</v>
      </c>
      <c r="H31" s="1049">
        <f>'Rashodi-2020'!S24+'Rashodi-2020'!S444+'Rashodi-2020'!S136+'Rashodi-2020'!S138+'Rashodi-2020'!S145+'Rashodi-2020'!S352+'Rashodi-2020'!S137+'Rashodi-2020'!S244+'Rashodi-2020'!S290+'Rashodi-2020'!S494+'Rashodi-2020'!S28+'Rashodi-2020'!S100+'Rashodi-2020'!S99+'Rashodi-2020'!S341+'Rashodi-2020'!S146</f>
        <v>0</v>
      </c>
      <c r="I31" s="1049">
        <f>'Rashodi-2020'!T24+'Rashodi-2020'!T444+'Rashodi-2020'!T136+'Rashodi-2020'!T138+'Rashodi-2020'!T145+'Rashodi-2020'!T352+'Rashodi-2020'!T137+'Rashodi-2020'!T244+'Rashodi-2020'!T290+'Rashodi-2020'!T494+'Rashodi-2020'!T28+'Rashodi-2020'!T100+'Rashodi-2020'!T99+'Rashodi-2020'!T341+'Rashodi-2020'!T146</f>
        <v>0</v>
      </c>
      <c r="J31" s="1050">
        <f t="shared" si="2"/>
        <v>25420000</v>
      </c>
    </row>
    <row r="32" spans="1:10" ht="12.75">
      <c r="A32" s="1051">
        <v>482</v>
      </c>
      <c r="B32" s="1052" t="s">
        <v>47</v>
      </c>
      <c r="C32" s="1053">
        <f>'Rashodi-2020'!N101+'Rashodi-2020'!N458+'Rashodi-2020'!N482+'Rashodi-2020'!N507+'Rashodi-2020'!N445+'Rashodi-2020'!N470+'Rashodi-2020'!N428+'Rashodi-2020'!N56+'Rashodi-2020'!N275+'Rashodi-2020'!N407+'Rashodi-2020'!N387+'Rashodi-2020'!N495</f>
        <v>2473000</v>
      </c>
      <c r="D32" s="1053">
        <f>'Rashodi-2020'!O101+'Rashodi-2020'!O458+'Rashodi-2020'!O482+'Rashodi-2020'!O507+'Rashodi-2020'!O445+'Rashodi-2020'!O470+'Rashodi-2020'!O428+'Rashodi-2020'!O56+'Rashodi-2020'!O275+'Rashodi-2020'!O407+'Rashodi-2020'!O387+'Rashodi-2020'!O495</f>
        <v>1000</v>
      </c>
      <c r="E32" s="1053">
        <f>'Rashodi-2020'!P101+'Rashodi-2020'!P458+'Rashodi-2020'!P482+'Rashodi-2020'!P507+'Rashodi-2020'!P445+'Rashodi-2020'!P470+'Rashodi-2020'!P428+'Rashodi-2020'!P56+'Rashodi-2020'!P275+'Rashodi-2020'!P407+'Rashodi-2020'!P387+'Rashodi-2020'!P495</f>
        <v>0</v>
      </c>
      <c r="F32" s="1053">
        <f>'Rashodi-2020'!Q101+'Rashodi-2020'!Q458+'Rashodi-2020'!Q482+'Rashodi-2020'!Q507+'Rashodi-2020'!Q445+'Rashodi-2020'!Q470+'Rashodi-2020'!Q428+'Rashodi-2020'!Q56+'Rashodi-2020'!Q275+'Rashodi-2020'!Q407+'Rashodi-2020'!Q387+'Rashodi-2020'!Q495</f>
        <v>0</v>
      </c>
      <c r="G32" s="1053">
        <f>'Rashodi-2020'!R101+'Rashodi-2020'!R458+'Rashodi-2020'!R482+'Rashodi-2020'!R507+'Rashodi-2020'!R445+'Rashodi-2020'!R470+'Rashodi-2020'!R428+'Rashodi-2020'!R56+'Rashodi-2020'!R275+'Rashodi-2020'!R407+'Rashodi-2020'!R387+'Rashodi-2020'!R495</f>
        <v>0</v>
      </c>
      <c r="H32" s="1053">
        <f>'Rashodi-2020'!S101+'Rashodi-2020'!S458+'Rashodi-2020'!S482+'Rashodi-2020'!S507+'Rashodi-2020'!S445+'Rashodi-2020'!S470+'Rashodi-2020'!S428+'Rashodi-2020'!S56+'Rashodi-2020'!S275+'Rashodi-2020'!S407+'Rashodi-2020'!S387+'Rashodi-2020'!S495</f>
        <v>0</v>
      </c>
      <c r="I32" s="1053">
        <f>'Rashodi-2020'!T101+'Rashodi-2020'!T458+'Rashodi-2020'!T482+'Rashodi-2020'!T507+'Rashodi-2020'!T445+'Rashodi-2020'!T470+'Rashodi-2020'!T428+'Rashodi-2020'!T56+'Rashodi-2020'!T275+'Rashodi-2020'!T407+'Rashodi-2020'!T387+'Rashodi-2020'!T495</f>
        <v>0</v>
      </c>
      <c r="J32" s="1054">
        <f t="shared" si="2"/>
        <v>2474000</v>
      </c>
    </row>
    <row r="33" spans="1:10" ht="12.75">
      <c r="A33" s="1051">
        <v>483</v>
      </c>
      <c r="B33" s="1052" t="s">
        <v>72</v>
      </c>
      <c r="C33" s="1053">
        <f>'Rashodi-2020'!N102</f>
        <v>400000</v>
      </c>
      <c r="D33" s="1053">
        <f>'Rashodi-2020'!O102</f>
        <v>0</v>
      </c>
      <c r="E33" s="1053">
        <f>'Rashodi-2020'!P102</f>
        <v>0</v>
      </c>
      <c r="F33" s="1053">
        <f>'Rashodi-2020'!Q102</f>
        <v>0</v>
      </c>
      <c r="G33" s="1053">
        <f>'Rashodi-2020'!R102</f>
        <v>0</v>
      </c>
      <c r="H33" s="1053">
        <f>'Rashodi-2020'!S102</f>
        <v>0</v>
      </c>
      <c r="I33" s="1053">
        <f>'Rashodi-2020'!T102</f>
        <v>0</v>
      </c>
      <c r="J33" s="1054">
        <f t="shared" si="2"/>
        <v>400000</v>
      </c>
    </row>
    <row r="34" spans="1:10" ht="13.5" thickBot="1">
      <c r="A34" s="1062">
        <v>485</v>
      </c>
      <c r="B34" s="1063" t="s">
        <v>75</v>
      </c>
      <c r="C34" s="1064">
        <f>'Rashodi-2020'!N103</f>
        <v>1400000</v>
      </c>
      <c r="D34" s="1064">
        <f>'Rashodi-2020'!O103</f>
        <v>0</v>
      </c>
      <c r="E34" s="1064">
        <f>'Rashodi-2020'!P103</f>
        <v>0</v>
      </c>
      <c r="F34" s="1064">
        <f>'Rashodi-2020'!Q103</f>
        <v>0</v>
      </c>
      <c r="G34" s="1064">
        <f>'Rashodi-2020'!R103</f>
        <v>0</v>
      </c>
      <c r="H34" s="1064">
        <f>'Rashodi-2020'!S103</f>
        <v>0</v>
      </c>
      <c r="I34" s="1064">
        <f>'Rashodi-2020'!T103</f>
        <v>0</v>
      </c>
      <c r="J34" s="1058">
        <f t="shared" si="2"/>
        <v>1400000</v>
      </c>
    </row>
    <row r="35" spans="1:10" s="23" customFormat="1" ht="15" customHeight="1" thickBot="1">
      <c r="A35" s="1044">
        <v>49</v>
      </c>
      <c r="B35" s="1061" t="s">
        <v>70</v>
      </c>
      <c r="C35" s="1060">
        <f aca="true" t="shared" si="9" ref="C35:I35">SUM(C36)</f>
        <v>1000000</v>
      </c>
      <c r="D35" s="1060">
        <f t="shared" si="9"/>
        <v>0</v>
      </c>
      <c r="E35" s="1060">
        <f t="shared" si="9"/>
        <v>0</v>
      </c>
      <c r="F35" s="1060">
        <f t="shared" si="9"/>
        <v>0</v>
      </c>
      <c r="G35" s="1060">
        <f t="shared" si="9"/>
        <v>0</v>
      </c>
      <c r="H35" s="1060">
        <f t="shared" si="9"/>
        <v>0</v>
      </c>
      <c r="I35" s="1060">
        <f t="shared" si="9"/>
        <v>0</v>
      </c>
      <c r="J35" s="1043">
        <f t="shared" si="2"/>
        <v>1000000</v>
      </c>
    </row>
    <row r="36" spans="1:10" ht="13.5" thickBot="1">
      <c r="A36" s="1062">
        <v>499</v>
      </c>
      <c r="B36" s="1063" t="s">
        <v>48</v>
      </c>
      <c r="C36" s="1064">
        <f>'Rashodi-2020'!N129+'Rashodi-2020'!N132</f>
        <v>1000000</v>
      </c>
      <c r="D36" s="1064">
        <f>'Rashodi-2020'!O129+'Rashodi-2020'!O132</f>
        <v>0</v>
      </c>
      <c r="E36" s="1064">
        <f>'Rashodi-2020'!P129+'Rashodi-2020'!P132</f>
        <v>0</v>
      </c>
      <c r="F36" s="1064">
        <f>'Rashodi-2020'!Q129+'Rashodi-2020'!Q132</f>
        <v>0</v>
      </c>
      <c r="G36" s="1064">
        <f>'Rashodi-2020'!R129+'Rashodi-2020'!R132</f>
        <v>0</v>
      </c>
      <c r="H36" s="1064">
        <f>'Rashodi-2020'!S129+'Rashodi-2020'!S132</f>
        <v>0</v>
      </c>
      <c r="I36" s="1064">
        <f>'Rashodi-2020'!T129+'Rashodi-2020'!T132</f>
        <v>0</v>
      </c>
      <c r="J36" s="1065">
        <f t="shared" si="2"/>
        <v>1000000</v>
      </c>
    </row>
    <row r="37" spans="1:10" s="23" customFormat="1" ht="15" customHeight="1" thickBot="1">
      <c r="A37" s="1044">
        <v>51</v>
      </c>
      <c r="B37" s="1061" t="s">
        <v>49</v>
      </c>
      <c r="C37" s="1060">
        <f>SUM(C38:C44)</f>
        <v>103444000</v>
      </c>
      <c r="D37" s="1060">
        <f aca="true" t="shared" si="10" ref="D37:I37">SUM(D38:D44)</f>
        <v>29000</v>
      </c>
      <c r="E37" s="1060">
        <f t="shared" si="10"/>
        <v>370000</v>
      </c>
      <c r="F37" s="1060">
        <f t="shared" si="10"/>
        <v>32316642.88</v>
      </c>
      <c r="G37" s="1060">
        <f t="shared" si="10"/>
        <v>62973383.1</v>
      </c>
      <c r="H37" s="1060">
        <f t="shared" si="10"/>
        <v>0</v>
      </c>
      <c r="I37" s="1060">
        <f t="shared" si="10"/>
        <v>0</v>
      </c>
      <c r="J37" s="1043">
        <f>SUM(C37:I37)</f>
        <v>199133025.98</v>
      </c>
    </row>
    <row r="38" spans="1:10" ht="12.75">
      <c r="A38" s="1047">
        <v>511</v>
      </c>
      <c r="B38" s="1048" t="s">
        <v>50</v>
      </c>
      <c r="C38" s="1049">
        <f>'Rashodi-2020'!N326+'Rashodi-2020'!N314+'Rashodi-2020'!N310+'Rashodi-2020'!N120+'Rashodi-2020'!N368+'Rashodi-2020'!N311+'Rashodi-2020'!N312+'Rashodi-2020'!N337+'Rashodi-2020'!N388+'Rashodi-2020'!N305+'Rashodi-2020'!N332+'Rashodi-2020'!N313+'Rashodi-2020'!N115+'Rashodi-2020'!N349+'Rashodi-2020'!N331+'Rashodi-2020'!N483+'Rashodi-2020'!N333</f>
        <v>84833000</v>
      </c>
      <c r="D38" s="1049">
        <f>'Rashodi-2020'!O326+'Rashodi-2020'!O314+'Rashodi-2020'!O310+'Rashodi-2020'!O120+'Rashodi-2020'!O368+'Rashodi-2020'!O311+'Rashodi-2020'!O312+'Rashodi-2020'!O337+'Rashodi-2020'!O388+'Rashodi-2020'!O305+'Rashodi-2020'!O332+'Rashodi-2020'!O313+'Rashodi-2020'!O115+'Rashodi-2020'!O349+'Rashodi-2020'!O331+'Rashodi-2020'!O483+'Rashodi-2020'!O333</f>
        <v>0</v>
      </c>
      <c r="E38" s="1049">
        <f>'Rashodi-2020'!P326+'Rashodi-2020'!P314+'Rashodi-2020'!P310+'Rashodi-2020'!P120+'Rashodi-2020'!P368+'Rashodi-2020'!P311+'Rashodi-2020'!P312+'Rashodi-2020'!P337+'Rashodi-2020'!P388+'Rashodi-2020'!P305+'Rashodi-2020'!P332+'Rashodi-2020'!P313+'Rashodi-2020'!P115+'Rashodi-2020'!P349+'Rashodi-2020'!P331+'Rashodi-2020'!P483+'Rashodi-2020'!P333</f>
        <v>0</v>
      </c>
      <c r="F38" s="1049">
        <f>'Rashodi-2020'!Q326+'Rashodi-2020'!Q314+'Rashodi-2020'!Q310+'Rashodi-2020'!Q120+'Rashodi-2020'!Q368+'Rashodi-2020'!Q311+'Rashodi-2020'!Q312+'Rashodi-2020'!Q337+'Rashodi-2020'!Q388+'Rashodi-2020'!Q305+'Rashodi-2020'!Q332+'Rashodi-2020'!Q313+'Rashodi-2020'!Q115+'Rashodi-2020'!Q349+'Rashodi-2020'!Q331+'Rashodi-2020'!Q483+'Rashodi-2020'!Q333</f>
        <v>32216642.88</v>
      </c>
      <c r="G38" s="1049">
        <f>'Rashodi-2020'!R326+'Rashodi-2020'!R314+'Rashodi-2020'!R310+'Rashodi-2020'!R120+'Rashodi-2020'!R368+'Rashodi-2020'!R311+'Rashodi-2020'!R312+'Rashodi-2020'!R337+'Rashodi-2020'!R388+'Rashodi-2020'!R305+'Rashodi-2020'!R332+'Rashodi-2020'!R313+'Rashodi-2020'!R115+'Rashodi-2020'!R349+'Rashodi-2020'!R331+'Rashodi-2020'!R483+'Rashodi-2020'!R333</f>
        <v>62913383.1</v>
      </c>
      <c r="H38" s="1049">
        <f>'Rashodi-2020'!S326+'Rashodi-2020'!S314+'Rashodi-2020'!S310+'Rashodi-2020'!S120+'Rashodi-2020'!S368+'Rashodi-2020'!S311+'Rashodi-2020'!S312+'Rashodi-2020'!S337+'Rashodi-2020'!S388+'Rashodi-2020'!S305+'Rashodi-2020'!S332+'Rashodi-2020'!S313+'Rashodi-2020'!S115+'Rashodi-2020'!S349+'Rashodi-2020'!S331+'Rashodi-2020'!S483+'Rashodi-2020'!S333</f>
        <v>0</v>
      </c>
      <c r="I38" s="1049">
        <f>'Rashodi-2020'!T326+'Rashodi-2020'!T314+'Rashodi-2020'!T310+'Rashodi-2020'!T120+'Rashodi-2020'!T368+'Rashodi-2020'!T311+'Rashodi-2020'!T312+'Rashodi-2020'!T337+'Rashodi-2020'!T388+'Rashodi-2020'!T305+'Rashodi-2020'!T332+'Rashodi-2020'!T313+'Rashodi-2020'!T115+'Rashodi-2020'!T349+'Rashodi-2020'!T331+'Rashodi-2020'!T483+'Rashodi-2020'!T333</f>
        <v>0</v>
      </c>
      <c r="J38" s="1049">
        <f>'Rashodi-2020'!U326+'Rashodi-2020'!U314+'Rashodi-2020'!U310+'Rashodi-2020'!U120+'Rashodi-2020'!U368+'Rashodi-2020'!U311+'Rashodi-2020'!U312+'Rashodi-2020'!U337+'Rashodi-2020'!U388+'Rashodi-2020'!U305+'Rashodi-2020'!U332+'Rashodi-2020'!U313+'Rashodi-2020'!U115+'Rashodi-2020'!U349+'Rashodi-2020'!U331+'Rashodi-2020'!U483+'Rashodi-2020'!U333</f>
        <v>95130025.97999999</v>
      </c>
    </row>
    <row r="39" spans="1:10" ht="12.75">
      <c r="A39" s="1055">
        <v>512</v>
      </c>
      <c r="B39" s="1052" t="s">
        <v>51</v>
      </c>
      <c r="C39" s="1053">
        <f>'Rashodi-2020'!N104+'Rashodi-2020'!N484+'Rashodi-2020'!N276+'Rashodi-2020'!N116+'Rashodi-2020'!N105+'Rashodi-2020'!N446+'Rashodi-2020'!N126+'Rashodi-2020'!N408+'Rashodi-2020'!N389+'Rashodi-2020'!N121+'Rashodi-2020'!N259+'Rashodi-2020'!N459</f>
        <v>17361000</v>
      </c>
      <c r="D39" s="1053">
        <f>'Rashodi-2020'!O104+'Rashodi-2020'!O484+'Rashodi-2020'!O276+'Rashodi-2020'!O116+'Rashodi-2020'!O105+'Rashodi-2020'!O446+'Rashodi-2020'!O126+'Rashodi-2020'!O408+'Rashodi-2020'!O389+'Rashodi-2020'!O121+'Rashodi-2020'!O259+'Rashodi-2020'!O459</f>
        <v>9000</v>
      </c>
      <c r="E39" s="1053">
        <f>'Rashodi-2020'!P104+'Rashodi-2020'!P484+'Rashodi-2020'!P276+'Rashodi-2020'!P116+'Rashodi-2020'!P105+'Rashodi-2020'!P446+'Rashodi-2020'!P126+'Rashodi-2020'!P408+'Rashodi-2020'!P389+'Rashodi-2020'!P121+'Rashodi-2020'!P259+'Rashodi-2020'!P459</f>
        <v>370000</v>
      </c>
      <c r="F39" s="1053">
        <f>'Rashodi-2020'!Q104+'Rashodi-2020'!Q484+'Rashodi-2020'!Q276+'Rashodi-2020'!Q116+'Rashodi-2020'!Q105+'Rashodi-2020'!Q446+'Rashodi-2020'!Q126+'Rashodi-2020'!Q408+'Rashodi-2020'!Q389+'Rashodi-2020'!Q121+'Rashodi-2020'!Q259+'Rashodi-2020'!Q459</f>
        <v>50000</v>
      </c>
      <c r="G39" s="1053">
        <f>'Rashodi-2020'!R104+'Rashodi-2020'!R484+'Rashodi-2020'!R276+'Rashodi-2020'!R116+'Rashodi-2020'!R105+'Rashodi-2020'!R446+'Rashodi-2020'!R126+'Rashodi-2020'!R408+'Rashodi-2020'!R389+'Rashodi-2020'!R121+'Rashodi-2020'!R259+'Rashodi-2020'!R459</f>
        <v>30000</v>
      </c>
      <c r="H39" s="1053">
        <f>'Rashodi-2020'!S104+'Rashodi-2020'!S484+'Rashodi-2020'!S276+'Rashodi-2020'!S116+'Rashodi-2020'!S105+'Rashodi-2020'!S446+'Rashodi-2020'!S126+'Rashodi-2020'!S408+'Rashodi-2020'!S389+'Rashodi-2020'!S121+'Rashodi-2020'!S259+'Rashodi-2020'!S459</f>
        <v>0</v>
      </c>
      <c r="I39" s="1053">
        <f>'Rashodi-2020'!T104+'Rashodi-2020'!T484+'Rashodi-2020'!T276+'Rashodi-2020'!T116+'Rashodi-2020'!T105+'Rashodi-2020'!T446+'Rashodi-2020'!T126+'Rashodi-2020'!T408+'Rashodi-2020'!T389+'Rashodi-2020'!T121+'Rashodi-2020'!T259+'Rashodi-2020'!T459</f>
        <v>0</v>
      </c>
      <c r="J39" s="1054">
        <f t="shared" si="2"/>
        <v>17820000</v>
      </c>
    </row>
    <row r="40" spans="1:10" ht="12.75">
      <c r="A40" s="1055">
        <v>513</v>
      </c>
      <c r="B40" s="1052" t="s">
        <v>873</v>
      </c>
      <c r="C40" s="1053">
        <v>0</v>
      </c>
      <c r="D40" s="1053">
        <v>0</v>
      </c>
      <c r="E40" s="1053">
        <v>0</v>
      </c>
      <c r="F40" s="1053">
        <v>0</v>
      </c>
      <c r="G40" s="1053">
        <v>0</v>
      </c>
      <c r="H40" s="1053">
        <v>0</v>
      </c>
      <c r="I40" s="1053">
        <v>0</v>
      </c>
      <c r="J40" s="1054">
        <f t="shared" si="2"/>
        <v>0</v>
      </c>
    </row>
    <row r="41" spans="1:10" ht="12.75">
      <c r="A41" s="1055">
        <v>514</v>
      </c>
      <c r="B41" s="1072" t="s">
        <v>217</v>
      </c>
      <c r="C41" s="1073">
        <v>0</v>
      </c>
      <c r="D41" s="1073">
        <v>0</v>
      </c>
      <c r="E41" s="1073">
        <v>0</v>
      </c>
      <c r="F41" s="1073">
        <v>0</v>
      </c>
      <c r="G41" s="1073">
        <v>0</v>
      </c>
      <c r="H41" s="1073">
        <v>0</v>
      </c>
      <c r="I41" s="1073">
        <v>0</v>
      </c>
      <c r="J41" s="1054">
        <f t="shared" si="2"/>
        <v>0</v>
      </c>
    </row>
    <row r="42" spans="1:10" ht="12.75">
      <c r="A42" s="1055">
        <v>513</v>
      </c>
      <c r="B42" s="1072" t="s">
        <v>873</v>
      </c>
      <c r="C42" s="1073">
        <f>'Rashodi-2020'!N471</f>
        <v>100000</v>
      </c>
      <c r="D42" s="1073">
        <f>'Rashodi-2020'!O471</f>
        <v>0</v>
      </c>
      <c r="E42" s="1073">
        <f>'Rashodi-2020'!P471</f>
        <v>0</v>
      </c>
      <c r="F42" s="1073">
        <f>'Rashodi-2020'!Q471</f>
        <v>0</v>
      </c>
      <c r="G42" s="1073">
        <f>'Rashodi-2020'!R471</f>
        <v>0</v>
      </c>
      <c r="H42" s="1073">
        <f>'Rashodi-2020'!S471</f>
        <v>0</v>
      </c>
      <c r="I42" s="1073">
        <f>'Rashodi-2020'!T471</f>
        <v>0</v>
      </c>
      <c r="J42" s="1054">
        <f t="shared" si="2"/>
        <v>100000</v>
      </c>
    </row>
    <row r="43" spans="1:10" ht="12.75">
      <c r="A43" s="1051">
        <v>515</v>
      </c>
      <c r="B43" s="1052" t="s">
        <v>218</v>
      </c>
      <c r="C43" s="1053">
        <f>'Rashodi-2020'!N409+'Rashodi-2020'!N390+'Rashodi-2020'!N106</f>
        <v>650000</v>
      </c>
      <c r="D43" s="1053">
        <f>'Rashodi-2020'!O409+'Rashodi-2020'!O390+'Rashodi-2020'!O106</f>
        <v>20000</v>
      </c>
      <c r="E43" s="1053">
        <f>'Rashodi-2020'!P409+'Rashodi-2020'!P390+'Rashodi-2020'!P106</f>
        <v>0</v>
      </c>
      <c r="F43" s="1053">
        <f>'Rashodi-2020'!Q409+'Rashodi-2020'!Q390+'Rashodi-2020'!Q106</f>
        <v>50000</v>
      </c>
      <c r="G43" s="1053">
        <f>'Rashodi-2020'!R409+'Rashodi-2020'!R390+'Rashodi-2020'!R106</f>
        <v>30000</v>
      </c>
      <c r="H43" s="1053">
        <f>'Rashodi-2020'!S409+'Rashodi-2020'!S390+'Rashodi-2020'!S106</f>
        <v>0</v>
      </c>
      <c r="I43" s="1053">
        <f>'Rashodi-2020'!T409+'Rashodi-2020'!T390+'Rashodi-2020'!T106</f>
        <v>0</v>
      </c>
      <c r="J43" s="1054">
        <f t="shared" si="2"/>
        <v>750000</v>
      </c>
    </row>
    <row r="44" spans="1:10" ht="13.5" thickBot="1">
      <c r="A44" s="1055">
        <v>541</v>
      </c>
      <c r="B44" s="1074" t="s">
        <v>74</v>
      </c>
      <c r="C44" s="1075">
        <f>'Rashodi-2020'!N107</f>
        <v>500000</v>
      </c>
      <c r="D44" s="1075">
        <f>'Rashodi-2020'!O107</f>
        <v>0</v>
      </c>
      <c r="E44" s="1075">
        <f>'Rashodi-2020'!P107</f>
        <v>0</v>
      </c>
      <c r="F44" s="1075">
        <f>'Rashodi-2020'!Q107</f>
        <v>0</v>
      </c>
      <c r="G44" s="1075">
        <f>'Rashodi-2020'!R107</f>
        <v>0</v>
      </c>
      <c r="H44" s="1075">
        <f>'Rashodi-2020'!S107</f>
        <v>0</v>
      </c>
      <c r="I44" s="1075">
        <f>'Rashodi-2020'!T107</f>
        <v>0</v>
      </c>
      <c r="J44" s="1058">
        <f t="shared" si="2"/>
        <v>500000</v>
      </c>
    </row>
    <row r="45" spans="1:10" s="23" customFormat="1" ht="15" customHeight="1" hidden="1" thickBot="1">
      <c r="A45" s="1044">
        <v>62</v>
      </c>
      <c r="B45" s="1076" t="s">
        <v>1177</v>
      </c>
      <c r="C45" s="1077">
        <f aca="true" t="shared" si="11" ref="C45:I45">SUM(C46)</f>
        <v>0</v>
      </c>
      <c r="D45" s="1077">
        <f t="shared" si="11"/>
        <v>0</v>
      </c>
      <c r="E45" s="1077">
        <f t="shared" si="11"/>
        <v>0</v>
      </c>
      <c r="F45" s="1077">
        <f t="shared" si="11"/>
        <v>0</v>
      </c>
      <c r="G45" s="1077">
        <f t="shared" si="11"/>
        <v>0</v>
      </c>
      <c r="H45" s="1077">
        <f t="shared" si="11"/>
        <v>0</v>
      </c>
      <c r="I45" s="1077">
        <f t="shared" si="11"/>
        <v>0</v>
      </c>
      <c r="J45" s="1043">
        <v>0</v>
      </c>
    </row>
    <row r="46" spans="1:10" ht="13.5" hidden="1" thickBot="1">
      <c r="A46" s="1062">
        <v>621</v>
      </c>
      <c r="B46" s="1078" t="s">
        <v>172</v>
      </c>
      <c r="C46" s="1079"/>
      <c r="D46" s="1079"/>
      <c r="E46" s="1079"/>
      <c r="F46" s="1079"/>
      <c r="G46" s="1079"/>
      <c r="H46" s="1079">
        <v>0</v>
      </c>
      <c r="I46" s="1079"/>
      <c r="J46" s="1065">
        <v>0</v>
      </c>
    </row>
    <row r="47" spans="1:10" ht="26.25" customHeight="1" thickBot="1">
      <c r="A47" s="1421" t="s">
        <v>1561</v>
      </c>
      <c r="B47" s="1422"/>
      <c r="C47" s="1080">
        <f>C4</f>
        <v>527841676</v>
      </c>
      <c r="D47" s="1080">
        <f aca="true" t="shared" si="12" ref="D47:I47">D4</f>
        <v>205000</v>
      </c>
      <c r="E47" s="1080">
        <f t="shared" si="12"/>
        <v>3810000</v>
      </c>
      <c r="F47" s="1080">
        <f t="shared" si="12"/>
        <v>36446642.879999995</v>
      </c>
      <c r="G47" s="1080">
        <f t="shared" si="12"/>
        <v>135635973.1</v>
      </c>
      <c r="H47" s="1080">
        <f t="shared" si="12"/>
        <v>4570000</v>
      </c>
      <c r="I47" s="1080">
        <f t="shared" si="12"/>
        <v>505000</v>
      </c>
      <c r="J47" s="1080">
        <f t="shared" si="2"/>
        <v>709014291.98</v>
      </c>
    </row>
    <row r="48" spans="1:10" ht="12.75">
      <c r="A48" s="278"/>
      <c r="B48" s="279"/>
      <c r="C48" s="267"/>
      <c r="D48" s="268"/>
      <c r="E48" s="268"/>
      <c r="F48" s="268"/>
      <c r="G48" s="268"/>
      <c r="H48" s="268"/>
      <c r="I48" s="268"/>
      <c r="J48" s="24"/>
    </row>
    <row r="49" spans="1:10" ht="12.75">
      <c r="A49" s="280"/>
      <c r="B49" s="24"/>
      <c r="C49" s="268"/>
      <c r="D49" s="268"/>
      <c r="E49" s="268"/>
      <c r="F49" s="268"/>
      <c r="G49" s="268"/>
      <c r="H49" s="268"/>
      <c r="I49" s="268"/>
      <c r="J49" s="24"/>
    </row>
    <row r="50" spans="1:10" ht="12.75">
      <c r="A50" s="280"/>
      <c r="B50" s="24"/>
      <c r="C50" s="268"/>
      <c r="D50" s="268"/>
      <c r="E50" s="268"/>
      <c r="F50" s="268"/>
      <c r="G50" s="268"/>
      <c r="H50" s="268"/>
      <c r="I50" s="268"/>
      <c r="J50" s="281"/>
    </row>
    <row r="51" spans="1:10" ht="12.75">
      <c r="A51" s="280"/>
      <c r="B51" s="24"/>
      <c r="C51" s="268"/>
      <c r="D51" s="268"/>
      <c r="E51" s="267"/>
      <c r="F51" s="268"/>
      <c r="G51" s="268"/>
      <c r="H51" s="268"/>
      <c r="I51" s="268"/>
      <c r="J51" s="281"/>
    </row>
    <row r="52" spans="1:10" s="23" customFormat="1" ht="16.5" customHeight="1">
      <c r="A52" s="280"/>
      <c r="B52" s="24"/>
      <c r="C52" s="268"/>
      <c r="D52" s="268"/>
      <c r="E52" s="268"/>
      <c r="F52" s="267"/>
      <c r="G52" s="267"/>
      <c r="H52" s="267"/>
      <c r="I52" s="267"/>
      <c r="J52" s="279"/>
    </row>
    <row r="53" spans="1:10" ht="12.75">
      <c r="A53" s="280"/>
      <c r="B53" s="24"/>
      <c r="C53" s="268"/>
      <c r="D53" s="268"/>
      <c r="E53" s="268"/>
      <c r="F53" s="268"/>
      <c r="G53" s="268"/>
      <c r="H53" s="268"/>
      <c r="I53" s="268"/>
      <c r="J53" s="24"/>
    </row>
    <row r="54" spans="1:10" ht="12.75">
      <c r="A54" s="280"/>
      <c r="B54" s="24"/>
      <c r="C54" s="268"/>
      <c r="D54" s="268"/>
      <c r="E54" s="268"/>
      <c r="F54" s="268"/>
      <c r="G54" s="268"/>
      <c r="H54" s="268"/>
      <c r="I54" s="268"/>
      <c r="J54" s="281"/>
    </row>
    <row r="55" spans="1:10" ht="12.75">
      <c r="A55" s="278"/>
      <c r="B55" s="279"/>
      <c r="C55" s="267"/>
      <c r="D55" s="268"/>
      <c r="E55" s="268"/>
      <c r="F55" s="268"/>
      <c r="G55" s="268"/>
      <c r="H55" s="268"/>
      <c r="I55" s="268"/>
      <c r="J55" s="24"/>
    </row>
    <row r="56" spans="1:10" ht="12.75" customHeight="1">
      <c r="A56" s="280"/>
      <c r="B56" s="24"/>
      <c r="C56" s="268"/>
      <c r="D56" s="268"/>
      <c r="E56" s="268"/>
      <c r="F56" s="268"/>
      <c r="G56" s="268"/>
      <c r="H56" s="268"/>
      <c r="I56" s="268"/>
      <c r="J56" s="24"/>
    </row>
    <row r="57" spans="1:10" ht="12.75">
      <c r="A57" s="280"/>
      <c r="B57" s="24"/>
      <c r="C57" s="268"/>
      <c r="D57" s="267"/>
      <c r="E57" s="267"/>
      <c r="F57" s="268"/>
      <c r="G57" s="268"/>
      <c r="H57" s="268"/>
      <c r="I57" s="268"/>
      <c r="J57" s="24"/>
    </row>
    <row r="58" spans="1:10" s="23" customFormat="1" ht="12" customHeight="1">
      <c r="A58" s="280"/>
      <c r="B58" s="24"/>
      <c r="C58" s="268"/>
      <c r="D58" s="268"/>
      <c r="E58" s="268"/>
      <c r="F58" s="267"/>
      <c r="G58" s="267"/>
      <c r="H58" s="267"/>
      <c r="I58" s="267"/>
      <c r="J58" s="279"/>
    </row>
    <row r="59" spans="1:10" ht="12.75">
      <c r="A59" s="280"/>
      <c r="B59" s="24"/>
      <c r="C59" s="268"/>
      <c r="D59" s="268"/>
      <c r="E59" s="268"/>
      <c r="F59" s="268"/>
      <c r="G59" s="268"/>
      <c r="H59" s="268"/>
      <c r="I59" s="268"/>
      <c r="J59" s="24"/>
    </row>
    <row r="60" spans="1:10" s="23" customFormat="1" ht="12.75" customHeight="1">
      <c r="A60" s="280"/>
      <c r="B60" s="24"/>
      <c r="C60" s="268"/>
      <c r="D60" s="268"/>
      <c r="E60" s="268"/>
      <c r="F60" s="267"/>
      <c r="G60" s="267"/>
      <c r="H60" s="267"/>
      <c r="I60" s="267"/>
      <c r="J60" s="279"/>
    </row>
    <row r="61" spans="1:10" ht="12.75" customHeight="1">
      <c r="A61" s="280"/>
      <c r="B61" s="24"/>
      <c r="C61" s="268"/>
      <c r="D61" s="268"/>
      <c r="E61" s="268"/>
      <c r="F61" s="268"/>
      <c r="G61" s="268"/>
      <c r="H61" s="268"/>
      <c r="I61" s="268"/>
      <c r="J61" s="24"/>
    </row>
    <row r="62" spans="1:10" s="23" customFormat="1" ht="16.5" customHeight="1">
      <c r="A62" s="278"/>
      <c r="B62" s="279"/>
      <c r="C62" s="267"/>
      <c r="D62" s="268"/>
      <c r="E62" s="268"/>
      <c r="F62" s="267"/>
      <c r="G62" s="267"/>
      <c r="H62" s="267"/>
      <c r="I62" s="267"/>
      <c r="J62" s="279"/>
    </row>
    <row r="63" spans="1:10" ht="12.75">
      <c r="A63" s="280"/>
      <c r="B63" s="24"/>
      <c r="C63" s="268"/>
      <c r="D63" s="268"/>
      <c r="E63" s="268"/>
      <c r="F63" s="268"/>
      <c r="G63" s="268"/>
      <c r="H63" s="268"/>
      <c r="I63" s="268"/>
      <c r="J63" s="24"/>
    </row>
    <row r="64" spans="1:10" s="23" customFormat="1" ht="16.5" customHeight="1">
      <c r="A64" s="278"/>
      <c r="B64" s="279"/>
      <c r="C64" s="267"/>
      <c r="D64" s="267"/>
      <c r="E64" s="267"/>
      <c r="F64" s="267"/>
      <c r="G64" s="267"/>
      <c r="H64" s="267"/>
      <c r="I64" s="267"/>
      <c r="J64" s="279"/>
    </row>
    <row r="65" spans="1:10" ht="12.75">
      <c r="A65" s="280"/>
      <c r="B65" s="24"/>
      <c r="C65" s="268"/>
      <c r="D65" s="268"/>
      <c r="E65" s="268"/>
      <c r="F65" s="268"/>
      <c r="G65" s="268"/>
      <c r="H65" s="268"/>
      <c r="I65" s="268"/>
      <c r="J65" s="24"/>
    </row>
    <row r="66" spans="1:10" ht="12.75">
      <c r="A66" s="278"/>
      <c r="B66" s="279"/>
      <c r="C66" s="267"/>
      <c r="D66" s="268"/>
      <c r="E66" s="268"/>
      <c r="F66" s="268"/>
      <c r="G66" s="268"/>
      <c r="H66" s="268"/>
      <c r="I66" s="268"/>
      <c r="J66" s="24"/>
    </row>
    <row r="67" spans="1:10" ht="12.75">
      <c r="A67" s="280"/>
      <c r="B67" s="24"/>
      <c r="C67" s="268"/>
      <c r="D67" s="268"/>
      <c r="E67" s="268"/>
      <c r="F67" s="268"/>
      <c r="G67" s="268"/>
      <c r="H67" s="268"/>
      <c r="I67" s="268"/>
      <c r="J67" s="24"/>
    </row>
    <row r="68" spans="1:10" s="23" customFormat="1" ht="12.75" customHeight="1">
      <c r="A68" s="278"/>
      <c r="B68" s="279"/>
      <c r="C68" s="267"/>
      <c r="D68" s="268"/>
      <c r="E68" s="268"/>
      <c r="F68" s="267"/>
      <c r="G68" s="267"/>
      <c r="H68" s="267"/>
      <c r="I68" s="267"/>
      <c r="J68" s="279"/>
    </row>
    <row r="69" spans="1:10" ht="12.75">
      <c r="A69" s="280"/>
      <c r="B69" s="24"/>
      <c r="C69" s="268"/>
      <c r="D69" s="268"/>
      <c r="E69" s="268"/>
      <c r="F69" s="268"/>
      <c r="G69" s="268"/>
      <c r="H69" s="268"/>
      <c r="I69" s="268"/>
      <c r="J69" s="24"/>
    </row>
    <row r="70" spans="1:10" ht="12.75">
      <c r="A70" s="278"/>
      <c r="B70" s="279"/>
      <c r="C70" s="267"/>
      <c r="D70" s="267"/>
      <c r="E70" s="267"/>
      <c r="F70" s="268"/>
      <c r="G70" s="268"/>
      <c r="H70" s="268"/>
      <c r="I70" s="268"/>
      <c r="J70" s="24"/>
    </row>
    <row r="71" spans="1:10" ht="12.75">
      <c r="A71" s="280"/>
      <c r="B71" s="24"/>
      <c r="C71" s="268"/>
      <c r="D71" s="268"/>
      <c r="E71" s="268"/>
      <c r="F71" s="268"/>
      <c r="G71" s="268"/>
      <c r="H71" s="268"/>
      <c r="I71" s="268"/>
      <c r="J71" s="24"/>
    </row>
    <row r="72" spans="1:10" ht="11.25" customHeight="1">
      <c r="A72" s="280"/>
      <c r="B72" s="24"/>
      <c r="C72" s="268"/>
      <c r="D72" s="267"/>
      <c r="E72" s="267"/>
      <c r="F72" s="268"/>
      <c r="G72" s="268"/>
      <c r="H72" s="268"/>
      <c r="I72" s="268"/>
      <c r="J72" s="24"/>
    </row>
    <row r="73" spans="1:10" s="23" customFormat="1" ht="27.75" customHeight="1">
      <c r="A73" s="1417"/>
      <c r="B73" s="1417"/>
      <c r="C73" s="267"/>
      <c r="D73" s="268"/>
      <c r="E73" s="268"/>
      <c r="F73" s="267"/>
      <c r="G73" s="267"/>
      <c r="H73" s="267"/>
      <c r="I73" s="267"/>
      <c r="J73" s="279"/>
    </row>
    <row r="74" spans="1:10" s="23" customFormat="1" ht="12.75" customHeight="1">
      <c r="A74" s="278"/>
      <c r="B74" s="279"/>
      <c r="C74" s="267"/>
      <c r="D74" s="268"/>
      <c r="E74" s="268"/>
      <c r="F74" s="267"/>
      <c r="G74" s="267"/>
      <c r="H74" s="267"/>
      <c r="I74" s="267"/>
      <c r="J74" s="279"/>
    </row>
    <row r="75" spans="1:10" ht="12.75">
      <c r="A75" s="24"/>
      <c r="B75" s="24"/>
      <c r="C75" s="268"/>
      <c r="D75" s="267"/>
      <c r="E75" s="267"/>
      <c r="F75" s="268"/>
      <c r="G75" s="268"/>
      <c r="H75" s="268"/>
      <c r="I75" s="268"/>
      <c r="J75" s="24"/>
    </row>
    <row r="76" spans="1:10" ht="23.25" customHeight="1">
      <c r="A76" s="1417"/>
      <c r="B76" s="1417"/>
      <c r="C76" s="267"/>
      <c r="D76" s="268"/>
      <c r="E76" s="268"/>
      <c r="F76" s="43"/>
      <c r="G76" s="43"/>
      <c r="H76" s="43"/>
      <c r="I76" s="43"/>
      <c r="J76" s="22"/>
    </row>
    <row r="77" spans="1:10" ht="12.75" customHeight="1">
      <c r="A77" s="278"/>
      <c r="B77" s="279"/>
      <c r="C77" s="267"/>
      <c r="D77" s="268"/>
      <c r="E77" s="268"/>
      <c r="F77" s="43"/>
      <c r="G77" s="43"/>
      <c r="H77" s="43"/>
      <c r="I77" s="43"/>
      <c r="J77" s="22"/>
    </row>
    <row r="78" spans="1:10" ht="12.75" customHeight="1">
      <c r="A78" s="282"/>
      <c r="B78" s="24"/>
      <c r="C78" s="268"/>
      <c r="D78" s="268"/>
      <c r="E78" s="268"/>
      <c r="F78" s="43"/>
      <c r="G78" s="43"/>
      <c r="H78" s="43"/>
      <c r="I78" s="43"/>
      <c r="J78" s="22"/>
    </row>
    <row r="79" spans="1:10" ht="12.75" customHeight="1">
      <c r="A79" s="282"/>
      <c r="B79" s="24"/>
      <c r="C79" s="268"/>
      <c r="D79" s="268"/>
      <c r="E79" s="268"/>
      <c r="F79" s="43"/>
      <c r="G79" s="43"/>
      <c r="H79" s="43"/>
      <c r="I79" s="43"/>
      <c r="J79" s="22"/>
    </row>
    <row r="80" spans="1:10" ht="12.75" customHeight="1">
      <c r="A80" s="282"/>
      <c r="B80" s="24"/>
      <c r="C80" s="268"/>
      <c r="D80" s="268"/>
      <c r="E80" s="268"/>
      <c r="F80" s="43"/>
      <c r="G80" s="43"/>
      <c r="H80" s="43"/>
      <c r="I80" s="43"/>
      <c r="J80" s="22"/>
    </row>
    <row r="81" spans="1:10" ht="12.75">
      <c r="A81" s="24"/>
      <c r="B81" s="281"/>
      <c r="C81" s="268"/>
      <c r="D81" s="267"/>
      <c r="E81" s="267"/>
      <c r="F81" s="43"/>
      <c r="G81" s="43"/>
      <c r="H81" s="43"/>
      <c r="I81" s="43"/>
      <c r="J81" s="22"/>
    </row>
    <row r="82" spans="1:10" ht="12.75">
      <c r="A82" s="282"/>
      <c r="B82" s="24"/>
      <c r="C82" s="268"/>
      <c r="D82" s="267"/>
      <c r="E82" s="267"/>
      <c r="F82" s="43"/>
      <c r="G82" s="43"/>
      <c r="H82" s="43"/>
      <c r="I82" s="43"/>
      <c r="J82" s="22"/>
    </row>
    <row r="83" spans="1:10" ht="12.75">
      <c r="A83" s="282"/>
      <c r="B83" s="24"/>
      <c r="C83" s="268"/>
      <c r="D83" s="267"/>
      <c r="E83" s="267"/>
      <c r="F83" s="43"/>
      <c r="G83" s="43"/>
      <c r="H83" s="43"/>
      <c r="I83" s="43"/>
      <c r="J83" s="22"/>
    </row>
    <row r="84" spans="1:10" ht="12.75">
      <c r="A84" s="278"/>
      <c r="B84" s="279"/>
      <c r="C84" s="268"/>
      <c r="D84" s="267"/>
      <c r="E84" s="267"/>
      <c r="F84" s="43"/>
      <c r="G84" s="43"/>
      <c r="H84" s="43"/>
      <c r="I84" s="43"/>
      <c r="J84" s="22"/>
    </row>
    <row r="85" spans="1:10" ht="12.75">
      <c r="A85" s="282"/>
      <c r="B85" s="24"/>
      <c r="C85" s="268"/>
      <c r="D85" s="267"/>
      <c r="E85" s="267"/>
      <c r="F85" s="43"/>
      <c r="G85" s="43"/>
      <c r="H85" s="43"/>
      <c r="I85" s="43"/>
      <c r="J85" s="22"/>
    </row>
    <row r="86" spans="1:10" ht="12.75">
      <c r="A86" s="278"/>
      <c r="B86" s="279"/>
      <c r="C86" s="268"/>
      <c r="D86" s="267"/>
      <c r="E86" s="267"/>
      <c r="F86" s="43"/>
      <c r="G86" s="43"/>
      <c r="H86" s="43"/>
      <c r="I86" s="43"/>
      <c r="J86" s="22"/>
    </row>
    <row r="87" spans="1:10" ht="12.75">
      <c r="A87" s="24"/>
      <c r="B87" s="281"/>
      <c r="C87" s="268"/>
      <c r="D87" s="268"/>
      <c r="E87" s="268"/>
      <c r="F87" s="43"/>
      <c r="G87" s="43"/>
      <c r="H87" s="43"/>
      <c r="I87" s="43"/>
      <c r="J87" s="22"/>
    </row>
    <row r="88" spans="1:10" ht="12.75">
      <c r="A88" s="282"/>
      <c r="B88" s="24"/>
      <c r="C88" s="268"/>
      <c r="D88" s="268"/>
      <c r="E88" s="268"/>
      <c r="F88" s="43"/>
      <c r="G88" s="43"/>
      <c r="H88" s="43"/>
      <c r="I88" s="43"/>
      <c r="J88" s="22"/>
    </row>
    <row r="89" spans="1:10" ht="12.75">
      <c r="A89" s="278"/>
      <c r="B89" s="279"/>
      <c r="C89" s="267"/>
      <c r="D89" s="267"/>
      <c r="E89" s="267"/>
      <c r="F89" s="43"/>
      <c r="G89" s="43"/>
      <c r="H89" s="43"/>
      <c r="I89" s="43"/>
      <c r="J89" s="22"/>
    </row>
    <row r="90" spans="1:10" ht="12.75">
      <c r="A90" s="24"/>
      <c r="B90" s="24"/>
      <c r="C90" s="268"/>
      <c r="D90" s="268"/>
      <c r="E90" s="268"/>
      <c r="F90" s="43"/>
      <c r="G90" s="43"/>
      <c r="H90" s="43"/>
      <c r="I90" s="43"/>
      <c r="J90" s="22"/>
    </row>
    <row r="91" spans="1:10" ht="12.75">
      <c r="A91" s="24"/>
      <c r="B91" s="281"/>
      <c r="C91" s="268"/>
      <c r="D91" s="268"/>
      <c r="E91" s="268"/>
      <c r="F91" s="43"/>
      <c r="G91" s="43"/>
      <c r="H91" s="43"/>
      <c r="I91" s="43"/>
      <c r="J91" s="22"/>
    </row>
    <row r="92" spans="1:5" ht="12.75">
      <c r="A92" s="282"/>
      <c r="B92" s="24"/>
      <c r="C92" s="268"/>
      <c r="D92" s="268"/>
      <c r="E92" s="268"/>
    </row>
    <row r="93" spans="1:10" ht="25.5" customHeight="1">
      <c r="A93" s="1418"/>
      <c r="B93" s="1418"/>
      <c r="C93" s="267"/>
      <c r="D93" s="269"/>
      <c r="E93" s="268"/>
      <c r="J93" s="22"/>
    </row>
    <row r="94" spans="1:5" ht="12.75">
      <c r="A94" s="280"/>
      <c r="B94" s="24"/>
      <c r="C94" s="268"/>
      <c r="D94" s="268"/>
      <c r="E94" s="268"/>
    </row>
    <row r="95" spans="1:5" ht="12.75">
      <c r="A95" s="280"/>
      <c r="B95" s="24"/>
      <c r="C95" s="268"/>
      <c r="D95" s="268"/>
      <c r="E95" s="268"/>
    </row>
    <row r="96" spans="1:5" ht="12.75">
      <c r="A96" s="280"/>
      <c r="B96" s="24"/>
      <c r="C96" s="268"/>
      <c r="D96" s="268"/>
      <c r="E96" s="268"/>
    </row>
    <row r="97" spans="1:5" ht="12.75">
      <c r="A97" s="280"/>
      <c r="B97" s="24"/>
      <c r="C97" s="268"/>
      <c r="D97" s="268"/>
      <c r="E97" s="268"/>
    </row>
    <row r="98" spans="1:5" ht="12.75">
      <c r="A98" s="280"/>
      <c r="B98" s="24"/>
      <c r="C98" s="268"/>
      <c r="D98" s="268"/>
      <c r="E98" s="268"/>
    </row>
    <row r="99" spans="1:5" ht="12.75">
      <c r="A99" s="280"/>
      <c r="B99" s="24"/>
      <c r="C99" s="269"/>
      <c r="D99" s="268"/>
      <c r="E99" s="268"/>
    </row>
    <row r="100" spans="1:5" ht="12.75">
      <c r="A100" s="280"/>
      <c r="B100" s="24"/>
      <c r="C100" s="269"/>
      <c r="D100" s="268"/>
      <c r="E100" s="268"/>
    </row>
  </sheetData>
  <sheetProtection/>
  <mergeCells count="6">
    <mergeCell ref="A76:B76"/>
    <mergeCell ref="A93:B93"/>
    <mergeCell ref="A1:F1"/>
    <mergeCell ref="A4:B4"/>
    <mergeCell ref="A47:B47"/>
    <mergeCell ref="A73:B73"/>
  </mergeCells>
  <printOptions/>
  <pageMargins left="0.4724409448818898" right="0.31" top="0.15748031496062992" bottom="0.2755905511811024" header="0" footer="0.15748031496062992"/>
  <pageSetup horizontalDpi="600" verticalDpi="600" orientation="landscape" paperSize="10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6:G31"/>
  <sheetViews>
    <sheetView zoomScalePageLayoutView="0" workbookViewId="0" topLeftCell="A7">
      <selection activeCell="J15" sqref="J15"/>
    </sheetView>
  </sheetViews>
  <sheetFormatPr defaultColWidth="9.140625" defaultRowHeight="12.75"/>
  <cols>
    <col min="1" max="2" width="9.140625" style="1" customWidth="1"/>
    <col min="3" max="3" width="40.57421875" style="1" customWidth="1"/>
    <col min="4" max="4" width="22.140625" style="1" customWidth="1"/>
    <col min="5" max="6" width="9.140625" style="1" customWidth="1"/>
    <col min="7" max="7" width="13.8515625" style="1" bestFit="1" customWidth="1"/>
    <col min="8" max="16384" width="9.140625" style="1" customWidth="1"/>
  </cols>
  <sheetData>
    <row r="5" ht="13.5" thickBot="1"/>
    <row r="6" spans="2:4" ht="26.25" thickBot="1">
      <c r="B6" s="2" t="s">
        <v>54</v>
      </c>
      <c r="C6" s="3" t="s">
        <v>55</v>
      </c>
      <c r="D6" s="4" t="s">
        <v>1563</v>
      </c>
    </row>
    <row r="7" spans="2:6" ht="30.75" customHeight="1" thickBot="1">
      <c r="B7" s="202">
        <v>32</v>
      </c>
      <c r="C7" s="203" t="s">
        <v>231</v>
      </c>
      <c r="D7" s="204">
        <f>'Prihodi-2020.'!M143</f>
        <v>135635973.1</v>
      </c>
      <c r="E7" s="194"/>
      <c r="F7" s="195"/>
    </row>
    <row r="8" spans="2:6" ht="32.25" customHeight="1" thickBot="1">
      <c r="B8" s="202">
        <v>31</v>
      </c>
      <c r="C8" s="203" t="s">
        <v>232</v>
      </c>
      <c r="D8" s="204">
        <f>'Prihodi-2020.'!M145</f>
        <v>4570000</v>
      </c>
      <c r="E8" s="194"/>
      <c r="F8" s="195"/>
    </row>
    <row r="9" spans="2:4" ht="33" customHeight="1" thickBot="1">
      <c r="B9" s="5"/>
      <c r="C9" s="6" t="s">
        <v>56</v>
      </c>
      <c r="D9" s="7">
        <f>SUM(D10:D13)</f>
        <v>527841676</v>
      </c>
    </row>
    <row r="10" spans="2:4" ht="13.5" thickBot="1">
      <c r="B10" s="8">
        <v>71</v>
      </c>
      <c r="C10" s="9" t="s">
        <v>57</v>
      </c>
      <c r="D10" s="10">
        <f>SUM('Prihodi-2020.'!M9,'Prihodi-2020.'!M22,'Prihodi-2020.'!M26,'Prihodi-2020.'!M38,'Prihodi-2020.'!M47)</f>
        <v>203342472</v>
      </c>
    </row>
    <row r="11" spans="2:4" ht="13.5" thickBot="1">
      <c r="B11" s="8">
        <v>73</v>
      </c>
      <c r="C11" s="9" t="s">
        <v>58</v>
      </c>
      <c r="D11" s="10">
        <f>SUM('Prihodi-2020.'!M51)</f>
        <v>160771510</v>
      </c>
    </row>
    <row r="12" spans="2:4" ht="13.5" thickBot="1">
      <c r="B12" s="8">
        <v>74</v>
      </c>
      <c r="C12" s="9" t="s">
        <v>59</v>
      </c>
      <c r="D12" s="10">
        <f>SUM('Prihodi-2020.'!M54,'Prihodi-2020.'!M71,'Prihodi-2020.'!M84,'Prihodi-2020.'!M88,'Prihodi-2020.'!M93)</f>
        <v>163659694</v>
      </c>
    </row>
    <row r="13" spans="2:4" ht="13.5" customHeight="1" thickBot="1">
      <c r="B13" s="747" t="s">
        <v>1336</v>
      </c>
      <c r="C13" s="748" t="s">
        <v>1337</v>
      </c>
      <c r="D13" s="11">
        <f>'Prihodi-2020.'!M98</f>
        <v>68000</v>
      </c>
    </row>
    <row r="14" spans="2:4" ht="33" customHeight="1" thickBot="1">
      <c r="B14" s="12"/>
      <c r="C14" s="2" t="s">
        <v>60</v>
      </c>
      <c r="D14" s="13">
        <f>SUM(D15:D15)</f>
        <v>205000</v>
      </c>
    </row>
    <row r="15" spans="2:4" ht="13.5" thickBot="1">
      <c r="B15" s="8">
        <v>74</v>
      </c>
      <c r="C15" s="9" t="s">
        <v>59</v>
      </c>
      <c r="D15" s="10">
        <f>SUM('Prihodi-2020.'!M112:M115)</f>
        <v>205000</v>
      </c>
    </row>
    <row r="16" spans="2:4" ht="38.25" customHeight="1" thickBot="1">
      <c r="B16" s="14"/>
      <c r="C16" s="6" t="s">
        <v>61</v>
      </c>
      <c r="D16" s="7">
        <f>D17</f>
        <v>3810000</v>
      </c>
    </row>
    <row r="17" spans="2:4" ht="12.75">
      <c r="B17" s="15">
        <v>73</v>
      </c>
      <c r="C17" s="16" t="s">
        <v>58</v>
      </c>
      <c r="D17" s="17">
        <f>SUM('Prihodi-2020.'!M121)</f>
        <v>3810000</v>
      </c>
    </row>
    <row r="18" spans="2:4" ht="33" customHeight="1" thickBot="1">
      <c r="B18" s="166"/>
      <c r="C18" s="167" t="s">
        <v>62</v>
      </c>
      <c r="D18" s="168">
        <f>SUM(D19:D19)</f>
        <v>36446642.879999995</v>
      </c>
    </row>
    <row r="19" spans="2:4" ht="13.5" thickBot="1">
      <c r="B19" s="8">
        <v>73</v>
      </c>
      <c r="C19" s="9" t="s">
        <v>63</v>
      </c>
      <c r="D19" s="10">
        <f>SUM('Prihodi-2020.'!M127)</f>
        <v>36446642.879999995</v>
      </c>
    </row>
    <row r="20" spans="2:6" ht="33" customHeight="1" thickBot="1">
      <c r="B20" s="5"/>
      <c r="C20" s="587" t="s">
        <v>1205</v>
      </c>
      <c r="D20" s="590">
        <f>D21</f>
        <v>505000</v>
      </c>
      <c r="E20" s="588"/>
      <c r="F20" s="589"/>
    </row>
    <row r="21" spans="2:4" ht="13.5" thickBot="1">
      <c r="B21" s="403" t="s">
        <v>1206</v>
      </c>
      <c r="C21" s="9" t="s">
        <v>59</v>
      </c>
      <c r="D21" s="10">
        <f>'Prihodi-2020.'!M137</f>
        <v>505000</v>
      </c>
    </row>
    <row r="22" spans="2:4" ht="13.5" thickBot="1">
      <c r="B22" s="18"/>
      <c r="C22" s="19"/>
      <c r="D22" s="13"/>
    </row>
    <row r="23" spans="2:4" ht="13.5" thickBot="1">
      <c r="B23" s="20"/>
      <c r="C23" s="21" t="s">
        <v>64</v>
      </c>
      <c r="D23" s="7">
        <f>D9</f>
        <v>527841676</v>
      </c>
    </row>
    <row r="24" spans="2:4" ht="13.5" thickBot="1">
      <c r="B24" s="20"/>
      <c r="C24" s="21" t="s">
        <v>65</v>
      </c>
      <c r="D24" s="7">
        <f>D14</f>
        <v>205000</v>
      </c>
    </row>
    <row r="25" spans="2:4" ht="13.5" thickBot="1">
      <c r="B25" s="20"/>
      <c r="C25" s="21" t="s">
        <v>66</v>
      </c>
      <c r="D25" s="7">
        <f>'Prihodi-2020.'!M150</f>
        <v>3810000</v>
      </c>
    </row>
    <row r="26" spans="2:4" ht="13.5" thickBot="1">
      <c r="B26" s="20"/>
      <c r="C26" s="21" t="s">
        <v>67</v>
      </c>
      <c r="D26" s="7">
        <f>'Prihodi-2020.'!M151</f>
        <v>36446642.879999995</v>
      </c>
    </row>
    <row r="27" spans="2:7" ht="13.5" thickBot="1">
      <c r="B27" s="18"/>
      <c r="C27" s="198" t="s">
        <v>1338</v>
      </c>
      <c r="D27" s="199">
        <f>'Prihodi-2020.'!M152</f>
        <v>135635973.1</v>
      </c>
      <c r="E27" s="196"/>
      <c r="F27" s="196"/>
      <c r="G27" s="197"/>
    </row>
    <row r="28" spans="2:7" ht="13.5" thickBot="1">
      <c r="B28" s="18"/>
      <c r="C28" s="198" t="s">
        <v>229</v>
      </c>
      <c r="D28" s="199">
        <f>'Prihodi-2020.'!M153</f>
        <v>4570000</v>
      </c>
      <c r="E28" s="196"/>
      <c r="F28" s="196"/>
      <c r="G28" s="196"/>
    </row>
    <row r="29" spans="2:7" ht="13.5" thickBot="1">
      <c r="B29" s="20"/>
      <c r="C29" s="198" t="s">
        <v>1339</v>
      </c>
      <c r="D29" s="193">
        <f>'Prihodi-2020.'!M154</f>
        <v>505000</v>
      </c>
      <c r="E29" s="196"/>
      <c r="F29" s="196"/>
      <c r="G29" s="196"/>
    </row>
    <row r="30" spans="2:7" ht="13.5" thickBot="1">
      <c r="B30" s="20"/>
      <c r="C30" s="200"/>
      <c r="D30" s="193"/>
      <c r="E30" s="196"/>
      <c r="F30" s="196"/>
      <c r="G30" s="196"/>
    </row>
    <row r="31" spans="2:4" ht="13.5" thickBot="1">
      <c r="B31" s="20"/>
      <c r="C31" s="21" t="s">
        <v>1562</v>
      </c>
      <c r="D31" s="7">
        <f>SUM(D23:D30)</f>
        <v>709014291.98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30"/>
  <sheetViews>
    <sheetView zoomScalePageLayoutView="0" workbookViewId="0" topLeftCell="A1">
      <selection activeCell="E6" sqref="E6"/>
    </sheetView>
  </sheetViews>
  <sheetFormatPr defaultColWidth="7.7109375" defaultRowHeight="12.75"/>
  <cols>
    <col min="1" max="1" width="7.140625" style="205" customWidth="1"/>
    <col min="2" max="2" width="7.140625" style="241" customWidth="1"/>
    <col min="3" max="3" width="54.28125" style="205" customWidth="1"/>
    <col min="4" max="4" width="20.421875" style="250" customWidth="1"/>
    <col min="5" max="5" width="22.28125" style="205" customWidth="1"/>
    <col min="6" max="6" width="18.7109375" style="205" customWidth="1"/>
    <col min="7" max="27" width="7.7109375" style="208" customWidth="1"/>
    <col min="28" max="16384" width="7.7109375" style="205" customWidth="1"/>
  </cols>
  <sheetData>
    <row r="1" spans="2:6" ht="16.5">
      <c r="B1" s="237" t="s">
        <v>234</v>
      </c>
      <c r="C1" s="206"/>
      <c r="E1" s="206"/>
      <c r="F1" s="207"/>
    </row>
    <row r="2" spans="2:6" ht="15">
      <c r="B2" s="238"/>
      <c r="C2" s="206"/>
      <c r="E2" s="207" t="s">
        <v>235</v>
      </c>
      <c r="F2" s="209"/>
    </row>
    <row r="3" spans="1:5" ht="36" customHeight="1" thickBot="1">
      <c r="A3" s="210"/>
      <c r="B3" s="239"/>
      <c r="C3" s="213" t="s">
        <v>236</v>
      </c>
      <c r="D3" s="251" t="s">
        <v>252</v>
      </c>
      <c r="E3" s="214" t="s">
        <v>237</v>
      </c>
    </row>
    <row r="4" spans="1:5" ht="33">
      <c r="A4" s="211"/>
      <c r="B4" s="242"/>
      <c r="C4" s="226" t="s">
        <v>238</v>
      </c>
      <c r="D4" s="252"/>
      <c r="E4" s="227"/>
    </row>
    <row r="5" spans="1:27" s="206" customFormat="1" ht="30">
      <c r="A5" s="212"/>
      <c r="B5" s="245"/>
      <c r="C5" s="215" t="s">
        <v>239</v>
      </c>
      <c r="D5" s="253" t="s">
        <v>279</v>
      </c>
      <c r="E5" s="228">
        <f>E6+E16</f>
        <v>568808318.88</v>
      </c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</row>
    <row r="6" spans="1:27" s="206" customFormat="1" ht="15">
      <c r="A6" s="212"/>
      <c r="B6" s="246"/>
      <c r="C6" s="216" t="s">
        <v>240</v>
      </c>
      <c r="D6" s="254">
        <v>7</v>
      </c>
      <c r="E6" s="229">
        <f>E7+E12+E14+E15</f>
        <v>568740318.88</v>
      </c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</row>
    <row r="7" spans="1:27" s="206" customFormat="1" ht="15">
      <c r="A7" s="212"/>
      <c r="B7" s="247" t="s">
        <v>254</v>
      </c>
      <c r="C7" s="217" t="s">
        <v>253</v>
      </c>
      <c r="D7" s="255">
        <v>71</v>
      </c>
      <c r="E7" s="230">
        <f>E8+E9+E10+E11</f>
        <v>203342472</v>
      </c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</row>
    <row r="8" spans="1:27" s="206" customFormat="1" ht="15">
      <c r="A8" s="212"/>
      <c r="B8" s="248" t="s">
        <v>73</v>
      </c>
      <c r="C8" s="218" t="s">
        <v>255</v>
      </c>
      <c r="D8" s="256">
        <v>711</v>
      </c>
      <c r="E8" s="231">
        <f>'Prihodi-2020.'!M9</f>
        <v>141550000</v>
      </c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</row>
    <row r="9" spans="1:27" s="206" customFormat="1" ht="15.75">
      <c r="A9" s="212"/>
      <c r="B9" s="248" t="s">
        <v>257</v>
      </c>
      <c r="C9" s="219" t="s">
        <v>256</v>
      </c>
      <c r="D9" s="257">
        <v>713</v>
      </c>
      <c r="E9" s="231">
        <f>'Prihodi-2020.'!M26</f>
        <v>44242472</v>
      </c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</row>
    <row r="10" spans="1:27" s="206" customFormat="1" ht="15.75">
      <c r="A10" s="212"/>
      <c r="B10" s="248" t="s">
        <v>259</v>
      </c>
      <c r="C10" s="219" t="s">
        <v>258</v>
      </c>
      <c r="D10" s="257">
        <v>714</v>
      </c>
      <c r="E10" s="231">
        <f>'Prihodi-2020.'!M38</f>
        <v>6550000</v>
      </c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</row>
    <row r="11" spans="1:27" s="206" customFormat="1" ht="15.75">
      <c r="A11" s="212"/>
      <c r="B11" s="248" t="s">
        <v>1178</v>
      </c>
      <c r="C11" s="219" t="s">
        <v>260</v>
      </c>
      <c r="D11" s="257">
        <v>716</v>
      </c>
      <c r="E11" s="231">
        <f>'Prihodi-2020.'!M47</f>
        <v>11000000</v>
      </c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</row>
    <row r="12" spans="1:27" s="206" customFormat="1" ht="15.75">
      <c r="A12" s="212"/>
      <c r="B12" s="248" t="s">
        <v>261</v>
      </c>
      <c r="C12" s="219" t="s">
        <v>262</v>
      </c>
      <c r="D12" s="257">
        <v>74</v>
      </c>
      <c r="E12" s="231">
        <f>'Prihodi-2020.'!M54+'Prihodi-2020.'!M71+'Prihodi-2020.'!M84+'Prihodi-2020.'!M93+'Prihodi-2020.'!M113+'Prihodi-2020.'!M139</f>
        <v>164369694</v>
      </c>
      <c r="F12" s="264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</row>
    <row r="13" spans="1:27" s="206" customFormat="1" ht="15.75">
      <c r="A13" s="212"/>
      <c r="B13" s="248"/>
      <c r="C13" s="219" t="s">
        <v>263</v>
      </c>
      <c r="D13" s="257">
        <v>7411</v>
      </c>
      <c r="E13" s="231">
        <f>'Prihodi-2020.'!M89+'Prihodi-2020.'!M55</f>
        <v>9300000</v>
      </c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</row>
    <row r="14" spans="1:27" s="206" customFormat="1" ht="15.75">
      <c r="A14" s="212"/>
      <c r="B14" s="248" t="s">
        <v>264</v>
      </c>
      <c r="C14" s="219" t="s">
        <v>265</v>
      </c>
      <c r="D14" s="257" t="s">
        <v>52</v>
      </c>
      <c r="E14" s="231">
        <f>'Prihodi-2020.'!M121</f>
        <v>3810000</v>
      </c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</row>
    <row r="15" spans="1:27" s="206" customFormat="1" ht="15.75">
      <c r="A15" s="212"/>
      <c r="B15" s="248" t="s">
        <v>266</v>
      </c>
      <c r="C15" s="219" t="s">
        <v>267</v>
      </c>
      <c r="D15" s="257">
        <v>733</v>
      </c>
      <c r="E15" s="231">
        <f>'Prihodi-2020.'!M51+'Prihodi-2020.'!M127</f>
        <v>197218152.88</v>
      </c>
      <c r="F15" s="264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</row>
    <row r="16" spans="1:27" s="206" customFormat="1" ht="30">
      <c r="A16" s="212"/>
      <c r="B16" s="246"/>
      <c r="C16" s="220" t="s">
        <v>241</v>
      </c>
      <c r="D16" s="265">
        <v>8</v>
      </c>
      <c r="E16" s="266">
        <f>'Prihodi-2020.'!M98</f>
        <v>68000</v>
      </c>
      <c r="F16" s="264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</row>
    <row r="17" spans="1:27" s="206" customFormat="1" ht="30">
      <c r="A17" s="212"/>
      <c r="B17" s="243"/>
      <c r="C17" s="215" t="s">
        <v>242</v>
      </c>
      <c r="D17" s="253" t="s">
        <v>280</v>
      </c>
      <c r="E17" s="232">
        <f>E18+E30</f>
        <v>709014291.98</v>
      </c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</row>
    <row r="18" spans="1:27" s="206" customFormat="1" ht="15">
      <c r="A18" s="212"/>
      <c r="B18" s="246"/>
      <c r="C18" s="220" t="s">
        <v>243</v>
      </c>
      <c r="D18" s="258">
        <v>4</v>
      </c>
      <c r="E18" s="233">
        <f>SUM(E19:E29)</f>
        <v>509881266</v>
      </c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</row>
    <row r="19" spans="1:27" s="206" customFormat="1" ht="15.75">
      <c r="A19" s="212"/>
      <c r="B19" s="248" t="s">
        <v>254</v>
      </c>
      <c r="C19" s="219" t="s">
        <v>268</v>
      </c>
      <c r="D19" s="257">
        <v>41</v>
      </c>
      <c r="E19" s="231">
        <f>'rash.po nam.'!J5</f>
        <v>107523868</v>
      </c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</row>
    <row r="20" spans="1:27" s="206" customFormat="1" ht="15.75">
      <c r="A20" s="212"/>
      <c r="B20" s="248" t="s">
        <v>261</v>
      </c>
      <c r="C20" s="219" t="s">
        <v>269</v>
      </c>
      <c r="D20" s="257">
        <v>42</v>
      </c>
      <c r="E20" s="231">
        <f>'rash.po nam.'!J12</f>
        <v>227107566</v>
      </c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</row>
    <row r="21" spans="1:27" s="206" customFormat="1" ht="15.75">
      <c r="A21" s="212"/>
      <c r="B21" s="248" t="s">
        <v>264</v>
      </c>
      <c r="C21" s="219" t="s">
        <v>39</v>
      </c>
      <c r="D21" s="257">
        <v>43</v>
      </c>
      <c r="E21" s="231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</row>
    <row r="22" spans="1:27" s="206" customFormat="1" ht="15.75">
      <c r="A22" s="212"/>
      <c r="B22" s="248" t="s">
        <v>271</v>
      </c>
      <c r="C22" s="219" t="s">
        <v>270</v>
      </c>
      <c r="D22" s="257">
        <v>44</v>
      </c>
      <c r="E22" s="231">
        <f>'rash.po nam.'!J19</f>
        <v>71000</v>
      </c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</row>
    <row r="23" spans="1:27" s="206" customFormat="1" ht="15.75">
      <c r="A23" s="212"/>
      <c r="B23" s="248" t="s">
        <v>273</v>
      </c>
      <c r="C23" s="219" t="s">
        <v>272</v>
      </c>
      <c r="D23" s="257">
        <v>45</v>
      </c>
      <c r="E23" s="231">
        <f>'rash.po nam.'!J22</f>
        <v>35000000</v>
      </c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</row>
    <row r="24" spans="1:27" s="206" customFormat="1" ht="15.75">
      <c r="A24" s="212"/>
      <c r="B24" s="248" t="s">
        <v>273</v>
      </c>
      <c r="C24" s="219" t="s">
        <v>274</v>
      </c>
      <c r="D24" s="257">
        <v>47</v>
      </c>
      <c r="E24" s="231">
        <f>'rash.po nam.'!J28</f>
        <v>20185000</v>
      </c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</row>
    <row r="25" spans="1:27" s="206" customFormat="1" ht="15.75">
      <c r="A25" s="212"/>
      <c r="B25" s="248" t="s">
        <v>275</v>
      </c>
      <c r="C25" s="219" t="s">
        <v>276</v>
      </c>
      <c r="D25" s="257" t="s">
        <v>53</v>
      </c>
      <c r="E25" s="231">
        <f>'rash.po nam.'!J30+'rash.po nam.'!J35</f>
        <v>30694000</v>
      </c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</row>
    <row r="26" spans="1:27" s="206" customFormat="1" ht="15.75">
      <c r="A26" s="212"/>
      <c r="B26" s="248" t="s">
        <v>277</v>
      </c>
      <c r="C26" s="276" t="s">
        <v>43</v>
      </c>
      <c r="D26" s="257">
        <v>463</v>
      </c>
      <c r="E26" s="231">
        <f>'rash.po nam.'!J25</f>
        <v>63286322</v>
      </c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</row>
    <row r="27" spans="1:27" s="206" customFormat="1" ht="15.75">
      <c r="A27" s="212"/>
      <c r="B27" s="248" t="s">
        <v>278</v>
      </c>
      <c r="C27" s="722" t="s">
        <v>1304</v>
      </c>
      <c r="D27" s="257">
        <v>464</v>
      </c>
      <c r="E27" s="231">
        <f>'rash.po nam.'!J26</f>
        <v>17600897</v>
      </c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</row>
    <row r="28" spans="1:27" s="206" customFormat="1" ht="15.75">
      <c r="A28" s="212"/>
      <c r="B28" s="248" t="s">
        <v>1179</v>
      </c>
      <c r="C28" s="277" t="s">
        <v>216</v>
      </c>
      <c r="D28" s="257">
        <v>465</v>
      </c>
      <c r="E28" s="231">
        <f>'rash.po nam.'!J27</f>
        <v>8412613</v>
      </c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</row>
    <row r="29" spans="1:27" s="206" customFormat="1" ht="15.75">
      <c r="A29" s="212"/>
      <c r="B29" s="248"/>
      <c r="C29" s="219"/>
      <c r="D29" s="257"/>
      <c r="E29" s="231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</row>
    <row r="30" spans="1:27" s="206" customFormat="1" ht="30">
      <c r="A30" s="212"/>
      <c r="B30" s="246"/>
      <c r="C30" s="221" t="s">
        <v>244</v>
      </c>
      <c r="D30" s="259">
        <v>5</v>
      </c>
      <c r="E30" s="233">
        <f>'rash.po nam.'!J37</f>
        <v>199133025.98</v>
      </c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</row>
    <row r="31" spans="1:27" s="206" customFormat="1" ht="15">
      <c r="A31" s="212"/>
      <c r="B31" s="243"/>
      <c r="C31" s="222" t="s">
        <v>245</v>
      </c>
      <c r="D31" s="260"/>
      <c r="E31" s="234">
        <f>E5-E17</f>
        <v>-140205973.10000002</v>
      </c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</row>
    <row r="32" spans="1:27" s="206" customFormat="1" ht="30">
      <c r="A32" s="212"/>
      <c r="B32" s="248"/>
      <c r="C32" s="219" t="s">
        <v>246</v>
      </c>
      <c r="D32" s="257">
        <v>62</v>
      </c>
      <c r="E32" s="231">
        <f>'rash.po nam.'!J45</f>
        <v>0</v>
      </c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</row>
    <row r="33" spans="1:27" s="206" customFormat="1" ht="30">
      <c r="A33" s="212"/>
      <c r="B33" s="247"/>
      <c r="C33" s="223" t="s">
        <v>247</v>
      </c>
      <c r="D33" s="261">
        <v>92</v>
      </c>
      <c r="E33" s="231">
        <v>0</v>
      </c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</row>
    <row r="34" spans="1:27" s="206" customFormat="1" ht="30">
      <c r="A34" s="212"/>
      <c r="B34" s="243"/>
      <c r="C34" s="222" t="s">
        <v>248</v>
      </c>
      <c r="D34" s="260"/>
      <c r="E34" s="234">
        <f>E31+E33-E32</f>
        <v>-140205973.10000002</v>
      </c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</row>
    <row r="35" spans="1:27" s="206" customFormat="1" ht="16.5">
      <c r="A35" s="212"/>
      <c r="B35" s="249"/>
      <c r="C35" s="224" t="s">
        <v>249</v>
      </c>
      <c r="D35" s="262"/>
      <c r="E35" s="235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</row>
    <row r="36" spans="1:27" s="206" customFormat="1" ht="15.75">
      <c r="A36" s="212"/>
      <c r="B36" s="248"/>
      <c r="C36" s="219" t="s">
        <v>281</v>
      </c>
      <c r="D36" s="257">
        <v>91</v>
      </c>
      <c r="E36" s="231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</row>
    <row r="37" spans="1:27" s="206" customFormat="1" ht="15.75">
      <c r="A37" s="212"/>
      <c r="B37" s="248"/>
      <c r="C37" s="219" t="s">
        <v>250</v>
      </c>
      <c r="D37" s="257">
        <v>3</v>
      </c>
      <c r="E37" s="231">
        <f>'Prihodi-2020.'!M143+'Prihodi-2020.'!M145</f>
        <v>140205973.1</v>
      </c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</row>
    <row r="38" spans="1:27" s="206" customFormat="1" ht="15.75">
      <c r="A38" s="212"/>
      <c r="B38" s="248"/>
      <c r="C38" s="219" t="s">
        <v>282</v>
      </c>
      <c r="D38" s="257">
        <v>61</v>
      </c>
      <c r="E38" s="231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</row>
    <row r="39" spans="1:27" s="206" customFormat="1" ht="16.5">
      <c r="A39" s="212"/>
      <c r="B39" s="244"/>
      <c r="C39" s="225" t="s">
        <v>251</v>
      </c>
      <c r="D39" s="263"/>
      <c r="E39" s="236">
        <f>E36+E37-E38</f>
        <v>140205973.1</v>
      </c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</row>
    <row r="40" spans="2:27" s="206" customFormat="1" ht="15">
      <c r="B40" s="240"/>
      <c r="D40" s="250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</row>
    <row r="41" spans="2:27" s="206" customFormat="1" ht="15" hidden="1">
      <c r="B41" s="240"/>
      <c r="D41" s="250"/>
      <c r="E41" s="264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</row>
    <row r="42" spans="2:27" s="206" customFormat="1" ht="15" hidden="1">
      <c r="B42" s="240"/>
      <c r="D42" s="250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</row>
    <row r="43" spans="2:27" s="206" customFormat="1" ht="15" hidden="1">
      <c r="B43" s="240"/>
      <c r="C43" s="537" t="s">
        <v>1188</v>
      </c>
      <c r="D43" s="538">
        <f>E17+E32</f>
        <v>709014291.98</v>
      </c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</row>
    <row r="44" spans="2:27" s="206" customFormat="1" ht="15" hidden="1">
      <c r="B44" s="240"/>
      <c r="C44" s="537" t="s">
        <v>1189</v>
      </c>
      <c r="D44" s="538">
        <f>E5+E37</f>
        <v>709014291.98</v>
      </c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</row>
    <row r="45" spans="2:27" s="206" customFormat="1" ht="15" hidden="1">
      <c r="B45" s="240"/>
      <c r="D45" s="570">
        <f>D43-D44</f>
        <v>0</v>
      </c>
      <c r="E45" s="264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</row>
    <row r="46" spans="2:27" s="206" customFormat="1" ht="15" hidden="1">
      <c r="B46" s="240"/>
      <c r="D46" s="250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</row>
    <row r="47" spans="2:27" s="206" customFormat="1" ht="15" hidden="1">
      <c r="B47" s="240"/>
      <c r="D47" s="250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</row>
    <row r="48" spans="2:27" s="206" customFormat="1" ht="15">
      <c r="B48" s="240"/>
      <c r="D48" s="250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</row>
    <row r="49" spans="2:27" s="206" customFormat="1" ht="15">
      <c r="B49" s="240"/>
      <c r="D49" s="250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</row>
    <row r="50" spans="2:27" s="206" customFormat="1" ht="15">
      <c r="B50" s="240"/>
      <c r="D50" s="250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</row>
    <row r="51" spans="2:27" s="206" customFormat="1" ht="15">
      <c r="B51" s="240"/>
      <c r="D51" s="250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</row>
    <row r="52" spans="2:27" s="206" customFormat="1" ht="15">
      <c r="B52" s="240"/>
      <c r="D52" s="250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</row>
    <row r="53" spans="2:27" s="206" customFormat="1" ht="15">
      <c r="B53" s="240"/>
      <c r="D53" s="250"/>
      <c r="G53" s="212"/>
      <c r="H53" s="212"/>
      <c r="I53" s="212"/>
      <c r="J53" s="212"/>
      <c r="K53" s="212"/>
      <c r="L53" s="212"/>
      <c r="M53" s="212"/>
      <c r="N53" s="212"/>
      <c r="O53" s="212"/>
      <c r="P53" s="212"/>
      <c r="Q53" s="212"/>
      <c r="R53" s="212"/>
      <c r="S53" s="212"/>
      <c r="T53" s="212"/>
      <c r="U53" s="212"/>
      <c r="V53" s="212"/>
      <c r="W53" s="212"/>
      <c r="X53" s="212"/>
      <c r="Y53" s="212"/>
      <c r="Z53" s="212"/>
      <c r="AA53" s="212"/>
    </row>
    <row r="54" spans="2:27" s="206" customFormat="1" ht="15">
      <c r="B54" s="240"/>
      <c r="D54" s="250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</row>
    <row r="55" spans="2:27" s="206" customFormat="1" ht="15">
      <c r="B55" s="240"/>
      <c r="D55" s="250"/>
      <c r="G55" s="212"/>
      <c r="H55" s="212"/>
      <c r="I55" s="212"/>
      <c r="J55" s="212"/>
      <c r="K55" s="212"/>
      <c r="L55" s="212"/>
      <c r="M55" s="212"/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212"/>
      <c r="AA55" s="212"/>
    </row>
    <row r="56" spans="2:27" s="206" customFormat="1" ht="15">
      <c r="B56" s="240"/>
      <c r="D56" s="250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</row>
    <row r="57" spans="2:27" s="206" customFormat="1" ht="15">
      <c r="B57" s="240"/>
      <c r="D57" s="250"/>
      <c r="G57" s="212"/>
      <c r="H57" s="212"/>
      <c r="I57" s="212"/>
      <c r="J57" s="212"/>
      <c r="K57" s="212"/>
      <c r="L57" s="212"/>
      <c r="M57" s="212"/>
      <c r="N57" s="212"/>
      <c r="O57" s="212"/>
      <c r="P57" s="212"/>
      <c r="Q57" s="212"/>
      <c r="R57" s="212"/>
      <c r="S57" s="212"/>
      <c r="T57" s="212"/>
      <c r="U57" s="212"/>
      <c r="V57" s="212"/>
      <c r="W57" s="212"/>
      <c r="X57" s="212"/>
      <c r="Y57" s="212"/>
      <c r="Z57" s="212"/>
      <c r="AA57" s="212"/>
    </row>
    <row r="58" spans="2:27" s="206" customFormat="1" ht="15">
      <c r="B58" s="240"/>
      <c r="D58" s="250"/>
      <c r="G58" s="212"/>
      <c r="H58" s="212"/>
      <c r="I58" s="212"/>
      <c r="J58" s="212"/>
      <c r="K58" s="212"/>
      <c r="L58" s="212"/>
      <c r="M58" s="212"/>
      <c r="N58" s="212"/>
      <c r="O58" s="212"/>
      <c r="P58" s="212"/>
      <c r="Q58" s="212"/>
      <c r="R58" s="212"/>
      <c r="S58" s="212"/>
      <c r="T58" s="212"/>
      <c r="U58" s="212"/>
      <c r="V58" s="212"/>
      <c r="W58" s="212"/>
      <c r="X58" s="212"/>
      <c r="Y58" s="212"/>
      <c r="Z58" s="212"/>
      <c r="AA58" s="212"/>
    </row>
    <row r="59" spans="2:27" s="206" customFormat="1" ht="15">
      <c r="B59" s="240"/>
      <c r="D59" s="250"/>
      <c r="G59" s="212"/>
      <c r="H59" s="212"/>
      <c r="I59" s="212"/>
      <c r="J59" s="212"/>
      <c r="K59" s="212"/>
      <c r="L59" s="212"/>
      <c r="M59" s="212"/>
      <c r="N59" s="212"/>
      <c r="O59" s="212"/>
      <c r="P59" s="212"/>
      <c r="Q59" s="212"/>
      <c r="R59" s="212"/>
      <c r="S59" s="212"/>
      <c r="T59" s="212"/>
      <c r="U59" s="212"/>
      <c r="V59" s="212"/>
      <c r="W59" s="212"/>
      <c r="X59" s="212"/>
      <c r="Y59" s="212"/>
      <c r="Z59" s="212"/>
      <c r="AA59" s="212"/>
    </row>
    <row r="60" spans="2:27" s="206" customFormat="1" ht="15">
      <c r="B60" s="240"/>
      <c r="D60" s="250"/>
      <c r="G60" s="212"/>
      <c r="H60" s="212"/>
      <c r="I60" s="212"/>
      <c r="J60" s="212"/>
      <c r="K60" s="212"/>
      <c r="L60" s="212"/>
      <c r="M60" s="212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2"/>
      <c r="Y60" s="212"/>
      <c r="Z60" s="212"/>
      <c r="AA60" s="212"/>
    </row>
    <row r="61" spans="2:27" s="206" customFormat="1" ht="15">
      <c r="B61" s="240"/>
      <c r="D61" s="250"/>
      <c r="G61" s="212"/>
      <c r="H61" s="212"/>
      <c r="I61" s="212"/>
      <c r="J61" s="212"/>
      <c r="K61" s="212"/>
      <c r="L61" s="212"/>
      <c r="M61" s="212"/>
      <c r="N61" s="212"/>
      <c r="O61" s="212"/>
      <c r="P61" s="212"/>
      <c r="Q61" s="212"/>
      <c r="R61" s="212"/>
      <c r="S61" s="212"/>
      <c r="T61" s="212"/>
      <c r="U61" s="212"/>
      <c r="V61" s="212"/>
      <c r="W61" s="212"/>
      <c r="X61" s="212"/>
      <c r="Y61" s="212"/>
      <c r="Z61" s="212"/>
      <c r="AA61" s="212"/>
    </row>
    <row r="62" spans="2:27" s="206" customFormat="1" ht="15">
      <c r="B62" s="240"/>
      <c r="D62" s="250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</row>
    <row r="63" spans="2:27" s="206" customFormat="1" ht="15">
      <c r="B63" s="240"/>
      <c r="D63" s="250"/>
      <c r="G63" s="212"/>
      <c r="H63" s="212"/>
      <c r="I63" s="212"/>
      <c r="J63" s="212"/>
      <c r="K63" s="212"/>
      <c r="L63" s="212"/>
      <c r="M63" s="212"/>
      <c r="N63" s="212"/>
      <c r="O63" s="212"/>
      <c r="P63" s="212"/>
      <c r="Q63" s="212"/>
      <c r="R63" s="212"/>
      <c r="S63" s="212"/>
      <c r="T63" s="212"/>
      <c r="U63" s="212"/>
      <c r="V63" s="212"/>
      <c r="W63" s="212"/>
      <c r="X63" s="212"/>
      <c r="Y63" s="212"/>
      <c r="Z63" s="212"/>
      <c r="AA63" s="212"/>
    </row>
    <row r="64" spans="2:27" s="206" customFormat="1" ht="15">
      <c r="B64" s="240"/>
      <c r="D64" s="250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212"/>
      <c r="V64" s="212"/>
      <c r="W64" s="212"/>
      <c r="X64" s="212"/>
      <c r="Y64" s="212"/>
      <c r="Z64" s="212"/>
      <c r="AA64" s="212"/>
    </row>
    <row r="65" spans="2:27" s="206" customFormat="1" ht="15">
      <c r="B65" s="240"/>
      <c r="D65" s="250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12"/>
      <c r="W65" s="212"/>
      <c r="X65" s="212"/>
      <c r="Y65" s="212"/>
      <c r="Z65" s="212"/>
      <c r="AA65" s="212"/>
    </row>
    <row r="66" spans="2:27" s="206" customFormat="1" ht="15">
      <c r="B66" s="240"/>
      <c r="D66" s="250"/>
      <c r="G66" s="212"/>
      <c r="H66" s="212"/>
      <c r="I66" s="212"/>
      <c r="J66" s="212"/>
      <c r="K66" s="212"/>
      <c r="L66" s="212"/>
      <c r="M66" s="212"/>
      <c r="N66" s="212"/>
      <c r="O66" s="212"/>
      <c r="P66" s="212"/>
      <c r="Q66" s="212"/>
      <c r="R66" s="212"/>
      <c r="S66" s="212"/>
      <c r="T66" s="212"/>
      <c r="U66" s="212"/>
      <c r="V66" s="212"/>
      <c r="W66" s="212"/>
      <c r="X66" s="212"/>
      <c r="Y66" s="212"/>
      <c r="Z66" s="212"/>
      <c r="AA66" s="212"/>
    </row>
    <row r="67" spans="2:27" s="206" customFormat="1" ht="15">
      <c r="B67" s="240"/>
      <c r="D67" s="250"/>
      <c r="G67" s="212"/>
      <c r="H67" s="212"/>
      <c r="I67" s="212"/>
      <c r="J67" s="212"/>
      <c r="K67" s="212"/>
      <c r="L67" s="212"/>
      <c r="M67" s="212"/>
      <c r="N67" s="212"/>
      <c r="O67" s="212"/>
      <c r="P67" s="212"/>
      <c r="Q67" s="212"/>
      <c r="R67" s="212"/>
      <c r="S67" s="212"/>
      <c r="T67" s="212"/>
      <c r="U67" s="212"/>
      <c r="V67" s="212"/>
      <c r="W67" s="212"/>
      <c r="X67" s="212"/>
      <c r="Y67" s="212"/>
      <c r="Z67" s="212"/>
      <c r="AA67" s="212"/>
    </row>
    <row r="68" spans="2:27" s="206" customFormat="1" ht="15">
      <c r="B68" s="240"/>
      <c r="D68" s="250"/>
      <c r="G68" s="212"/>
      <c r="H68" s="212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212"/>
      <c r="T68" s="212"/>
      <c r="U68" s="212"/>
      <c r="V68" s="212"/>
      <c r="W68" s="212"/>
      <c r="X68" s="212"/>
      <c r="Y68" s="212"/>
      <c r="Z68" s="212"/>
      <c r="AA68" s="212"/>
    </row>
    <row r="69" spans="2:27" s="206" customFormat="1" ht="15">
      <c r="B69" s="240"/>
      <c r="D69" s="250"/>
      <c r="G69" s="212"/>
      <c r="H69" s="212"/>
      <c r="I69" s="212"/>
      <c r="J69" s="212"/>
      <c r="K69" s="212"/>
      <c r="L69" s="212"/>
      <c r="M69" s="212"/>
      <c r="N69" s="212"/>
      <c r="O69" s="212"/>
      <c r="P69" s="212"/>
      <c r="Q69" s="212"/>
      <c r="R69" s="212"/>
      <c r="S69" s="212"/>
      <c r="T69" s="212"/>
      <c r="U69" s="212"/>
      <c r="V69" s="212"/>
      <c r="W69" s="212"/>
      <c r="X69" s="212"/>
      <c r="Y69" s="212"/>
      <c r="Z69" s="212"/>
      <c r="AA69" s="212"/>
    </row>
    <row r="70" spans="2:27" s="206" customFormat="1" ht="15">
      <c r="B70" s="240"/>
      <c r="D70" s="250"/>
      <c r="G70" s="212"/>
      <c r="H70" s="212"/>
      <c r="I70" s="212"/>
      <c r="J70" s="212"/>
      <c r="K70" s="212"/>
      <c r="L70" s="212"/>
      <c r="M70" s="212"/>
      <c r="N70" s="212"/>
      <c r="O70" s="212"/>
      <c r="P70" s="212"/>
      <c r="Q70" s="212"/>
      <c r="R70" s="212"/>
      <c r="S70" s="212"/>
      <c r="T70" s="212"/>
      <c r="U70" s="212"/>
      <c r="V70" s="212"/>
      <c r="W70" s="212"/>
      <c r="X70" s="212"/>
      <c r="Y70" s="212"/>
      <c r="Z70" s="212"/>
      <c r="AA70" s="212"/>
    </row>
    <row r="71" spans="2:27" s="206" customFormat="1" ht="15">
      <c r="B71" s="240"/>
      <c r="D71" s="250"/>
      <c r="G71" s="212"/>
      <c r="H71" s="212"/>
      <c r="I71" s="212"/>
      <c r="J71" s="212"/>
      <c r="K71" s="212"/>
      <c r="L71" s="212"/>
      <c r="M71" s="212"/>
      <c r="N71" s="212"/>
      <c r="O71" s="212"/>
      <c r="P71" s="212"/>
      <c r="Q71" s="212"/>
      <c r="R71" s="212"/>
      <c r="S71" s="212"/>
      <c r="T71" s="212"/>
      <c r="U71" s="212"/>
      <c r="V71" s="212"/>
      <c r="W71" s="212"/>
      <c r="X71" s="212"/>
      <c r="Y71" s="212"/>
      <c r="Z71" s="212"/>
      <c r="AA71" s="212"/>
    </row>
    <row r="72" spans="2:27" s="206" customFormat="1" ht="15">
      <c r="B72" s="240"/>
      <c r="D72" s="250"/>
      <c r="G72" s="212"/>
      <c r="H72" s="212"/>
      <c r="I72" s="212"/>
      <c r="J72" s="212"/>
      <c r="K72" s="212"/>
      <c r="L72" s="212"/>
      <c r="M72" s="212"/>
      <c r="N72" s="212"/>
      <c r="O72" s="212"/>
      <c r="P72" s="212"/>
      <c r="Q72" s="212"/>
      <c r="R72" s="212"/>
      <c r="S72" s="212"/>
      <c r="T72" s="212"/>
      <c r="U72" s="212"/>
      <c r="V72" s="212"/>
      <c r="W72" s="212"/>
      <c r="X72" s="212"/>
      <c r="Y72" s="212"/>
      <c r="Z72" s="212"/>
      <c r="AA72" s="212"/>
    </row>
    <row r="73" spans="2:27" s="206" customFormat="1" ht="15">
      <c r="B73" s="240"/>
      <c r="D73" s="250"/>
      <c r="G73" s="212"/>
      <c r="H73" s="212"/>
      <c r="I73" s="212"/>
      <c r="J73" s="212"/>
      <c r="K73" s="212"/>
      <c r="L73" s="212"/>
      <c r="M73" s="212"/>
      <c r="N73" s="212"/>
      <c r="O73" s="212"/>
      <c r="P73" s="212"/>
      <c r="Q73" s="212"/>
      <c r="R73" s="212"/>
      <c r="S73" s="212"/>
      <c r="T73" s="212"/>
      <c r="U73" s="212"/>
      <c r="V73" s="212"/>
      <c r="W73" s="212"/>
      <c r="X73" s="212"/>
      <c r="Y73" s="212"/>
      <c r="Z73" s="212"/>
      <c r="AA73" s="212"/>
    </row>
    <row r="74" spans="2:27" s="206" customFormat="1" ht="15">
      <c r="B74" s="240"/>
      <c r="D74" s="250"/>
      <c r="G74" s="212"/>
      <c r="H74" s="212"/>
      <c r="I74" s="212"/>
      <c r="J74" s="212"/>
      <c r="K74" s="212"/>
      <c r="L74" s="212"/>
      <c r="M74" s="212"/>
      <c r="N74" s="212"/>
      <c r="O74" s="212"/>
      <c r="P74" s="212"/>
      <c r="Q74" s="212"/>
      <c r="R74" s="212"/>
      <c r="S74" s="212"/>
      <c r="T74" s="212"/>
      <c r="U74" s="212"/>
      <c r="V74" s="212"/>
      <c r="W74" s="212"/>
      <c r="X74" s="212"/>
      <c r="Y74" s="212"/>
      <c r="Z74" s="212"/>
      <c r="AA74" s="212"/>
    </row>
    <row r="75" spans="2:27" s="206" customFormat="1" ht="15">
      <c r="B75" s="240"/>
      <c r="D75" s="250"/>
      <c r="G75" s="212"/>
      <c r="H75" s="212"/>
      <c r="I75" s="212"/>
      <c r="J75" s="212"/>
      <c r="K75" s="212"/>
      <c r="L75" s="212"/>
      <c r="M75" s="212"/>
      <c r="N75" s="212"/>
      <c r="O75" s="212"/>
      <c r="P75" s="212"/>
      <c r="Q75" s="212"/>
      <c r="R75" s="212"/>
      <c r="S75" s="212"/>
      <c r="T75" s="212"/>
      <c r="U75" s="212"/>
      <c r="V75" s="212"/>
      <c r="W75" s="212"/>
      <c r="X75" s="212"/>
      <c r="Y75" s="212"/>
      <c r="Z75" s="212"/>
      <c r="AA75" s="212"/>
    </row>
    <row r="76" spans="2:27" s="206" customFormat="1" ht="15">
      <c r="B76" s="240"/>
      <c r="D76" s="250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12"/>
      <c r="Z76" s="212"/>
      <c r="AA76" s="212"/>
    </row>
    <row r="77" spans="2:27" s="206" customFormat="1" ht="15">
      <c r="B77" s="240"/>
      <c r="D77" s="250"/>
      <c r="G77" s="212"/>
      <c r="H77" s="212"/>
      <c r="I77" s="212"/>
      <c r="J77" s="212"/>
      <c r="K77" s="212"/>
      <c r="L77" s="212"/>
      <c r="M77" s="212"/>
      <c r="N77" s="212"/>
      <c r="O77" s="212"/>
      <c r="P77" s="212"/>
      <c r="Q77" s="212"/>
      <c r="R77" s="212"/>
      <c r="S77" s="212"/>
      <c r="T77" s="212"/>
      <c r="U77" s="212"/>
      <c r="V77" s="212"/>
      <c r="W77" s="212"/>
      <c r="X77" s="212"/>
      <c r="Y77" s="212"/>
      <c r="Z77" s="212"/>
      <c r="AA77" s="212"/>
    </row>
    <row r="78" spans="2:27" s="206" customFormat="1" ht="15">
      <c r="B78" s="240"/>
      <c r="D78" s="250"/>
      <c r="G78" s="212"/>
      <c r="H78" s="212"/>
      <c r="I78" s="212"/>
      <c r="J78" s="212"/>
      <c r="K78" s="212"/>
      <c r="L78" s="212"/>
      <c r="M78" s="212"/>
      <c r="N78" s="212"/>
      <c r="O78" s="212"/>
      <c r="P78" s="212"/>
      <c r="Q78" s="212"/>
      <c r="R78" s="212"/>
      <c r="S78" s="212"/>
      <c r="T78" s="212"/>
      <c r="U78" s="212"/>
      <c r="V78" s="212"/>
      <c r="W78" s="212"/>
      <c r="X78" s="212"/>
      <c r="Y78" s="212"/>
      <c r="Z78" s="212"/>
      <c r="AA78" s="212"/>
    </row>
    <row r="79" spans="2:27" s="206" customFormat="1" ht="15">
      <c r="B79" s="240"/>
      <c r="D79" s="250"/>
      <c r="G79" s="212"/>
      <c r="H79" s="212"/>
      <c r="I79" s="212"/>
      <c r="J79" s="212"/>
      <c r="K79" s="212"/>
      <c r="L79" s="212"/>
      <c r="M79" s="212"/>
      <c r="N79" s="212"/>
      <c r="O79" s="212"/>
      <c r="P79" s="212"/>
      <c r="Q79" s="212"/>
      <c r="R79" s="212"/>
      <c r="S79" s="212"/>
      <c r="T79" s="212"/>
      <c r="U79" s="212"/>
      <c r="V79" s="212"/>
      <c r="W79" s="212"/>
      <c r="X79" s="212"/>
      <c r="Y79" s="212"/>
      <c r="Z79" s="212"/>
      <c r="AA79" s="212"/>
    </row>
    <row r="80" spans="2:27" s="206" customFormat="1" ht="15">
      <c r="B80" s="240"/>
      <c r="D80" s="250"/>
      <c r="G80" s="212"/>
      <c r="H80" s="212"/>
      <c r="I80" s="212"/>
      <c r="J80" s="212"/>
      <c r="K80" s="212"/>
      <c r="L80" s="212"/>
      <c r="M80" s="212"/>
      <c r="N80" s="212"/>
      <c r="O80" s="212"/>
      <c r="P80" s="212"/>
      <c r="Q80" s="212"/>
      <c r="R80" s="212"/>
      <c r="S80" s="212"/>
      <c r="T80" s="212"/>
      <c r="U80" s="212"/>
      <c r="V80" s="212"/>
      <c r="W80" s="212"/>
      <c r="X80" s="212"/>
      <c r="Y80" s="212"/>
      <c r="Z80" s="212"/>
      <c r="AA80" s="212"/>
    </row>
    <row r="81" spans="2:27" s="206" customFormat="1" ht="15">
      <c r="B81" s="240"/>
      <c r="D81" s="250"/>
      <c r="G81" s="212"/>
      <c r="H81" s="212"/>
      <c r="I81" s="212"/>
      <c r="J81" s="212"/>
      <c r="K81" s="212"/>
      <c r="L81" s="212"/>
      <c r="M81" s="212"/>
      <c r="N81" s="212"/>
      <c r="O81" s="212"/>
      <c r="P81" s="212"/>
      <c r="Q81" s="212"/>
      <c r="R81" s="212"/>
      <c r="S81" s="212"/>
      <c r="T81" s="212"/>
      <c r="U81" s="212"/>
      <c r="V81" s="212"/>
      <c r="W81" s="212"/>
      <c r="X81" s="212"/>
      <c r="Y81" s="212"/>
      <c r="Z81" s="212"/>
      <c r="AA81" s="212"/>
    </row>
    <row r="82" spans="2:27" s="206" customFormat="1" ht="15">
      <c r="B82" s="240"/>
      <c r="D82" s="250"/>
      <c r="G82" s="212"/>
      <c r="H82" s="212"/>
      <c r="I82" s="212"/>
      <c r="J82" s="212"/>
      <c r="K82" s="212"/>
      <c r="L82" s="212"/>
      <c r="M82" s="212"/>
      <c r="N82" s="212"/>
      <c r="O82" s="212"/>
      <c r="P82" s="212"/>
      <c r="Q82" s="212"/>
      <c r="R82" s="212"/>
      <c r="S82" s="212"/>
      <c r="T82" s="212"/>
      <c r="U82" s="212"/>
      <c r="V82" s="212"/>
      <c r="W82" s="212"/>
      <c r="X82" s="212"/>
      <c r="Y82" s="212"/>
      <c r="Z82" s="212"/>
      <c r="AA82" s="212"/>
    </row>
    <row r="83" spans="2:27" s="206" customFormat="1" ht="15">
      <c r="B83" s="240"/>
      <c r="D83" s="250"/>
      <c r="G83" s="212"/>
      <c r="H83" s="212"/>
      <c r="I83" s="212"/>
      <c r="J83" s="212"/>
      <c r="K83" s="212"/>
      <c r="L83" s="212"/>
      <c r="M83" s="212"/>
      <c r="N83" s="212"/>
      <c r="O83" s="212"/>
      <c r="P83" s="212"/>
      <c r="Q83" s="212"/>
      <c r="R83" s="212"/>
      <c r="S83" s="212"/>
      <c r="T83" s="212"/>
      <c r="U83" s="212"/>
      <c r="V83" s="212"/>
      <c r="W83" s="212"/>
      <c r="X83" s="212"/>
      <c r="Y83" s="212"/>
      <c r="Z83" s="212"/>
      <c r="AA83" s="212"/>
    </row>
    <row r="84" spans="2:27" s="206" customFormat="1" ht="15">
      <c r="B84" s="240"/>
      <c r="D84" s="250"/>
      <c r="G84" s="212"/>
      <c r="H84" s="212"/>
      <c r="I84" s="212"/>
      <c r="J84" s="212"/>
      <c r="K84" s="212"/>
      <c r="L84" s="212"/>
      <c r="M84" s="212"/>
      <c r="N84" s="212"/>
      <c r="O84" s="212"/>
      <c r="P84" s="212"/>
      <c r="Q84" s="212"/>
      <c r="R84" s="212"/>
      <c r="S84" s="212"/>
      <c r="T84" s="212"/>
      <c r="U84" s="212"/>
      <c r="V84" s="212"/>
      <c r="W84" s="212"/>
      <c r="X84" s="212"/>
      <c r="Y84" s="212"/>
      <c r="Z84" s="212"/>
      <c r="AA84" s="212"/>
    </row>
    <row r="85" spans="2:27" s="206" customFormat="1" ht="15">
      <c r="B85" s="240"/>
      <c r="D85" s="250"/>
      <c r="G85" s="212"/>
      <c r="H85" s="212"/>
      <c r="I85" s="212"/>
      <c r="J85" s="212"/>
      <c r="K85" s="212"/>
      <c r="L85" s="212"/>
      <c r="M85" s="212"/>
      <c r="N85" s="212"/>
      <c r="O85" s="212"/>
      <c r="P85" s="212"/>
      <c r="Q85" s="212"/>
      <c r="R85" s="212"/>
      <c r="S85" s="212"/>
      <c r="T85" s="212"/>
      <c r="U85" s="212"/>
      <c r="V85" s="212"/>
      <c r="W85" s="212"/>
      <c r="X85" s="212"/>
      <c r="Y85" s="212"/>
      <c r="Z85" s="212"/>
      <c r="AA85" s="212"/>
    </row>
    <row r="86" spans="2:27" s="206" customFormat="1" ht="15">
      <c r="B86" s="240"/>
      <c r="D86" s="250"/>
      <c r="G86" s="212"/>
      <c r="H86" s="212"/>
      <c r="I86" s="212"/>
      <c r="J86" s="212"/>
      <c r="K86" s="212"/>
      <c r="L86" s="212"/>
      <c r="M86" s="212"/>
      <c r="N86" s="212"/>
      <c r="O86" s="212"/>
      <c r="P86" s="212"/>
      <c r="Q86" s="212"/>
      <c r="R86" s="212"/>
      <c r="S86" s="212"/>
      <c r="T86" s="212"/>
      <c r="U86" s="212"/>
      <c r="V86" s="212"/>
      <c r="W86" s="212"/>
      <c r="X86" s="212"/>
      <c r="Y86" s="212"/>
      <c r="Z86" s="212"/>
      <c r="AA86" s="212"/>
    </row>
    <row r="87" spans="2:27" s="206" customFormat="1" ht="15">
      <c r="B87" s="240"/>
      <c r="D87" s="250"/>
      <c r="G87" s="212"/>
      <c r="H87" s="212"/>
      <c r="I87" s="212"/>
      <c r="J87" s="212"/>
      <c r="K87" s="212"/>
      <c r="L87" s="212"/>
      <c r="M87" s="212"/>
      <c r="N87" s="212"/>
      <c r="O87" s="212"/>
      <c r="P87" s="212"/>
      <c r="Q87" s="212"/>
      <c r="R87" s="212"/>
      <c r="S87" s="212"/>
      <c r="T87" s="212"/>
      <c r="U87" s="212"/>
      <c r="V87" s="212"/>
      <c r="W87" s="212"/>
      <c r="X87" s="212"/>
      <c r="Y87" s="212"/>
      <c r="Z87" s="212"/>
      <c r="AA87" s="212"/>
    </row>
    <row r="88" spans="2:27" s="206" customFormat="1" ht="15">
      <c r="B88" s="240"/>
      <c r="D88" s="250"/>
      <c r="G88" s="212"/>
      <c r="H88" s="212"/>
      <c r="I88" s="212"/>
      <c r="J88" s="212"/>
      <c r="K88" s="212"/>
      <c r="L88" s="212"/>
      <c r="M88" s="212"/>
      <c r="N88" s="212"/>
      <c r="O88" s="212"/>
      <c r="P88" s="212"/>
      <c r="Q88" s="212"/>
      <c r="R88" s="212"/>
      <c r="S88" s="212"/>
      <c r="T88" s="212"/>
      <c r="U88" s="212"/>
      <c r="V88" s="212"/>
      <c r="W88" s="212"/>
      <c r="X88" s="212"/>
      <c r="Y88" s="212"/>
      <c r="Z88" s="212"/>
      <c r="AA88" s="212"/>
    </row>
    <row r="89" spans="2:27" s="206" customFormat="1" ht="15">
      <c r="B89" s="240"/>
      <c r="D89" s="250"/>
      <c r="G89" s="212"/>
      <c r="H89" s="212"/>
      <c r="I89" s="212"/>
      <c r="J89" s="212"/>
      <c r="K89" s="212"/>
      <c r="L89" s="212"/>
      <c r="M89" s="212"/>
      <c r="N89" s="212"/>
      <c r="O89" s="212"/>
      <c r="P89" s="212"/>
      <c r="Q89" s="212"/>
      <c r="R89" s="212"/>
      <c r="S89" s="212"/>
      <c r="T89" s="212"/>
      <c r="U89" s="212"/>
      <c r="V89" s="212"/>
      <c r="W89" s="212"/>
      <c r="X89" s="212"/>
      <c r="Y89" s="212"/>
      <c r="Z89" s="212"/>
      <c r="AA89" s="212"/>
    </row>
    <row r="90" spans="2:27" s="206" customFormat="1" ht="15">
      <c r="B90" s="240"/>
      <c r="D90" s="250"/>
      <c r="G90" s="212"/>
      <c r="H90" s="212"/>
      <c r="I90" s="212"/>
      <c r="J90" s="212"/>
      <c r="K90" s="212"/>
      <c r="L90" s="212"/>
      <c r="M90" s="212"/>
      <c r="N90" s="212"/>
      <c r="O90" s="212"/>
      <c r="P90" s="212"/>
      <c r="Q90" s="212"/>
      <c r="R90" s="212"/>
      <c r="S90" s="212"/>
      <c r="T90" s="212"/>
      <c r="U90" s="212"/>
      <c r="V90" s="212"/>
      <c r="W90" s="212"/>
      <c r="X90" s="212"/>
      <c r="Y90" s="212"/>
      <c r="Z90" s="212"/>
      <c r="AA90" s="212"/>
    </row>
    <row r="91" spans="2:27" s="206" customFormat="1" ht="15">
      <c r="B91" s="240"/>
      <c r="D91" s="250"/>
      <c r="G91" s="212"/>
      <c r="H91" s="212"/>
      <c r="I91" s="212"/>
      <c r="J91" s="212"/>
      <c r="K91" s="212"/>
      <c r="L91" s="212"/>
      <c r="M91" s="212"/>
      <c r="N91" s="212"/>
      <c r="O91" s="212"/>
      <c r="P91" s="212"/>
      <c r="Q91" s="212"/>
      <c r="R91" s="212"/>
      <c r="S91" s="212"/>
      <c r="T91" s="212"/>
      <c r="U91" s="212"/>
      <c r="V91" s="212"/>
      <c r="W91" s="212"/>
      <c r="X91" s="212"/>
      <c r="Y91" s="212"/>
      <c r="Z91" s="212"/>
      <c r="AA91" s="212"/>
    </row>
    <row r="92" spans="2:27" s="206" customFormat="1" ht="15">
      <c r="B92" s="240"/>
      <c r="D92" s="250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</row>
    <row r="93" spans="2:27" s="206" customFormat="1" ht="15">
      <c r="B93" s="240"/>
      <c r="D93" s="250"/>
      <c r="G93" s="212"/>
      <c r="H93" s="212"/>
      <c r="I93" s="212"/>
      <c r="J93" s="212"/>
      <c r="K93" s="212"/>
      <c r="L93" s="212"/>
      <c r="M93" s="212"/>
      <c r="N93" s="212"/>
      <c r="O93" s="212"/>
      <c r="P93" s="212"/>
      <c r="Q93" s="212"/>
      <c r="R93" s="212"/>
      <c r="S93" s="212"/>
      <c r="T93" s="212"/>
      <c r="U93" s="212"/>
      <c r="V93" s="212"/>
      <c r="W93" s="212"/>
      <c r="X93" s="212"/>
      <c r="Y93" s="212"/>
      <c r="Z93" s="212"/>
      <c r="AA93" s="212"/>
    </row>
    <row r="94" spans="2:27" s="206" customFormat="1" ht="15">
      <c r="B94" s="240"/>
      <c r="D94" s="250"/>
      <c r="G94" s="212"/>
      <c r="H94" s="212"/>
      <c r="I94" s="212"/>
      <c r="J94" s="212"/>
      <c r="K94" s="212"/>
      <c r="L94" s="212"/>
      <c r="M94" s="212"/>
      <c r="N94" s="212"/>
      <c r="O94" s="212"/>
      <c r="P94" s="212"/>
      <c r="Q94" s="212"/>
      <c r="R94" s="212"/>
      <c r="S94" s="212"/>
      <c r="T94" s="212"/>
      <c r="U94" s="212"/>
      <c r="V94" s="212"/>
      <c r="W94" s="212"/>
      <c r="X94" s="212"/>
      <c r="Y94" s="212"/>
      <c r="Z94" s="212"/>
      <c r="AA94" s="212"/>
    </row>
    <row r="95" spans="2:27" s="206" customFormat="1" ht="15">
      <c r="B95" s="240"/>
      <c r="D95" s="250"/>
      <c r="G95" s="212"/>
      <c r="H95" s="212"/>
      <c r="I95" s="212"/>
      <c r="J95" s="212"/>
      <c r="K95" s="212"/>
      <c r="L95" s="212"/>
      <c r="M95" s="212"/>
      <c r="N95" s="212"/>
      <c r="O95" s="212"/>
      <c r="P95" s="212"/>
      <c r="Q95" s="212"/>
      <c r="R95" s="212"/>
      <c r="S95" s="212"/>
      <c r="T95" s="212"/>
      <c r="U95" s="212"/>
      <c r="V95" s="212"/>
      <c r="W95" s="212"/>
      <c r="X95" s="212"/>
      <c r="Y95" s="212"/>
      <c r="Z95" s="212"/>
      <c r="AA95" s="212"/>
    </row>
    <row r="96" spans="2:27" s="206" customFormat="1" ht="15">
      <c r="B96" s="240"/>
      <c r="D96" s="250"/>
      <c r="G96" s="212"/>
      <c r="H96" s="212"/>
      <c r="I96" s="212"/>
      <c r="J96" s="212"/>
      <c r="K96" s="212"/>
      <c r="L96" s="212"/>
      <c r="M96" s="212"/>
      <c r="N96" s="212"/>
      <c r="O96" s="212"/>
      <c r="P96" s="212"/>
      <c r="Q96" s="212"/>
      <c r="R96" s="212"/>
      <c r="S96" s="212"/>
      <c r="T96" s="212"/>
      <c r="U96" s="212"/>
      <c r="V96" s="212"/>
      <c r="W96" s="212"/>
      <c r="X96" s="212"/>
      <c r="Y96" s="212"/>
      <c r="Z96" s="212"/>
      <c r="AA96" s="212"/>
    </row>
    <row r="97" spans="2:27" s="206" customFormat="1" ht="15">
      <c r="B97" s="240"/>
      <c r="D97" s="250"/>
      <c r="G97" s="212"/>
      <c r="H97" s="212"/>
      <c r="I97" s="212"/>
      <c r="J97" s="212"/>
      <c r="K97" s="212"/>
      <c r="L97" s="212"/>
      <c r="M97" s="212"/>
      <c r="N97" s="212"/>
      <c r="O97" s="212"/>
      <c r="P97" s="212"/>
      <c r="Q97" s="212"/>
      <c r="R97" s="212"/>
      <c r="S97" s="212"/>
      <c r="T97" s="212"/>
      <c r="U97" s="212"/>
      <c r="V97" s="212"/>
      <c r="W97" s="212"/>
      <c r="X97" s="212"/>
      <c r="Y97" s="212"/>
      <c r="Z97" s="212"/>
      <c r="AA97" s="212"/>
    </row>
    <row r="98" spans="2:27" s="206" customFormat="1" ht="15">
      <c r="B98" s="240"/>
      <c r="D98" s="250"/>
      <c r="G98" s="212"/>
      <c r="H98" s="212"/>
      <c r="I98" s="212"/>
      <c r="J98" s="212"/>
      <c r="K98" s="212"/>
      <c r="L98" s="212"/>
      <c r="M98" s="212"/>
      <c r="N98" s="212"/>
      <c r="O98" s="212"/>
      <c r="P98" s="212"/>
      <c r="Q98" s="212"/>
      <c r="R98" s="212"/>
      <c r="S98" s="212"/>
      <c r="T98" s="212"/>
      <c r="U98" s="212"/>
      <c r="V98" s="212"/>
      <c r="W98" s="212"/>
      <c r="X98" s="212"/>
      <c r="Y98" s="212"/>
      <c r="Z98" s="212"/>
      <c r="AA98" s="212"/>
    </row>
    <row r="99" spans="2:27" s="206" customFormat="1" ht="15">
      <c r="B99" s="240"/>
      <c r="D99" s="250"/>
      <c r="G99" s="212"/>
      <c r="H99" s="212"/>
      <c r="I99" s="212"/>
      <c r="J99" s="212"/>
      <c r="K99" s="212"/>
      <c r="L99" s="212"/>
      <c r="M99" s="212"/>
      <c r="N99" s="212"/>
      <c r="O99" s="212"/>
      <c r="P99" s="212"/>
      <c r="Q99" s="212"/>
      <c r="R99" s="212"/>
      <c r="S99" s="212"/>
      <c r="T99" s="212"/>
      <c r="U99" s="212"/>
      <c r="V99" s="212"/>
      <c r="W99" s="212"/>
      <c r="X99" s="212"/>
      <c r="Y99" s="212"/>
      <c r="Z99" s="212"/>
      <c r="AA99" s="212"/>
    </row>
    <row r="100" spans="2:27" s="206" customFormat="1" ht="15">
      <c r="B100" s="240"/>
      <c r="D100" s="250"/>
      <c r="G100" s="212"/>
      <c r="H100" s="212"/>
      <c r="I100" s="212"/>
      <c r="J100" s="212"/>
      <c r="K100" s="212"/>
      <c r="L100" s="212"/>
      <c r="M100" s="212"/>
      <c r="N100" s="212"/>
      <c r="O100" s="212"/>
      <c r="P100" s="212"/>
      <c r="Q100" s="212"/>
      <c r="R100" s="212"/>
      <c r="S100" s="212"/>
      <c r="T100" s="212"/>
      <c r="U100" s="212"/>
      <c r="V100" s="212"/>
      <c r="W100" s="212"/>
      <c r="X100" s="212"/>
      <c r="Y100" s="212"/>
      <c r="Z100" s="212"/>
      <c r="AA100" s="212"/>
    </row>
    <row r="101" spans="2:27" s="206" customFormat="1" ht="15">
      <c r="B101" s="240"/>
      <c r="D101" s="250"/>
      <c r="G101" s="212"/>
      <c r="H101" s="212"/>
      <c r="I101" s="212"/>
      <c r="J101" s="212"/>
      <c r="K101" s="212"/>
      <c r="L101" s="212"/>
      <c r="M101" s="212"/>
      <c r="N101" s="212"/>
      <c r="O101" s="212"/>
      <c r="P101" s="212"/>
      <c r="Q101" s="212"/>
      <c r="R101" s="212"/>
      <c r="S101" s="212"/>
      <c r="T101" s="212"/>
      <c r="U101" s="212"/>
      <c r="V101" s="212"/>
      <c r="W101" s="212"/>
      <c r="X101" s="212"/>
      <c r="Y101" s="212"/>
      <c r="Z101" s="212"/>
      <c r="AA101" s="212"/>
    </row>
    <row r="102" spans="2:27" s="206" customFormat="1" ht="15">
      <c r="B102" s="240"/>
      <c r="D102" s="250"/>
      <c r="G102" s="212"/>
      <c r="H102" s="212"/>
      <c r="I102" s="212"/>
      <c r="J102" s="212"/>
      <c r="K102" s="212"/>
      <c r="L102" s="212"/>
      <c r="M102" s="212"/>
      <c r="N102" s="212"/>
      <c r="O102" s="212"/>
      <c r="P102" s="212"/>
      <c r="Q102" s="212"/>
      <c r="R102" s="212"/>
      <c r="S102" s="212"/>
      <c r="T102" s="212"/>
      <c r="U102" s="212"/>
      <c r="V102" s="212"/>
      <c r="W102" s="212"/>
      <c r="X102" s="212"/>
      <c r="Y102" s="212"/>
      <c r="Z102" s="212"/>
      <c r="AA102" s="212"/>
    </row>
    <row r="103" spans="2:27" s="206" customFormat="1" ht="15">
      <c r="B103" s="240"/>
      <c r="D103" s="250"/>
      <c r="G103" s="212"/>
      <c r="H103" s="212"/>
      <c r="I103" s="212"/>
      <c r="J103" s="212"/>
      <c r="K103" s="212"/>
      <c r="L103" s="212"/>
      <c r="M103" s="212"/>
      <c r="N103" s="212"/>
      <c r="O103" s="212"/>
      <c r="P103" s="212"/>
      <c r="Q103" s="212"/>
      <c r="R103" s="212"/>
      <c r="S103" s="212"/>
      <c r="T103" s="212"/>
      <c r="U103" s="212"/>
      <c r="V103" s="212"/>
      <c r="W103" s="212"/>
      <c r="X103" s="212"/>
      <c r="Y103" s="212"/>
      <c r="Z103" s="212"/>
      <c r="AA103" s="212"/>
    </row>
    <row r="104" spans="2:27" s="206" customFormat="1" ht="15">
      <c r="B104" s="240"/>
      <c r="D104" s="250"/>
      <c r="G104" s="212"/>
      <c r="H104" s="212"/>
      <c r="I104" s="212"/>
      <c r="J104" s="212"/>
      <c r="K104" s="212"/>
      <c r="L104" s="212"/>
      <c r="M104" s="212"/>
      <c r="N104" s="212"/>
      <c r="O104" s="212"/>
      <c r="P104" s="212"/>
      <c r="Q104" s="212"/>
      <c r="R104" s="212"/>
      <c r="S104" s="212"/>
      <c r="T104" s="212"/>
      <c r="U104" s="212"/>
      <c r="V104" s="212"/>
      <c r="W104" s="212"/>
      <c r="X104" s="212"/>
      <c r="Y104" s="212"/>
      <c r="Z104" s="212"/>
      <c r="AA104" s="212"/>
    </row>
    <row r="105" spans="2:27" s="206" customFormat="1" ht="15">
      <c r="B105" s="240"/>
      <c r="D105" s="250"/>
      <c r="G105" s="212"/>
      <c r="H105" s="212"/>
      <c r="I105" s="212"/>
      <c r="J105" s="212"/>
      <c r="K105" s="212"/>
      <c r="L105" s="212"/>
      <c r="M105" s="212"/>
      <c r="N105" s="212"/>
      <c r="O105" s="212"/>
      <c r="P105" s="212"/>
      <c r="Q105" s="212"/>
      <c r="R105" s="212"/>
      <c r="S105" s="212"/>
      <c r="T105" s="212"/>
      <c r="U105" s="212"/>
      <c r="V105" s="212"/>
      <c r="W105" s="212"/>
      <c r="X105" s="212"/>
      <c r="Y105" s="212"/>
      <c r="Z105" s="212"/>
      <c r="AA105" s="212"/>
    </row>
    <row r="106" spans="2:27" s="206" customFormat="1" ht="15">
      <c r="B106" s="240"/>
      <c r="D106" s="250"/>
      <c r="G106" s="212"/>
      <c r="H106" s="212"/>
      <c r="I106" s="212"/>
      <c r="J106" s="212"/>
      <c r="K106" s="212"/>
      <c r="L106" s="212"/>
      <c r="M106" s="212"/>
      <c r="N106" s="212"/>
      <c r="O106" s="212"/>
      <c r="P106" s="212"/>
      <c r="Q106" s="212"/>
      <c r="R106" s="212"/>
      <c r="S106" s="212"/>
      <c r="T106" s="212"/>
      <c r="U106" s="212"/>
      <c r="V106" s="212"/>
      <c r="W106" s="212"/>
      <c r="X106" s="212"/>
      <c r="Y106" s="212"/>
      <c r="Z106" s="212"/>
      <c r="AA106" s="212"/>
    </row>
    <row r="107" spans="2:27" s="206" customFormat="1" ht="15">
      <c r="B107" s="240"/>
      <c r="D107" s="250"/>
      <c r="G107" s="212"/>
      <c r="H107" s="212"/>
      <c r="I107" s="212"/>
      <c r="J107" s="212"/>
      <c r="K107" s="212"/>
      <c r="L107" s="212"/>
      <c r="M107" s="212"/>
      <c r="N107" s="212"/>
      <c r="O107" s="212"/>
      <c r="P107" s="212"/>
      <c r="Q107" s="212"/>
      <c r="R107" s="212"/>
      <c r="S107" s="212"/>
      <c r="T107" s="212"/>
      <c r="U107" s="212"/>
      <c r="V107" s="212"/>
      <c r="W107" s="212"/>
      <c r="X107" s="212"/>
      <c r="Y107" s="212"/>
      <c r="Z107" s="212"/>
      <c r="AA107" s="212"/>
    </row>
    <row r="108" spans="2:27" s="206" customFormat="1" ht="15">
      <c r="B108" s="240"/>
      <c r="D108" s="250"/>
      <c r="G108" s="212"/>
      <c r="H108" s="212"/>
      <c r="I108" s="212"/>
      <c r="J108" s="212"/>
      <c r="K108" s="212"/>
      <c r="L108" s="212"/>
      <c r="M108" s="212"/>
      <c r="N108" s="212"/>
      <c r="O108" s="212"/>
      <c r="P108" s="212"/>
      <c r="Q108" s="212"/>
      <c r="R108" s="212"/>
      <c r="S108" s="212"/>
      <c r="T108" s="212"/>
      <c r="U108" s="212"/>
      <c r="V108" s="212"/>
      <c r="W108" s="212"/>
      <c r="X108" s="212"/>
      <c r="Y108" s="212"/>
      <c r="Z108" s="212"/>
      <c r="AA108" s="212"/>
    </row>
    <row r="109" spans="2:27" s="206" customFormat="1" ht="15">
      <c r="B109" s="240"/>
      <c r="D109" s="250"/>
      <c r="G109" s="212"/>
      <c r="H109" s="212"/>
      <c r="I109" s="212"/>
      <c r="J109" s="212"/>
      <c r="K109" s="212"/>
      <c r="L109" s="212"/>
      <c r="M109" s="212"/>
      <c r="N109" s="212"/>
      <c r="O109" s="212"/>
      <c r="P109" s="212"/>
      <c r="Q109" s="212"/>
      <c r="R109" s="212"/>
      <c r="S109" s="212"/>
      <c r="T109" s="212"/>
      <c r="U109" s="212"/>
      <c r="V109" s="212"/>
      <c r="W109" s="212"/>
      <c r="X109" s="212"/>
      <c r="Y109" s="212"/>
      <c r="Z109" s="212"/>
      <c r="AA109" s="212"/>
    </row>
    <row r="110" spans="2:27" s="206" customFormat="1" ht="15">
      <c r="B110" s="240"/>
      <c r="D110" s="250"/>
      <c r="G110" s="212"/>
      <c r="H110" s="212"/>
      <c r="I110" s="212"/>
      <c r="J110" s="212"/>
      <c r="K110" s="212"/>
      <c r="L110" s="212"/>
      <c r="M110" s="212"/>
      <c r="N110" s="212"/>
      <c r="O110" s="212"/>
      <c r="P110" s="212"/>
      <c r="Q110" s="212"/>
      <c r="R110" s="212"/>
      <c r="S110" s="212"/>
      <c r="T110" s="212"/>
      <c r="U110" s="212"/>
      <c r="V110" s="212"/>
      <c r="W110" s="212"/>
      <c r="X110" s="212"/>
      <c r="Y110" s="212"/>
      <c r="Z110" s="212"/>
      <c r="AA110" s="212"/>
    </row>
    <row r="111" spans="2:27" s="206" customFormat="1" ht="15">
      <c r="B111" s="240"/>
      <c r="D111" s="250"/>
      <c r="G111" s="212"/>
      <c r="H111" s="212"/>
      <c r="I111" s="212"/>
      <c r="J111" s="212"/>
      <c r="K111" s="212"/>
      <c r="L111" s="212"/>
      <c r="M111" s="212"/>
      <c r="N111" s="212"/>
      <c r="O111" s="212"/>
      <c r="P111" s="212"/>
      <c r="Q111" s="212"/>
      <c r="R111" s="212"/>
      <c r="S111" s="212"/>
      <c r="T111" s="212"/>
      <c r="U111" s="212"/>
      <c r="V111" s="212"/>
      <c r="W111" s="212"/>
      <c r="X111" s="212"/>
      <c r="Y111" s="212"/>
      <c r="Z111" s="212"/>
      <c r="AA111" s="212"/>
    </row>
    <row r="112" spans="2:27" s="206" customFormat="1" ht="15">
      <c r="B112" s="240"/>
      <c r="D112" s="250"/>
      <c r="G112" s="212"/>
      <c r="H112" s="212"/>
      <c r="I112" s="212"/>
      <c r="J112" s="212"/>
      <c r="K112" s="212"/>
      <c r="L112" s="212"/>
      <c r="M112" s="212"/>
      <c r="N112" s="212"/>
      <c r="O112" s="212"/>
      <c r="P112" s="212"/>
      <c r="Q112" s="212"/>
      <c r="R112" s="212"/>
      <c r="S112" s="212"/>
      <c r="T112" s="212"/>
      <c r="U112" s="212"/>
      <c r="V112" s="212"/>
      <c r="W112" s="212"/>
      <c r="X112" s="212"/>
      <c r="Y112" s="212"/>
      <c r="Z112" s="212"/>
      <c r="AA112" s="212"/>
    </row>
    <row r="113" spans="2:27" s="206" customFormat="1" ht="15">
      <c r="B113" s="240"/>
      <c r="D113" s="250"/>
      <c r="G113" s="212"/>
      <c r="H113" s="212"/>
      <c r="I113" s="212"/>
      <c r="J113" s="212"/>
      <c r="K113" s="212"/>
      <c r="L113" s="212"/>
      <c r="M113" s="212"/>
      <c r="N113" s="212"/>
      <c r="O113" s="212"/>
      <c r="P113" s="212"/>
      <c r="Q113" s="212"/>
      <c r="R113" s="212"/>
      <c r="S113" s="212"/>
      <c r="T113" s="212"/>
      <c r="U113" s="212"/>
      <c r="V113" s="212"/>
      <c r="W113" s="212"/>
      <c r="X113" s="212"/>
      <c r="Y113" s="212"/>
      <c r="Z113" s="212"/>
      <c r="AA113" s="212"/>
    </row>
    <row r="114" spans="2:27" s="206" customFormat="1" ht="15">
      <c r="B114" s="240"/>
      <c r="D114" s="250"/>
      <c r="G114" s="212"/>
      <c r="H114" s="212"/>
      <c r="I114" s="212"/>
      <c r="J114" s="212"/>
      <c r="K114" s="212"/>
      <c r="L114" s="212"/>
      <c r="M114" s="212"/>
      <c r="N114" s="212"/>
      <c r="O114" s="212"/>
      <c r="P114" s="212"/>
      <c r="Q114" s="212"/>
      <c r="R114" s="212"/>
      <c r="S114" s="212"/>
      <c r="T114" s="212"/>
      <c r="U114" s="212"/>
      <c r="V114" s="212"/>
      <c r="W114" s="212"/>
      <c r="X114" s="212"/>
      <c r="Y114" s="212"/>
      <c r="Z114" s="212"/>
      <c r="AA114" s="212"/>
    </row>
    <row r="115" spans="2:27" s="206" customFormat="1" ht="15">
      <c r="B115" s="240"/>
      <c r="D115" s="250"/>
      <c r="G115" s="212"/>
      <c r="H115" s="212"/>
      <c r="I115" s="212"/>
      <c r="J115" s="212"/>
      <c r="K115" s="212"/>
      <c r="L115" s="212"/>
      <c r="M115" s="212"/>
      <c r="N115" s="212"/>
      <c r="O115" s="212"/>
      <c r="P115" s="212"/>
      <c r="Q115" s="212"/>
      <c r="R115" s="212"/>
      <c r="S115" s="212"/>
      <c r="T115" s="212"/>
      <c r="U115" s="212"/>
      <c r="V115" s="212"/>
      <c r="W115" s="212"/>
      <c r="X115" s="212"/>
      <c r="Y115" s="212"/>
      <c r="Z115" s="212"/>
      <c r="AA115" s="212"/>
    </row>
    <row r="116" spans="2:27" s="206" customFormat="1" ht="15">
      <c r="B116" s="240"/>
      <c r="D116" s="250"/>
      <c r="G116" s="212"/>
      <c r="H116" s="212"/>
      <c r="I116" s="212"/>
      <c r="J116" s="212"/>
      <c r="K116" s="212"/>
      <c r="L116" s="212"/>
      <c r="M116" s="212"/>
      <c r="N116" s="212"/>
      <c r="O116" s="212"/>
      <c r="P116" s="212"/>
      <c r="Q116" s="212"/>
      <c r="R116" s="212"/>
      <c r="S116" s="212"/>
      <c r="T116" s="212"/>
      <c r="U116" s="212"/>
      <c r="V116" s="212"/>
      <c r="W116" s="212"/>
      <c r="X116" s="212"/>
      <c r="Y116" s="212"/>
      <c r="Z116" s="212"/>
      <c r="AA116" s="212"/>
    </row>
    <row r="117" spans="2:27" s="206" customFormat="1" ht="15">
      <c r="B117" s="240"/>
      <c r="D117" s="250"/>
      <c r="G117" s="212"/>
      <c r="H117" s="212"/>
      <c r="I117" s="212"/>
      <c r="J117" s="212"/>
      <c r="K117" s="212"/>
      <c r="L117" s="212"/>
      <c r="M117" s="212"/>
      <c r="N117" s="212"/>
      <c r="O117" s="212"/>
      <c r="P117" s="212"/>
      <c r="Q117" s="212"/>
      <c r="R117" s="212"/>
      <c r="S117" s="212"/>
      <c r="T117" s="212"/>
      <c r="U117" s="212"/>
      <c r="V117" s="212"/>
      <c r="W117" s="212"/>
      <c r="X117" s="212"/>
      <c r="Y117" s="212"/>
      <c r="Z117" s="212"/>
      <c r="AA117" s="212"/>
    </row>
    <row r="118" spans="2:27" s="206" customFormat="1" ht="15">
      <c r="B118" s="240"/>
      <c r="D118" s="250"/>
      <c r="G118" s="212"/>
      <c r="H118" s="212"/>
      <c r="I118" s="212"/>
      <c r="J118" s="212"/>
      <c r="K118" s="212"/>
      <c r="L118" s="212"/>
      <c r="M118" s="212"/>
      <c r="N118" s="212"/>
      <c r="O118" s="212"/>
      <c r="P118" s="212"/>
      <c r="Q118" s="212"/>
      <c r="R118" s="212"/>
      <c r="S118" s="212"/>
      <c r="T118" s="212"/>
      <c r="U118" s="212"/>
      <c r="V118" s="212"/>
      <c r="W118" s="212"/>
      <c r="X118" s="212"/>
      <c r="Y118" s="212"/>
      <c r="Z118" s="212"/>
      <c r="AA118" s="212"/>
    </row>
    <row r="119" spans="2:27" s="206" customFormat="1" ht="15">
      <c r="B119" s="240"/>
      <c r="D119" s="250"/>
      <c r="G119" s="212"/>
      <c r="H119" s="212"/>
      <c r="I119" s="212"/>
      <c r="J119" s="212"/>
      <c r="K119" s="212"/>
      <c r="L119" s="212"/>
      <c r="M119" s="212"/>
      <c r="N119" s="212"/>
      <c r="O119" s="212"/>
      <c r="P119" s="212"/>
      <c r="Q119" s="212"/>
      <c r="R119" s="212"/>
      <c r="S119" s="212"/>
      <c r="T119" s="212"/>
      <c r="U119" s="212"/>
      <c r="V119" s="212"/>
      <c r="W119" s="212"/>
      <c r="X119" s="212"/>
      <c r="Y119" s="212"/>
      <c r="Z119" s="212"/>
      <c r="AA119" s="212"/>
    </row>
    <row r="120" spans="2:27" s="206" customFormat="1" ht="15">
      <c r="B120" s="240"/>
      <c r="D120" s="250"/>
      <c r="G120" s="212"/>
      <c r="H120" s="212"/>
      <c r="I120" s="212"/>
      <c r="J120" s="212"/>
      <c r="K120" s="212"/>
      <c r="L120" s="212"/>
      <c r="M120" s="212"/>
      <c r="N120" s="212"/>
      <c r="O120" s="212"/>
      <c r="P120" s="212"/>
      <c r="Q120" s="212"/>
      <c r="R120" s="212"/>
      <c r="S120" s="212"/>
      <c r="T120" s="212"/>
      <c r="U120" s="212"/>
      <c r="V120" s="212"/>
      <c r="W120" s="212"/>
      <c r="X120" s="212"/>
      <c r="Y120" s="212"/>
      <c r="Z120" s="212"/>
      <c r="AA120" s="212"/>
    </row>
    <row r="121" spans="2:27" s="206" customFormat="1" ht="15">
      <c r="B121" s="240"/>
      <c r="D121" s="250"/>
      <c r="G121" s="212"/>
      <c r="H121" s="212"/>
      <c r="I121" s="212"/>
      <c r="J121" s="212"/>
      <c r="K121" s="212"/>
      <c r="L121" s="212"/>
      <c r="M121" s="212"/>
      <c r="N121" s="212"/>
      <c r="O121" s="212"/>
      <c r="P121" s="212"/>
      <c r="Q121" s="212"/>
      <c r="R121" s="212"/>
      <c r="S121" s="212"/>
      <c r="T121" s="212"/>
      <c r="U121" s="212"/>
      <c r="V121" s="212"/>
      <c r="W121" s="212"/>
      <c r="X121" s="212"/>
      <c r="Y121" s="212"/>
      <c r="Z121" s="212"/>
      <c r="AA121" s="212"/>
    </row>
    <row r="122" spans="2:27" s="206" customFormat="1" ht="15">
      <c r="B122" s="240"/>
      <c r="D122" s="250"/>
      <c r="G122" s="212"/>
      <c r="H122" s="212"/>
      <c r="I122" s="212"/>
      <c r="J122" s="212"/>
      <c r="K122" s="212"/>
      <c r="L122" s="212"/>
      <c r="M122" s="212"/>
      <c r="N122" s="212"/>
      <c r="O122" s="212"/>
      <c r="P122" s="212"/>
      <c r="Q122" s="212"/>
      <c r="R122" s="212"/>
      <c r="S122" s="212"/>
      <c r="T122" s="212"/>
      <c r="U122" s="212"/>
      <c r="V122" s="212"/>
      <c r="W122" s="212"/>
      <c r="X122" s="212"/>
      <c r="Y122" s="212"/>
      <c r="Z122" s="212"/>
      <c r="AA122" s="212"/>
    </row>
    <row r="123" spans="2:27" s="206" customFormat="1" ht="15">
      <c r="B123" s="240"/>
      <c r="D123" s="250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</row>
    <row r="124" spans="2:27" s="206" customFormat="1" ht="15">
      <c r="B124" s="240"/>
      <c r="D124" s="250"/>
      <c r="G124" s="212"/>
      <c r="H124" s="212"/>
      <c r="I124" s="212"/>
      <c r="J124" s="212"/>
      <c r="K124" s="212"/>
      <c r="L124" s="212"/>
      <c r="M124" s="212"/>
      <c r="N124" s="212"/>
      <c r="O124" s="212"/>
      <c r="P124" s="212"/>
      <c r="Q124" s="212"/>
      <c r="R124" s="212"/>
      <c r="S124" s="212"/>
      <c r="T124" s="212"/>
      <c r="U124" s="212"/>
      <c r="V124" s="212"/>
      <c r="W124" s="212"/>
      <c r="X124" s="212"/>
      <c r="Y124" s="212"/>
      <c r="Z124" s="212"/>
      <c r="AA124" s="212"/>
    </row>
    <row r="125" spans="2:27" s="206" customFormat="1" ht="15">
      <c r="B125" s="240"/>
      <c r="D125" s="250"/>
      <c r="G125" s="212"/>
      <c r="H125" s="212"/>
      <c r="I125" s="212"/>
      <c r="J125" s="212"/>
      <c r="K125" s="212"/>
      <c r="L125" s="212"/>
      <c r="M125" s="212"/>
      <c r="N125" s="212"/>
      <c r="O125" s="212"/>
      <c r="P125" s="212"/>
      <c r="Q125" s="212"/>
      <c r="R125" s="212"/>
      <c r="S125" s="212"/>
      <c r="T125" s="212"/>
      <c r="U125" s="212"/>
      <c r="V125" s="212"/>
      <c r="W125" s="212"/>
      <c r="X125" s="212"/>
      <c r="Y125" s="212"/>
      <c r="Z125" s="212"/>
      <c r="AA125" s="212"/>
    </row>
    <row r="126" spans="2:27" s="206" customFormat="1" ht="15">
      <c r="B126" s="240"/>
      <c r="D126" s="250"/>
      <c r="G126" s="212"/>
      <c r="H126" s="212"/>
      <c r="I126" s="212"/>
      <c r="J126" s="212"/>
      <c r="K126" s="212"/>
      <c r="L126" s="212"/>
      <c r="M126" s="212"/>
      <c r="N126" s="212"/>
      <c r="O126" s="212"/>
      <c r="P126" s="212"/>
      <c r="Q126" s="212"/>
      <c r="R126" s="212"/>
      <c r="S126" s="212"/>
      <c r="T126" s="212"/>
      <c r="U126" s="212"/>
      <c r="V126" s="212"/>
      <c r="W126" s="212"/>
      <c r="X126" s="212"/>
      <c r="Y126" s="212"/>
      <c r="Z126" s="212"/>
      <c r="AA126" s="212"/>
    </row>
    <row r="127" spans="2:27" s="206" customFormat="1" ht="15">
      <c r="B127" s="240"/>
      <c r="D127" s="250"/>
      <c r="G127" s="212"/>
      <c r="H127" s="212"/>
      <c r="I127" s="212"/>
      <c r="J127" s="212"/>
      <c r="K127" s="212"/>
      <c r="L127" s="212"/>
      <c r="M127" s="212"/>
      <c r="N127" s="212"/>
      <c r="O127" s="212"/>
      <c r="P127" s="212"/>
      <c r="Q127" s="212"/>
      <c r="R127" s="212"/>
      <c r="S127" s="212"/>
      <c r="T127" s="212"/>
      <c r="U127" s="212"/>
      <c r="V127" s="212"/>
      <c r="W127" s="212"/>
      <c r="X127" s="212"/>
      <c r="Y127" s="212"/>
      <c r="Z127" s="212"/>
      <c r="AA127" s="212"/>
    </row>
    <row r="128" spans="2:27" s="206" customFormat="1" ht="15">
      <c r="B128" s="240"/>
      <c r="D128" s="250"/>
      <c r="G128" s="212"/>
      <c r="H128" s="212"/>
      <c r="I128" s="212"/>
      <c r="J128" s="212"/>
      <c r="K128" s="212"/>
      <c r="L128" s="212"/>
      <c r="M128" s="212"/>
      <c r="N128" s="212"/>
      <c r="O128" s="212"/>
      <c r="P128" s="212"/>
      <c r="Q128" s="212"/>
      <c r="R128" s="212"/>
      <c r="S128" s="212"/>
      <c r="T128" s="212"/>
      <c r="U128" s="212"/>
      <c r="V128" s="212"/>
      <c r="W128" s="212"/>
      <c r="X128" s="212"/>
      <c r="Y128" s="212"/>
      <c r="Z128" s="212"/>
      <c r="AA128" s="212"/>
    </row>
    <row r="129" spans="2:27" s="206" customFormat="1" ht="15">
      <c r="B129" s="240"/>
      <c r="D129" s="250"/>
      <c r="G129" s="212"/>
      <c r="H129" s="212"/>
      <c r="I129" s="212"/>
      <c r="J129" s="212"/>
      <c r="K129" s="212"/>
      <c r="L129" s="212"/>
      <c r="M129" s="212"/>
      <c r="N129" s="212"/>
      <c r="O129" s="212"/>
      <c r="P129" s="212"/>
      <c r="Q129" s="212"/>
      <c r="R129" s="212"/>
      <c r="S129" s="212"/>
      <c r="T129" s="212"/>
      <c r="U129" s="212"/>
      <c r="V129" s="212"/>
      <c r="W129" s="212"/>
      <c r="X129" s="212"/>
      <c r="Y129" s="212"/>
      <c r="Z129" s="212"/>
      <c r="AA129" s="212"/>
    </row>
    <row r="130" spans="2:5" ht="15">
      <c r="B130" s="240"/>
      <c r="C130" s="206"/>
      <c r="E130" s="206"/>
    </row>
  </sheetData>
  <sheetProtection/>
  <printOptions/>
  <pageMargins left="0.17" right="0.75" top="0.54" bottom="0.18" header="0.22" footer="0.17"/>
  <pageSetup horizontalDpi="600" verticalDpi="600" orientation="portrait" paperSize="9" scale="85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32"/>
  <sheetViews>
    <sheetView zoomScale="96" zoomScaleNormal="96" zoomScalePageLayoutView="0" workbookViewId="0" topLeftCell="A1">
      <selection activeCell="A1" sqref="A1:H612"/>
    </sheetView>
  </sheetViews>
  <sheetFormatPr defaultColWidth="9.140625" defaultRowHeight="12.75"/>
  <cols>
    <col min="1" max="1" width="8.7109375" style="295" customWidth="1"/>
    <col min="2" max="2" width="11.7109375" style="295" customWidth="1"/>
    <col min="3" max="3" width="48.140625" style="327" customWidth="1"/>
    <col min="4" max="4" width="13.8515625" style="331" customWidth="1"/>
    <col min="5" max="5" width="10.28125" style="695" customWidth="1"/>
    <col min="6" max="6" width="12.7109375" style="295" customWidth="1"/>
    <col min="7" max="7" width="13.57421875" style="331" customWidth="1"/>
    <col min="8" max="8" width="20.140625" style="295" customWidth="1"/>
    <col min="9" max="16384" width="9.140625" style="295" customWidth="1"/>
  </cols>
  <sheetData>
    <row r="1" spans="1:8" ht="15" customHeight="1">
      <c r="A1" s="1424" t="s">
        <v>829</v>
      </c>
      <c r="B1" s="1424"/>
      <c r="C1" s="1424"/>
      <c r="D1" s="1424"/>
      <c r="E1" s="1424"/>
      <c r="F1" s="1424"/>
      <c r="G1" s="1424"/>
      <c r="H1" s="1424"/>
    </row>
    <row r="2" spans="1:8" ht="15" customHeight="1">
      <c r="A2" s="1425" t="s">
        <v>828</v>
      </c>
      <c r="B2" s="1426"/>
      <c r="C2" s="1423" t="s">
        <v>875</v>
      </c>
      <c r="D2" s="1427" t="s">
        <v>15</v>
      </c>
      <c r="E2" s="1428" t="s">
        <v>11</v>
      </c>
      <c r="F2" s="1423" t="s">
        <v>12</v>
      </c>
      <c r="G2" s="1427" t="s">
        <v>13</v>
      </c>
      <c r="H2" s="1423" t="s">
        <v>877</v>
      </c>
    </row>
    <row r="3" spans="1:8" ht="42" customHeight="1">
      <c r="A3" s="1081" t="s">
        <v>830</v>
      </c>
      <c r="B3" s="1081" t="s">
        <v>874</v>
      </c>
      <c r="C3" s="1423"/>
      <c r="D3" s="1427"/>
      <c r="E3" s="1428"/>
      <c r="F3" s="1423"/>
      <c r="G3" s="1427"/>
      <c r="H3" s="1423"/>
    </row>
    <row r="4" spans="1:8" ht="12.75">
      <c r="A4" s="1082" t="s">
        <v>14</v>
      </c>
      <c r="B4" s="1082" t="s">
        <v>831</v>
      </c>
      <c r="C4" s="1082" t="s">
        <v>336</v>
      </c>
      <c r="D4" s="1083">
        <v>4</v>
      </c>
      <c r="E4" s="1084"/>
      <c r="F4" s="1085">
        <v>6</v>
      </c>
      <c r="G4" s="1083">
        <v>7</v>
      </c>
      <c r="H4" s="1086">
        <v>8</v>
      </c>
    </row>
    <row r="5" spans="1:8" ht="12.75">
      <c r="A5" s="1087" t="s">
        <v>307</v>
      </c>
      <c r="B5" s="1088"/>
      <c r="C5" s="1089" t="s">
        <v>1260</v>
      </c>
      <c r="D5" s="1090">
        <f>SUM(D6:D16)</f>
        <v>28500000</v>
      </c>
      <c r="E5" s="1091">
        <f>D5/452948288</f>
        <v>0.06292109001193531</v>
      </c>
      <c r="F5" s="1090">
        <f>SUM(F6:F16)</f>
        <v>13000000</v>
      </c>
      <c r="G5" s="1090">
        <f>D5+F5</f>
        <v>41500000</v>
      </c>
      <c r="H5" s="1092"/>
    </row>
    <row r="6" spans="1:8" ht="12.75">
      <c r="A6" s="1086"/>
      <c r="B6" s="1086" t="s">
        <v>323</v>
      </c>
      <c r="C6" s="1093" t="s">
        <v>1261</v>
      </c>
      <c r="D6" s="1094">
        <f>'Rashodi-2020'!N324</f>
        <v>11000000</v>
      </c>
      <c r="E6" s="1095">
        <f>D6/D612</f>
        <v>0.02083958220835901</v>
      </c>
      <c r="F6" s="1094">
        <f>'Rashodi-2020'!U324</f>
        <v>3000000</v>
      </c>
      <c r="G6" s="1094">
        <f aca="true" t="shared" si="0" ref="G6:G68">D6+F6</f>
        <v>14000000</v>
      </c>
      <c r="H6" s="1096" t="s">
        <v>1173</v>
      </c>
    </row>
    <row r="7" spans="1:8" ht="12.75">
      <c r="A7" s="1086"/>
      <c r="B7" s="1086" t="s">
        <v>879</v>
      </c>
      <c r="C7" s="1093" t="s">
        <v>1297</v>
      </c>
      <c r="D7" s="1094">
        <f>'Rashodi-2020'!N327</f>
        <v>17500000</v>
      </c>
      <c r="E7" s="1095">
        <f aca="true" t="shared" si="1" ref="E7:E69">D7/452948288</f>
        <v>0.03863575702487256</v>
      </c>
      <c r="F7" s="1097">
        <f>'Rashodi-2020'!U327</f>
        <v>10000000</v>
      </c>
      <c r="G7" s="1094">
        <f t="shared" si="0"/>
        <v>27500000</v>
      </c>
      <c r="H7" s="1096" t="s">
        <v>1173</v>
      </c>
    </row>
    <row r="8" spans="1:8" ht="12.75" hidden="1">
      <c r="A8" s="1086"/>
      <c r="B8" s="1086" t="s">
        <v>880</v>
      </c>
      <c r="C8" s="1093">
        <f>_xlfn.IFERROR(VLOOKUP(B8,'[1]ПО КОРИСНИЦИМА'!$C$3:$J$11609,5,FALSE),"")</f>
      </c>
      <c r="D8" s="1098"/>
      <c r="E8" s="1099">
        <f t="shared" si="1"/>
        <v>0</v>
      </c>
      <c r="F8" s="1100"/>
      <c r="G8" s="1094">
        <f t="shared" si="0"/>
        <v>0</v>
      </c>
      <c r="H8" s="1096"/>
    </row>
    <row r="9" spans="1:8" ht="12.75" hidden="1">
      <c r="A9" s="1086"/>
      <c r="B9" s="1086" t="s">
        <v>881</v>
      </c>
      <c r="C9" s="1093">
        <f>_xlfn.IFERROR(VLOOKUP(B9,'[1]ПО КОРИСНИЦИМА'!$C$3:$J$11609,5,FALSE),"")</f>
      </c>
      <c r="D9" s="1098"/>
      <c r="E9" s="1099">
        <f t="shared" si="1"/>
        <v>0</v>
      </c>
      <c r="F9" s="1100"/>
      <c r="G9" s="1094">
        <f t="shared" si="0"/>
        <v>0</v>
      </c>
      <c r="H9" s="1096"/>
    </row>
    <row r="10" spans="1:8" ht="12.75" hidden="1">
      <c r="A10" s="1086"/>
      <c r="B10" s="1086" t="s">
        <v>882</v>
      </c>
      <c r="C10" s="1093">
        <f>_xlfn.IFERROR(VLOOKUP(B10,'[1]ПО КОРИСНИЦИМА'!$C$3:$J$11609,5,FALSE),"")</f>
      </c>
      <c r="D10" s="1098"/>
      <c r="E10" s="1099">
        <f t="shared" si="1"/>
        <v>0</v>
      </c>
      <c r="F10" s="1100"/>
      <c r="G10" s="1094">
        <f t="shared" si="0"/>
        <v>0</v>
      </c>
      <c r="H10" s="1096"/>
    </row>
    <row r="11" spans="1:8" ht="12.75" hidden="1">
      <c r="A11" s="1086"/>
      <c r="B11" s="1086" t="s">
        <v>883</v>
      </c>
      <c r="C11" s="1093">
        <f>_xlfn.IFERROR(VLOOKUP(B11,'[1]ПО КОРИСНИЦИМА'!$C$3:$J$11609,5,FALSE),"")</f>
      </c>
      <c r="D11" s="1098"/>
      <c r="E11" s="1099">
        <f t="shared" si="1"/>
        <v>0</v>
      </c>
      <c r="F11" s="1100"/>
      <c r="G11" s="1094">
        <f t="shared" si="0"/>
        <v>0</v>
      </c>
      <c r="H11" s="1096"/>
    </row>
    <row r="12" spans="1:8" ht="12.75" hidden="1">
      <c r="A12" s="1086"/>
      <c r="B12" s="1086" t="s">
        <v>884</v>
      </c>
      <c r="C12" s="1093">
        <f>_xlfn.IFERROR(VLOOKUP(B12,'[1]ПО КОРИСНИЦИМА'!$C$3:$J$11609,5,FALSE),"")</f>
      </c>
      <c r="D12" s="1098"/>
      <c r="E12" s="1099">
        <f t="shared" si="1"/>
        <v>0</v>
      </c>
      <c r="F12" s="1100"/>
      <c r="G12" s="1094">
        <f t="shared" si="0"/>
        <v>0</v>
      </c>
      <c r="H12" s="1096"/>
    </row>
    <row r="13" spans="1:8" ht="12.75" hidden="1">
      <c r="A13" s="1086"/>
      <c r="B13" s="1086" t="s">
        <v>885</v>
      </c>
      <c r="C13" s="1093">
        <f>_xlfn.IFERROR(VLOOKUP(B13,'[1]ПО КОРИСНИЦИМА'!$C$3:$J$11609,5,FALSE),"")</f>
      </c>
      <c r="D13" s="1098"/>
      <c r="E13" s="1099">
        <f t="shared" si="1"/>
        <v>0</v>
      </c>
      <c r="F13" s="1100"/>
      <c r="G13" s="1094">
        <f t="shared" si="0"/>
        <v>0</v>
      </c>
      <c r="H13" s="1096"/>
    </row>
    <row r="14" spans="1:8" ht="12.75" hidden="1">
      <c r="A14" s="1086"/>
      <c r="B14" s="1086" t="s">
        <v>886</v>
      </c>
      <c r="C14" s="1093">
        <f>_xlfn.IFERROR(VLOOKUP(B14,'[1]ПО КОРИСНИЦИМА'!$C$3:$J$11609,5,FALSE),"")</f>
      </c>
      <c r="D14" s="1098"/>
      <c r="E14" s="1099">
        <f t="shared" si="1"/>
        <v>0</v>
      </c>
      <c r="F14" s="1100"/>
      <c r="G14" s="1094">
        <f t="shared" si="0"/>
        <v>0</v>
      </c>
      <c r="H14" s="1096"/>
    </row>
    <row r="15" spans="1:8" ht="12.75" hidden="1">
      <c r="A15" s="1086"/>
      <c r="B15" s="1086" t="s">
        <v>887</v>
      </c>
      <c r="C15" s="1093">
        <f>_xlfn.IFERROR(VLOOKUP(B15,'[1]ПО КОРИСНИЦИМА'!$C$3:$J$11609,5,FALSE),"")</f>
      </c>
      <c r="D15" s="1098"/>
      <c r="E15" s="1099">
        <f t="shared" si="1"/>
        <v>0</v>
      </c>
      <c r="F15" s="1100"/>
      <c r="G15" s="1094">
        <f t="shared" si="0"/>
        <v>0</v>
      </c>
      <c r="H15" s="1096"/>
    </row>
    <row r="16" spans="1:8" ht="12.75" hidden="1">
      <c r="A16" s="1086"/>
      <c r="B16" s="1086" t="s">
        <v>888</v>
      </c>
      <c r="C16" s="1093">
        <f>_xlfn.IFERROR(VLOOKUP(B16,'[1]ПО КОРИСНИЦИМА'!$C$3:$J$11609,5,FALSE),"")</f>
      </c>
      <c r="D16" s="1098"/>
      <c r="E16" s="1099">
        <f t="shared" si="1"/>
        <v>0</v>
      </c>
      <c r="F16" s="1100"/>
      <c r="G16" s="1094">
        <f t="shared" si="0"/>
        <v>0</v>
      </c>
      <c r="H16" s="1096"/>
    </row>
    <row r="17" spans="1:8" ht="12.75" hidden="1">
      <c r="A17" s="1086"/>
      <c r="B17" s="1086" t="s">
        <v>889</v>
      </c>
      <c r="C17" s="1093">
        <f>_xlfn.IFERROR(VLOOKUP(B17,'[1]ПО КОРИСНИЦИМА'!$C$3:$J$11609,5,FALSE),"")</f>
      </c>
      <c r="D17" s="1098" t="e">
        <f>SUMIF('[1]ПО КОРИСНИЦИМА'!$G$3:$G$11609,"Свега за пројекат 1101-П10:",'[1]ПО КОРИСНИЦИМА'!$H$3:$H$11609)</f>
        <v>#VALUE!</v>
      </c>
      <c r="E17" s="1099" t="e">
        <f t="shared" si="1"/>
        <v>#VALUE!</v>
      </c>
      <c r="F17" s="1100" t="e">
        <f>SUMIF('[1]ПО КОРИСНИЦИМА'!$G$3:$G$11609,"Свега за пројекат 1101-П10:",'[1]ПО КОРИСНИЦИМА'!$I$3:$I$11609)</f>
        <v>#VALUE!</v>
      </c>
      <c r="G17" s="1094" t="e">
        <f t="shared" si="0"/>
        <v>#VALUE!</v>
      </c>
      <c r="H17" s="1096"/>
    </row>
    <row r="18" spans="1:8" ht="12.75" hidden="1">
      <c r="A18" s="1086"/>
      <c r="B18" s="1086" t="s">
        <v>890</v>
      </c>
      <c r="C18" s="1093">
        <f>_xlfn.IFERROR(VLOOKUP(B18,'[1]ПО КОРИСНИЦИМА'!$C$3:$J$11609,5,FALSE),"")</f>
      </c>
      <c r="D18" s="1098" t="e">
        <f>SUMIF('[1]ПО КОРИСНИЦИМА'!$G$3:$G$11609,"Свега за пројекат 1101-П11:",'[1]ПО КОРИСНИЦИМА'!$H$3:$H$11609)</f>
        <v>#VALUE!</v>
      </c>
      <c r="E18" s="1099" t="e">
        <f t="shared" si="1"/>
        <v>#VALUE!</v>
      </c>
      <c r="F18" s="1100" t="e">
        <f>SUMIF('[1]ПО КОРИСНИЦИМА'!$G$3:$G$11609,"Свега за пројекат 1101-П11:",'[1]ПО КОРИСНИЦИМА'!$I$3:$I$11609)</f>
        <v>#VALUE!</v>
      </c>
      <c r="G18" s="1094" t="e">
        <f t="shared" si="0"/>
        <v>#VALUE!</v>
      </c>
      <c r="H18" s="1096"/>
    </row>
    <row r="19" spans="1:8" ht="12.75" hidden="1">
      <c r="A19" s="1086"/>
      <c r="B19" s="1086" t="s">
        <v>891</v>
      </c>
      <c r="C19" s="1093">
        <f>_xlfn.IFERROR(VLOOKUP(B19,'[1]ПО КОРИСНИЦИМА'!$C$3:$J$11609,5,FALSE),"")</f>
      </c>
      <c r="D19" s="1098" t="e">
        <f>SUMIF('[1]ПО КОРИСНИЦИМА'!$G$3:$G$11609,"Свега за пројекат 1101-П12:",'[1]ПО КОРИСНИЦИМА'!$H$3:$H$11609)</f>
        <v>#VALUE!</v>
      </c>
      <c r="E19" s="1099" t="e">
        <f t="shared" si="1"/>
        <v>#VALUE!</v>
      </c>
      <c r="F19" s="1100" t="e">
        <f>SUMIF('[1]ПО КОРИСНИЦИМА'!$G$3:$G$11609,"Свега за пројекат 1101-П12:",'[1]ПО КОРИСНИЦИМА'!$I$3:$I$11609)</f>
        <v>#VALUE!</v>
      </c>
      <c r="G19" s="1094" t="e">
        <f t="shared" si="0"/>
        <v>#VALUE!</v>
      </c>
      <c r="H19" s="1096"/>
    </row>
    <row r="20" spans="1:8" ht="12.75" hidden="1">
      <c r="A20" s="1086"/>
      <c r="B20" s="1086" t="s">
        <v>892</v>
      </c>
      <c r="C20" s="1093">
        <f>_xlfn.IFERROR(VLOOKUP(B20,'[1]ПО КОРИСНИЦИМА'!$C$3:$J$11609,5,FALSE),"")</f>
      </c>
      <c r="D20" s="1098" t="e">
        <f>SUMIF('[1]ПО КОРИСНИЦИМА'!$G$3:$G$11609,"Свега за пројекат 1101-П13:",'[1]ПО КОРИСНИЦИМА'!$H$3:$H$11609)</f>
        <v>#VALUE!</v>
      </c>
      <c r="E20" s="1099" t="e">
        <f t="shared" si="1"/>
        <v>#VALUE!</v>
      </c>
      <c r="F20" s="1100" t="e">
        <f>SUMIF('[1]ПО КОРИСНИЦИМА'!$G$3:$G$11609,"Свега за пројекат 1101-П13:",'[1]ПО КОРИСНИЦИМА'!$I$3:$I$11609)</f>
        <v>#VALUE!</v>
      </c>
      <c r="G20" s="1094" t="e">
        <f t="shared" si="0"/>
        <v>#VALUE!</v>
      </c>
      <c r="H20" s="1096"/>
    </row>
    <row r="21" spans="1:8" ht="12.75" hidden="1">
      <c r="A21" s="1086"/>
      <c r="B21" s="1086" t="s">
        <v>893</v>
      </c>
      <c r="C21" s="1093">
        <f>_xlfn.IFERROR(VLOOKUP(B21,'[1]ПО КОРИСНИЦИМА'!$C$3:$J$11609,5,FALSE),"")</f>
      </c>
      <c r="D21" s="1098" t="e">
        <f>SUMIF('[1]ПО КОРИСНИЦИМА'!$G$3:$G$11609,"Свега за пројекат 1101-П14:",'[1]ПО КОРИСНИЦИМА'!$H$3:$H$11609)</f>
        <v>#VALUE!</v>
      </c>
      <c r="E21" s="1099" t="e">
        <f t="shared" si="1"/>
        <v>#VALUE!</v>
      </c>
      <c r="F21" s="1100" t="e">
        <f>SUMIF('[1]ПО КОРИСНИЦИМА'!$G$3:$G$11609,"Свега за пројекат 1101-П14:",'[1]ПО КОРИСНИЦИМА'!$I$3:$I$11609)</f>
        <v>#VALUE!</v>
      </c>
      <c r="G21" s="1094" t="e">
        <f t="shared" si="0"/>
        <v>#VALUE!</v>
      </c>
      <c r="H21" s="1096"/>
    </row>
    <row r="22" spans="1:8" ht="12.75" hidden="1">
      <c r="A22" s="1086"/>
      <c r="B22" s="1086" t="s">
        <v>894</v>
      </c>
      <c r="C22" s="1093">
        <f>_xlfn.IFERROR(VLOOKUP(B22,'[1]ПО КОРИСНИЦИМА'!$C$3:$J$11609,5,FALSE),"")</f>
      </c>
      <c r="D22" s="1098" t="e">
        <f>SUMIF('[1]ПО КОРИСНИЦИМА'!$G$3:$G$11609,"Свега за пројекат 1101-П15:",'[1]ПО КОРИСНИЦИМА'!$H$3:$H$11609)</f>
        <v>#VALUE!</v>
      </c>
      <c r="E22" s="1099" t="e">
        <f t="shared" si="1"/>
        <v>#VALUE!</v>
      </c>
      <c r="F22" s="1100" t="e">
        <f>SUMIF('[1]ПО КОРИСНИЦИМА'!$G$3:$G$11609,"Свега за пројекат 1101-П15:",'[1]ПО КОРИСНИЦИМА'!$I$3:$I$11609)</f>
        <v>#VALUE!</v>
      </c>
      <c r="G22" s="1094" t="e">
        <f t="shared" si="0"/>
        <v>#VALUE!</v>
      </c>
      <c r="H22" s="1096"/>
    </row>
    <row r="23" spans="1:8" ht="12.75" hidden="1">
      <c r="A23" s="1086"/>
      <c r="B23" s="1086" t="s">
        <v>895</v>
      </c>
      <c r="C23" s="1093">
        <f>_xlfn.IFERROR(VLOOKUP(B23,'[1]ПО КОРИСНИЦИМА'!$C$3:$J$11609,5,FALSE),"")</f>
      </c>
      <c r="D23" s="1098" t="e">
        <f>SUMIF('[1]ПО КОРИСНИЦИМА'!$G$3:$G$11609,"Свега за пројекат 1101-П16:",'[1]ПО КОРИСНИЦИМА'!$H$3:$H$11609)</f>
        <v>#VALUE!</v>
      </c>
      <c r="E23" s="1099" t="e">
        <f t="shared" si="1"/>
        <v>#VALUE!</v>
      </c>
      <c r="F23" s="1100" t="e">
        <f>SUMIF('[1]ПО КОРИСНИЦИМА'!$G$3:$G$11609,"Свега за пројекат 1101-П16:",'[1]ПО КОРИСНИЦИМА'!$I$3:$I$11609)</f>
        <v>#VALUE!</v>
      </c>
      <c r="G23" s="1094" t="e">
        <f t="shared" si="0"/>
        <v>#VALUE!</v>
      </c>
      <c r="H23" s="1096"/>
    </row>
    <row r="24" spans="1:8" ht="12.75" hidden="1">
      <c r="A24" s="1086"/>
      <c r="B24" s="1086" t="s">
        <v>896</v>
      </c>
      <c r="C24" s="1093">
        <f>_xlfn.IFERROR(VLOOKUP(B24,'[1]ПО КОРИСНИЦИМА'!$C$3:$J$11609,5,FALSE),"")</f>
      </c>
      <c r="D24" s="1098" t="e">
        <f>SUMIF('[1]ПО КОРИСНИЦИМА'!$G$3:$G$11609,"Свега за пројекат 1101-П17:",'[1]ПО КОРИСНИЦИМА'!$H$3:$H$11609)</f>
        <v>#VALUE!</v>
      </c>
      <c r="E24" s="1099" t="e">
        <f t="shared" si="1"/>
        <v>#VALUE!</v>
      </c>
      <c r="F24" s="1100" t="e">
        <f>SUMIF('[1]ПО КОРИСНИЦИМА'!$G$3:$G$11609,"Свега за пројекат 1101-П17:",'[1]ПО КОРИСНИЦИМА'!$I$3:$I$11609)</f>
        <v>#VALUE!</v>
      </c>
      <c r="G24" s="1094" t="e">
        <f t="shared" si="0"/>
        <v>#VALUE!</v>
      </c>
      <c r="H24" s="1096"/>
    </row>
    <row r="25" spans="1:8" ht="12.75" hidden="1">
      <c r="A25" s="1086"/>
      <c r="B25" s="1086" t="s">
        <v>897</v>
      </c>
      <c r="C25" s="1093">
        <f>_xlfn.IFERROR(VLOOKUP(B25,'[1]ПО КОРИСНИЦИМА'!$C$3:$J$11609,5,FALSE),"")</f>
      </c>
      <c r="D25" s="1098" t="e">
        <f>SUMIF('[1]ПО КОРИСНИЦИМА'!$G$3:$G$11609,"Свега за пројекат 1101-П18:",'[1]ПО КОРИСНИЦИМА'!$H$3:$H$11609)</f>
        <v>#VALUE!</v>
      </c>
      <c r="E25" s="1099" t="e">
        <f t="shared" si="1"/>
        <v>#VALUE!</v>
      </c>
      <c r="F25" s="1100" t="e">
        <f>SUMIF('[1]ПО КОРИСНИЦИМА'!$G$3:$G$11609,"Свега за пројекат 1101-П18:",'[1]ПО КОРИСНИЦИМА'!$I$3:$I$11609)</f>
        <v>#VALUE!</v>
      </c>
      <c r="G25" s="1094" t="e">
        <f t="shared" si="0"/>
        <v>#VALUE!</v>
      </c>
      <c r="H25" s="1096"/>
    </row>
    <row r="26" spans="1:8" ht="12.75" hidden="1">
      <c r="A26" s="1086"/>
      <c r="B26" s="1086" t="s">
        <v>898</v>
      </c>
      <c r="C26" s="1093">
        <f>_xlfn.IFERROR(VLOOKUP(B26,'[1]ПО КОРИСНИЦИМА'!$C$3:$J$11609,5,FALSE),"")</f>
      </c>
      <c r="D26" s="1098" t="e">
        <f>SUMIF('[1]ПО КОРИСНИЦИМА'!$G$3:$G$11609,"Свега за пројекат 1101-П19:",'[1]ПО КОРИСНИЦИМА'!$H$3:$H$11609)</f>
        <v>#VALUE!</v>
      </c>
      <c r="E26" s="1099" t="e">
        <f t="shared" si="1"/>
        <v>#VALUE!</v>
      </c>
      <c r="F26" s="1100" t="e">
        <f>SUMIF('[1]ПО КОРИСНИЦИМА'!$G$3:$G$11609,"Свега за пројекат 1101-П19:",'[1]ПО КОРИСНИЦИМА'!$I$3:$I$11609)</f>
        <v>#VALUE!</v>
      </c>
      <c r="G26" s="1094" t="e">
        <f t="shared" si="0"/>
        <v>#VALUE!</v>
      </c>
      <c r="H26" s="1096"/>
    </row>
    <row r="27" spans="1:8" ht="12.75" hidden="1">
      <c r="A27" s="1086"/>
      <c r="B27" s="1086" t="s">
        <v>899</v>
      </c>
      <c r="C27" s="1093">
        <f>_xlfn.IFERROR(VLOOKUP(B27,'[1]ПО КОРИСНИЦИМА'!$C$3:$J$11609,5,FALSE),"")</f>
      </c>
      <c r="D27" s="1098" t="e">
        <f>SUMIF('[1]ПО КОРИСНИЦИМА'!$G$3:$G$11609,"Свега за пројекат 1101-П20:",'[1]ПО КОРИСНИЦИМА'!$H$3:$H$11609)</f>
        <v>#VALUE!</v>
      </c>
      <c r="E27" s="1099" t="e">
        <f t="shared" si="1"/>
        <v>#VALUE!</v>
      </c>
      <c r="F27" s="1100" t="e">
        <f>SUMIF('[1]ПО КОРИСНИЦИМА'!$G$3:$G$11609,"Свега за пројекат 1101-П20:",'[1]ПО КОРИСНИЦИМА'!$I$3:$I$11609)</f>
        <v>#VALUE!</v>
      </c>
      <c r="G27" s="1094" t="e">
        <f t="shared" si="0"/>
        <v>#VALUE!</v>
      </c>
      <c r="H27" s="1096"/>
    </row>
    <row r="28" spans="1:8" ht="12.75" hidden="1">
      <c r="A28" s="1086"/>
      <c r="B28" s="1086" t="s">
        <v>900</v>
      </c>
      <c r="C28" s="1093">
        <f>_xlfn.IFERROR(VLOOKUP(B28,'[1]ПО КОРИСНИЦИМА'!$C$3:$J$11609,5,FALSE),"")</f>
      </c>
      <c r="D28" s="1098" t="e">
        <f>SUMIF('[1]ПО КОРИСНИЦИМА'!$G$3:$G$11609,"Свега за пројекат 1101-П21:",'[1]ПО КОРИСНИЦИМА'!$H$3:$H$11609)</f>
        <v>#VALUE!</v>
      </c>
      <c r="E28" s="1099" t="e">
        <f t="shared" si="1"/>
        <v>#VALUE!</v>
      </c>
      <c r="F28" s="1100" t="e">
        <f>SUMIF('[1]ПО КОРИСНИЦИМА'!$G$3:$G$11609,"Свега за пројекат 1101-П21:",'[1]ПО КОРИСНИЦИМА'!$I$3:$I$11609)</f>
        <v>#VALUE!</v>
      </c>
      <c r="G28" s="1094" t="e">
        <f t="shared" si="0"/>
        <v>#VALUE!</v>
      </c>
      <c r="H28" s="1096"/>
    </row>
    <row r="29" spans="1:8" ht="12.75" hidden="1">
      <c r="A29" s="1086"/>
      <c r="B29" s="1086" t="s">
        <v>901</v>
      </c>
      <c r="C29" s="1093">
        <f>_xlfn.IFERROR(VLOOKUP(B29,'[1]ПО КОРИСНИЦИМА'!$C$3:$J$11609,5,FALSE),"")</f>
      </c>
      <c r="D29" s="1098" t="e">
        <f>SUMIF('[1]ПО КОРИСНИЦИМА'!$G$3:$G$11609,"Свега за пројекат 1101-П22:",'[1]ПО КОРИСНИЦИМА'!$H$3:$H$11609)</f>
        <v>#VALUE!</v>
      </c>
      <c r="E29" s="1099" t="e">
        <f t="shared" si="1"/>
        <v>#VALUE!</v>
      </c>
      <c r="F29" s="1100" t="e">
        <f>SUMIF('[1]ПО КОРИСНИЦИМА'!$G$3:$G$11609,"Свега за пројекат 1101-П22:",'[1]ПО КОРИСНИЦИМА'!$I$3:$I$11609)</f>
        <v>#VALUE!</v>
      </c>
      <c r="G29" s="1094" t="e">
        <f t="shared" si="0"/>
        <v>#VALUE!</v>
      </c>
      <c r="H29" s="1096"/>
    </row>
    <row r="30" spans="1:8" ht="12.75" hidden="1">
      <c r="A30" s="1086"/>
      <c r="B30" s="1086" t="s">
        <v>902</v>
      </c>
      <c r="C30" s="1093">
        <f>_xlfn.IFERROR(VLOOKUP(B30,'[1]ПО КОРИСНИЦИМА'!$C$3:$J$11609,5,FALSE),"")</f>
      </c>
      <c r="D30" s="1098" t="e">
        <f>SUMIF('[1]ПО КОРИСНИЦИМА'!$G$3:$G$11609,"Свега за пројекат 1101-П23:",'[1]ПО КОРИСНИЦИМА'!$H$3:$H$11609)</f>
        <v>#VALUE!</v>
      </c>
      <c r="E30" s="1099" t="e">
        <f t="shared" si="1"/>
        <v>#VALUE!</v>
      </c>
      <c r="F30" s="1100" t="e">
        <f>SUMIF('[1]ПО КОРИСНИЦИМА'!$G$3:$G$11609,"Свега за пројекат 1101-П23:",'[1]ПО КОРИСНИЦИМА'!$I$3:$I$11609)</f>
        <v>#VALUE!</v>
      </c>
      <c r="G30" s="1094" t="e">
        <f t="shared" si="0"/>
        <v>#VALUE!</v>
      </c>
      <c r="H30" s="1096"/>
    </row>
    <row r="31" spans="1:8" ht="12.75" hidden="1">
      <c r="A31" s="1086"/>
      <c r="B31" s="1086" t="s">
        <v>903</v>
      </c>
      <c r="C31" s="1093">
        <f>_xlfn.IFERROR(VLOOKUP(B31,'[1]ПО КОРИСНИЦИМА'!$C$3:$J$11609,5,FALSE),"")</f>
      </c>
      <c r="D31" s="1098" t="e">
        <f>SUMIF('[1]ПО КОРИСНИЦИМА'!$G$3:$G$11609,"Свега за пројекат 1101-П24:",'[1]ПО КОРИСНИЦИМА'!$H$3:$H$11609)</f>
        <v>#VALUE!</v>
      </c>
      <c r="E31" s="1099" t="e">
        <f t="shared" si="1"/>
        <v>#VALUE!</v>
      </c>
      <c r="F31" s="1100" t="e">
        <f>SUMIF('[1]ПО КОРИСНИЦИМА'!$G$3:$G$11609,"Свега за пројекат 1101-П24:",'[1]ПО КОРИСНИЦИМА'!$I$3:$I$11609)</f>
        <v>#VALUE!</v>
      </c>
      <c r="G31" s="1094" t="e">
        <f t="shared" si="0"/>
        <v>#VALUE!</v>
      </c>
      <c r="H31" s="1096"/>
    </row>
    <row r="32" spans="1:8" ht="12.75">
      <c r="A32" s="1087" t="s">
        <v>1259</v>
      </c>
      <c r="B32" s="1088"/>
      <c r="C32" s="1089" t="s">
        <v>1168</v>
      </c>
      <c r="D32" s="1090">
        <f>SUM(D33:D43)</f>
        <v>59500000</v>
      </c>
      <c r="E32" s="1091">
        <f t="shared" si="1"/>
        <v>0.1313615738845667</v>
      </c>
      <c r="F32" s="1090">
        <f>SUM(F33:F43)</f>
        <v>55381650.879999995</v>
      </c>
      <c r="G32" s="1090">
        <f t="shared" si="0"/>
        <v>114881650.88</v>
      </c>
      <c r="H32" s="1092"/>
    </row>
    <row r="33" spans="1:8" ht="12.75">
      <c r="A33" s="1086"/>
      <c r="B33" s="1086" t="s">
        <v>1254</v>
      </c>
      <c r="C33" s="1101" t="s">
        <v>1351</v>
      </c>
      <c r="D33" s="1094">
        <f>'Rashodi-2020'!N296</f>
        <v>8850000</v>
      </c>
      <c r="E33" s="1095">
        <f t="shared" si="1"/>
        <v>0.019538654266864124</v>
      </c>
      <c r="F33" s="1097">
        <f>'Rashodi-2020'!U296</f>
        <v>0</v>
      </c>
      <c r="G33" s="1094">
        <f t="shared" si="0"/>
        <v>8850000</v>
      </c>
      <c r="H33" s="1096" t="s">
        <v>1173</v>
      </c>
    </row>
    <row r="34" spans="1:8" ht="12.75" hidden="1">
      <c r="A34" s="1086"/>
      <c r="B34" s="1086" t="s">
        <v>832</v>
      </c>
      <c r="C34" s="1101" t="s">
        <v>833</v>
      </c>
      <c r="D34" s="1094"/>
      <c r="E34" s="1095">
        <f t="shared" si="1"/>
        <v>0</v>
      </c>
      <c r="F34" s="1097"/>
      <c r="G34" s="1094">
        <f t="shared" si="0"/>
        <v>0</v>
      </c>
      <c r="H34" s="1096"/>
    </row>
    <row r="35" spans="1:8" ht="12.75" hidden="1">
      <c r="A35" s="1086"/>
      <c r="B35" s="1086" t="s">
        <v>834</v>
      </c>
      <c r="C35" s="1101" t="s">
        <v>835</v>
      </c>
      <c r="D35" s="1094"/>
      <c r="E35" s="1095">
        <f t="shared" si="1"/>
        <v>0</v>
      </c>
      <c r="F35" s="1097"/>
      <c r="G35" s="1094">
        <f t="shared" si="0"/>
        <v>0</v>
      </c>
      <c r="H35" s="1096"/>
    </row>
    <row r="36" spans="1:8" ht="12.75" hidden="1">
      <c r="A36" s="1086"/>
      <c r="B36" s="1086" t="s">
        <v>836</v>
      </c>
      <c r="C36" s="1101" t="s">
        <v>837</v>
      </c>
      <c r="D36" s="1094"/>
      <c r="E36" s="1095">
        <f t="shared" si="1"/>
        <v>0</v>
      </c>
      <c r="F36" s="1097"/>
      <c r="G36" s="1094">
        <f t="shared" si="0"/>
        <v>0</v>
      </c>
      <c r="H36" s="1096"/>
    </row>
    <row r="37" spans="1:8" ht="12.75" hidden="1">
      <c r="A37" s="1086"/>
      <c r="B37" s="1086" t="s">
        <v>838</v>
      </c>
      <c r="C37" s="1101" t="s">
        <v>839</v>
      </c>
      <c r="D37" s="1094"/>
      <c r="E37" s="1095">
        <f t="shared" si="1"/>
        <v>0</v>
      </c>
      <c r="F37" s="1097"/>
      <c r="G37" s="1094">
        <f t="shared" si="0"/>
        <v>0</v>
      </c>
      <c r="H37" s="1096"/>
    </row>
    <row r="38" spans="1:8" ht="12.75" hidden="1">
      <c r="A38" s="1086"/>
      <c r="B38" s="1086" t="s">
        <v>840</v>
      </c>
      <c r="C38" s="1101" t="s">
        <v>596</v>
      </c>
      <c r="D38" s="1094"/>
      <c r="E38" s="1095">
        <f t="shared" si="1"/>
        <v>0</v>
      </c>
      <c r="F38" s="1097"/>
      <c r="G38" s="1094">
        <f t="shared" si="0"/>
        <v>0</v>
      </c>
      <c r="H38" s="1096"/>
    </row>
    <row r="39" spans="1:8" ht="12.75">
      <c r="A39" s="1086"/>
      <c r="B39" s="1086" t="s">
        <v>1255</v>
      </c>
      <c r="C39" s="1101" t="s">
        <v>1252</v>
      </c>
      <c r="D39" s="1094">
        <f>'Rashodi-2020'!N300</f>
        <v>21700000</v>
      </c>
      <c r="E39" s="1095">
        <f t="shared" si="1"/>
        <v>0.04790833871084198</v>
      </c>
      <c r="F39" s="1097">
        <f>'Rashodi-2020'!U300</f>
        <v>11000000</v>
      </c>
      <c r="G39" s="1094">
        <f t="shared" si="0"/>
        <v>32700000</v>
      </c>
      <c r="H39" s="1096" t="s">
        <v>1173</v>
      </c>
    </row>
    <row r="40" spans="1:8" ht="12.75">
      <c r="A40" s="1086"/>
      <c r="B40" s="1086" t="s">
        <v>1256</v>
      </c>
      <c r="C40" s="1102" t="s">
        <v>1280</v>
      </c>
      <c r="D40" s="1103">
        <f>'Rashodi-2020'!N320</f>
        <v>12000000</v>
      </c>
      <c r="E40" s="1095">
        <f t="shared" si="1"/>
        <v>0.026493090531341183</v>
      </c>
      <c r="F40" s="1097">
        <f>'Rashodi-2020'!U320</f>
        <v>0</v>
      </c>
      <c r="G40" s="1094">
        <f t="shared" si="0"/>
        <v>12000000</v>
      </c>
      <c r="H40" s="1096" t="s">
        <v>1298</v>
      </c>
    </row>
    <row r="41" spans="1:8" ht="12.75">
      <c r="A41" s="1086"/>
      <c r="B41" s="1086" t="s">
        <v>1258</v>
      </c>
      <c r="C41" s="1101" t="s">
        <v>1253</v>
      </c>
      <c r="D41" s="1094">
        <f>'Rashodi-2020'!N315</f>
        <v>2950000</v>
      </c>
      <c r="E41" s="1095">
        <f t="shared" si="1"/>
        <v>0.0065128847556213745</v>
      </c>
      <c r="F41" s="1097">
        <f>'Rashodi-2020'!U315</f>
        <v>0</v>
      </c>
      <c r="G41" s="1094">
        <f t="shared" si="0"/>
        <v>2950000</v>
      </c>
      <c r="H41" s="1096" t="s">
        <v>1173</v>
      </c>
    </row>
    <row r="42" spans="1:8" ht="12.75">
      <c r="A42" s="1086"/>
      <c r="B42" s="1086" t="s">
        <v>1257</v>
      </c>
      <c r="C42" s="1102" t="s">
        <v>1352</v>
      </c>
      <c r="D42" s="1103">
        <f>'Rashodi-2020'!N306</f>
        <v>14000000</v>
      </c>
      <c r="E42" s="1095">
        <f t="shared" si="1"/>
        <v>0.03090860561989805</v>
      </c>
      <c r="F42" s="1097">
        <f>'Rashodi-2020'!U306</f>
        <v>44381650.879999995</v>
      </c>
      <c r="G42" s="1094">
        <f t="shared" si="0"/>
        <v>58381650.879999995</v>
      </c>
      <c r="H42" s="1096" t="s">
        <v>1173</v>
      </c>
    </row>
    <row r="43" spans="1:8" ht="12.75" hidden="1">
      <c r="A43" s="1086"/>
      <c r="B43" s="1086" t="s">
        <v>841</v>
      </c>
      <c r="C43" s="1101"/>
      <c r="D43" s="1094"/>
      <c r="E43" s="1099">
        <f t="shared" si="1"/>
        <v>0</v>
      </c>
      <c r="F43" s="1097"/>
      <c r="G43" s="1094">
        <f t="shared" si="0"/>
        <v>0</v>
      </c>
      <c r="H43" s="1096"/>
    </row>
    <row r="44" spans="1:8" ht="12.75" hidden="1">
      <c r="A44" s="1086"/>
      <c r="B44" s="1086" t="s">
        <v>842</v>
      </c>
      <c r="C44" s="1101" t="s">
        <v>843</v>
      </c>
      <c r="D44" s="1094"/>
      <c r="E44" s="1099">
        <f t="shared" si="1"/>
        <v>0</v>
      </c>
      <c r="F44" s="1097"/>
      <c r="G44" s="1094">
        <f t="shared" si="0"/>
        <v>0</v>
      </c>
      <c r="H44" s="1096"/>
    </row>
    <row r="45" spans="1:8" ht="12.75" hidden="1">
      <c r="A45" s="1086"/>
      <c r="B45" s="1086"/>
      <c r="C45" s="1101"/>
      <c r="D45" s="1094"/>
      <c r="E45" s="1099">
        <f t="shared" si="1"/>
        <v>0</v>
      </c>
      <c r="F45" s="1097"/>
      <c r="G45" s="1094">
        <f t="shared" si="0"/>
        <v>0</v>
      </c>
      <c r="H45" s="1096" t="s">
        <v>1173</v>
      </c>
    </row>
    <row r="46" spans="1:8" ht="12.75" hidden="1">
      <c r="A46" s="1086"/>
      <c r="B46" s="1086"/>
      <c r="C46" s="1101"/>
      <c r="D46" s="1094"/>
      <c r="E46" s="1099">
        <f t="shared" si="1"/>
        <v>0</v>
      </c>
      <c r="F46" s="1097"/>
      <c r="G46" s="1094">
        <f t="shared" si="0"/>
        <v>0</v>
      </c>
      <c r="H46" s="1096" t="s">
        <v>1173</v>
      </c>
    </row>
    <row r="47" spans="1:8" ht="12.75" hidden="1">
      <c r="A47" s="1086"/>
      <c r="B47" s="1086"/>
      <c r="C47" s="1101"/>
      <c r="D47" s="1094"/>
      <c r="E47" s="1099">
        <f t="shared" si="1"/>
        <v>0</v>
      </c>
      <c r="F47" s="1097"/>
      <c r="G47" s="1094">
        <f t="shared" si="0"/>
        <v>0</v>
      </c>
      <c r="H47" s="1096" t="s">
        <v>1173</v>
      </c>
    </row>
    <row r="48" spans="1:8" ht="12.75" hidden="1">
      <c r="A48" s="1086"/>
      <c r="B48" s="1086"/>
      <c r="C48" s="1104"/>
      <c r="D48" s="1098"/>
      <c r="E48" s="1099">
        <f t="shared" si="1"/>
        <v>0</v>
      </c>
      <c r="F48" s="1100"/>
      <c r="G48" s="1094">
        <f t="shared" si="0"/>
        <v>0</v>
      </c>
      <c r="H48" s="1096" t="s">
        <v>1173</v>
      </c>
    </row>
    <row r="49" spans="1:8" ht="12.75" hidden="1">
      <c r="A49" s="1086"/>
      <c r="B49" s="1086" t="s">
        <v>904</v>
      </c>
      <c r="C49" s="1093">
        <f>_xlfn.IFERROR(VLOOKUP(B49,'[1]ПО КОРИСНИЦИМА'!$C$3:$J$11609,5,FALSE),"")</f>
      </c>
      <c r="D49" s="1098"/>
      <c r="E49" s="1099">
        <f t="shared" si="1"/>
        <v>0</v>
      </c>
      <c r="F49" s="1100"/>
      <c r="G49" s="1094">
        <f t="shared" si="0"/>
        <v>0</v>
      </c>
      <c r="H49" s="1096"/>
    </row>
    <row r="50" spans="1:8" ht="12.75" hidden="1">
      <c r="A50" s="1086"/>
      <c r="B50" s="1086" t="s">
        <v>905</v>
      </c>
      <c r="C50" s="1093">
        <f>_xlfn.IFERROR(VLOOKUP(B50,'[1]ПО КОРИСНИЦИМА'!$C$3:$J$11609,5,FALSE),"")</f>
      </c>
      <c r="D50" s="1098"/>
      <c r="E50" s="1099">
        <f t="shared" si="1"/>
        <v>0</v>
      </c>
      <c r="F50" s="1100"/>
      <c r="G50" s="1094">
        <f t="shared" si="0"/>
        <v>0</v>
      </c>
      <c r="H50" s="1096"/>
    </row>
    <row r="51" spans="1:8" ht="12.75" hidden="1">
      <c r="A51" s="1086"/>
      <c r="B51" s="1086" t="s">
        <v>906</v>
      </c>
      <c r="C51" s="1093">
        <f>_xlfn.IFERROR(VLOOKUP(B51,'[1]ПО КОРИСНИЦИМА'!$C$3:$J$11609,5,FALSE),"")</f>
      </c>
      <c r="D51" s="1098"/>
      <c r="E51" s="1099">
        <f t="shared" si="1"/>
        <v>0</v>
      </c>
      <c r="F51" s="1100"/>
      <c r="G51" s="1094">
        <f t="shared" si="0"/>
        <v>0</v>
      </c>
      <c r="H51" s="1096"/>
    </row>
    <row r="52" spans="1:8" ht="12.75" hidden="1">
      <c r="A52" s="1086"/>
      <c r="B52" s="1086" t="s">
        <v>907</v>
      </c>
      <c r="C52" s="1093">
        <f>_xlfn.IFERROR(VLOOKUP(B52,'[1]ПО КОРИСНИЦИМА'!$C$3:$J$11609,5,FALSE),"")</f>
      </c>
      <c r="D52" s="1098"/>
      <c r="E52" s="1099">
        <f t="shared" si="1"/>
        <v>0</v>
      </c>
      <c r="F52" s="1100"/>
      <c r="G52" s="1094">
        <f t="shared" si="0"/>
        <v>0</v>
      </c>
      <c r="H52" s="1096"/>
    </row>
    <row r="53" spans="1:8" ht="12.75" hidden="1">
      <c r="A53" s="1086"/>
      <c r="B53" s="1086" t="s">
        <v>908</v>
      </c>
      <c r="C53" s="1093">
        <f>_xlfn.IFERROR(VLOOKUP(B53,'[1]ПО КОРИСНИЦИМА'!$C$3:$J$11609,5,FALSE),"")</f>
      </c>
      <c r="D53" s="1098"/>
      <c r="E53" s="1099">
        <f t="shared" si="1"/>
        <v>0</v>
      </c>
      <c r="F53" s="1100"/>
      <c r="G53" s="1094">
        <f t="shared" si="0"/>
        <v>0</v>
      </c>
      <c r="H53" s="1096"/>
    </row>
    <row r="54" spans="1:8" ht="12.75" hidden="1">
      <c r="A54" s="1086"/>
      <c r="B54" s="1086" t="s">
        <v>909</v>
      </c>
      <c r="C54" s="1093">
        <f>_xlfn.IFERROR(VLOOKUP(B54,'[1]ПО КОРИСНИЦИМА'!$C$3:$J$11609,5,FALSE),"")</f>
      </c>
      <c r="D54" s="1098"/>
      <c r="E54" s="1099">
        <f t="shared" si="1"/>
        <v>0</v>
      </c>
      <c r="F54" s="1100"/>
      <c r="G54" s="1094">
        <f t="shared" si="0"/>
        <v>0</v>
      </c>
      <c r="H54" s="1096"/>
    </row>
    <row r="55" spans="1:8" ht="12.75" hidden="1">
      <c r="A55" s="1086"/>
      <c r="B55" s="1086" t="s">
        <v>910</v>
      </c>
      <c r="C55" s="1093">
        <f>_xlfn.IFERROR(VLOOKUP(B55,'[1]ПО КОРИСНИЦИМА'!$C$3:$J$11609,5,FALSE),"")</f>
      </c>
      <c r="D55" s="1098"/>
      <c r="E55" s="1099">
        <f t="shared" si="1"/>
        <v>0</v>
      </c>
      <c r="F55" s="1100"/>
      <c r="G55" s="1094">
        <f t="shared" si="0"/>
        <v>0</v>
      </c>
      <c r="H55" s="1096"/>
    </row>
    <row r="56" spans="1:8" ht="12.75" hidden="1">
      <c r="A56" s="1086"/>
      <c r="B56" s="1086" t="s">
        <v>911</v>
      </c>
      <c r="C56" s="1093">
        <f>_xlfn.IFERROR(VLOOKUP(B56,'[1]ПО КОРИСНИЦИМА'!$C$3:$J$11609,5,FALSE),"")</f>
      </c>
      <c r="D56" s="1098"/>
      <c r="E56" s="1099">
        <f t="shared" si="1"/>
        <v>0</v>
      </c>
      <c r="F56" s="1100"/>
      <c r="G56" s="1094">
        <f t="shared" si="0"/>
        <v>0</v>
      </c>
      <c r="H56" s="1096"/>
    </row>
    <row r="57" spans="1:8" ht="12.75" hidden="1">
      <c r="A57" s="1086"/>
      <c r="B57" s="1086" t="s">
        <v>912</v>
      </c>
      <c r="C57" s="1093">
        <f>_xlfn.IFERROR(VLOOKUP(B57,'[1]ПО КОРИСНИЦИМА'!$C$3:$J$11609,5,FALSE),"")</f>
      </c>
      <c r="D57" s="1098"/>
      <c r="E57" s="1099">
        <f t="shared" si="1"/>
        <v>0</v>
      </c>
      <c r="F57" s="1100"/>
      <c r="G57" s="1094">
        <f t="shared" si="0"/>
        <v>0</v>
      </c>
      <c r="H57" s="1096"/>
    </row>
    <row r="58" spans="1:8" ht="12.75" hidden="1">
      <c r="A58" s="1086"/>
      <c r="B58" s="1086" t="s">
        <v>913</v>
      </c>
      <c r="C58" s="1093">
        <f>_xlfn.IFERROR(VLOOKUP(B58,'[1]ПО КОРИСНИЦИМА'!$C$3:$J$11609,5,FALSE),"")</f>
      </c>
      <c r="D58" s="1098"/>
      <c r="E58" s="1099">
        <f t="shared" si="1"/>
        <v>0</v>
      </c>
      <c r="F58" s="1100"/>
      <c r="G58" s="1094">
        <f t="shared" si="0"/>
        <v>0</v>
      </c>
      <c r="H58" s="1096"/>
    </row>
    <row r="59" spans="1:8" ht="12.75" hidden="1">
      <c r="A59" s="1086"/>
      <c r="B59" s="1086" t="s">
        <v>914</v>
      </c>
      <c r="C59" s="1093">
        <f>_xlfn.IFERROR(VLOOKUP(B59,'[1]ПО КОРИСНИЦИМА'!$C$3:$J$11609,5,FALSE),"")</f>
      </c>
      <c r="D59" s="1098" t="e">
        <f>SUMIF('[1]ПО КОРИСНИЦИМА'!$G$3:$G$11609,"Свега за пројекат 0601-П12:",'[1]ПО КОРИСНИЦИМА'!$H$3:$H$11609)</f>
        <v>#VALUE!</v>
      </c>
      <c r="E59" s="1099" t="e">
        <f t="shared" si="1"/>
        <v>#VALUE!</v>
      </c>
      <c r="F59" s="1100" t="e">
        <f>SUMIF('[1]ПО КОРИСНИЦИМА'!$G$3:$G$11609,"Свега за пројекат 0601-П12:",'[1]ПО КОРИСНИЦИМА'!$I$3:$I$11609)</f>
        <v>#VALUE!</v>
      </c>
      <c r="G59" s="1094" t="e">
        <f t="shared" si="0"/>
        <v>#VALUE!</v>
      </c>
      <c r="H59" s="1096"/>
    </row>
    <row r="60" spans="1:8" ht="12.75" hidden="1">
      <c r="A60" s="1086"/>
      <c r="B60" s="1086" t="s">
        <v>915</v>
      </c>
      <c r="C60" s="1093">
        <f>_xlfn.IFERROR(VLOOKUP(B60,'[1]ПО КОРИСНИЦИМА'!$C$3:$J$11609,5,FALSE),"")</f>
      </c>
      <c r="D60" s="1098" t="e">
        <f>SUMIF('[1]ПО КОРИСНИЦИМА'!$G$3:$G$11609,"Свега за пројекат 0601-П13:",'[1]ПО КОРИСНИЦИМА'!$H$3:$H$11609)</f>
        <v>#VALUE!</v>
      </c>
      <c r="E60" s="1099" t="e">
        <f t="shared" si="1"/>
        <v>#VALUE!</v>
      </c>
      <c r="F60" s="1100" t="e">
        <f>SUMIF('[1]ПО КОРИСНИЦИМА'!$G$3:$G$11609,"Свега за пројекат 0601-П13:",'[1]ПО КОРИСНИЦИМА'!$I$3:$I$11609)</f>
        <v>#VALUE!</v>
      </c>
      <c r="G60" s="1094" t="e">
        <f t="shared" si="0"/>
        <v>#VALUE!</v>
      </c>
      <c r="H60" s="1096"/>
    </row>
    <row r="61" spans="1:8" ht="12.75" hidden="1">
      <c r="A61" s="1086"/>
      <c r="B61" s="1086" t="s">
        <v>916</v>
      </c>
      <c r="C61" s="1093">
        <f>_xlfn.IFERROR(VLOOKUP(B61,'[1]ПО КОРИСНИЦИМА'!$C$3:$J$11609,5,FALSE),"")</f>
      </c>
      <c r="D61" s="1098" t="e">
        <f>SUMIF('[1]ПО КОРИСНИЦИМА'!$G$3:$G$11609,"Свега за пројекат 0601-П14:",'[1]ПО КОРИСНИЦИМА'!$H$3:$H$11609)</f>
        <v>#VALUE!</v>
      </c>
      <c r="E61" s="1099" t="e">
        <f t="shared" si="1"/>
        <v>#VALUE!</v>
      </c>
      <c r="F61" s="1100" t="e">
        <f>SUMIF('[1]ПО КОРИСНИЦИМА'!$G$3:$G$11609,"Свега за пројекат 0601-П14:",'[1]ПО КОРИСНИЦИМА'!$I$3:$I$11609)</f>
        <v>#VALUE!</v>
      </c>
      <c r="G61" s="1094" t="e">
        <f t="shared" si="0"/>
        <v>#VALUE!</v>
      </c>
      <c r="H61" s="1096"/>
    </row>
    <row r="62" spans="1:8" ht="12.75" hidden="1">
      <c r="A62" s="1086"/>
      <c r="B62" s="1086" t="s">
        <v>917</v>
      </c>
      <c r="C62" s="1093">
        <f>_xlfn.IFERROR(VLOOKUP(B62,'[1]ПО КОРИСНИЦИМА'!$C$3:$J$11609,5,FALSE),"")</f>
      </c>
      <c r="D62" s="1098" t="e">
        <f>SUMIF('[1]ПО КОРИСНИЦИМА'!$G$3:$G$11609,"Свега за пројекат 0601-П15:",'[1]ПО КОРИСНИЦИМА'!$H$3:$H$11609)</f>
        <v>#VALUE!</v>
      </c>
      <c r="E62" s="1099" t="e">
        <f t="shared" si="1"/>
        <v>#VALUE!</v>
      </c>
      <c r="F62" s="1100" t="e">
        <f>SUMIF('[1]ПО КОРИСНИЦИМА'!$G$3:$G$11609,"Свега за пројекат 0601-П15:",'[1]ПО КОРИСНИЦИМА'!$I$3:$I$11609)</f>
        <v>#VALUE!</v>
      </c>
      <c r="G62" s="1094" t="e">
        <f t="shared" si="0"/>
        <v>#VALUE!</v>
      </c>
      <c r="H62" s="1096"/>
    </row>
    <row r="63" spans="1:8" ht="12.75" hidden="1">
      <c r="A63" s="1086"/>
      <c r="B63" s="1086" t="s">
        <v>918</v>
      </c>
      <c r="C63" s="1093">
        <f>_xlfn.IFERROR(VLOOKUP(B63,'[1]ПО КОРИСНИЦИМА'!$C$3:$J$11609,5,FALSE),"")</f>
      </c>
      <c r="D63" s="1098" t="e">
        <f>SUMIF('[1]ПО КОРИСНИЦИМА'!$G$3:$G$11609,"Свега за пројекат 0601-П16:",'[1]ПО КОРИСНИЦИМА'!$H$3:$H$11609)</f>
        <v>#VALUE!</v>
      </c>
      <c r="E63" s="1099" t="e">
        <f t="shared" si="1"/>
        <v>#VALUE!</v>
      </c>
      <c r="F63" s="1100" t="e">
        <f>SUMIF('[1]ПО КОРИСНИЦИМА'!$G$3:$G$11609,"Свега за пројекат 0601-П16:",'[1]ПО КОРИСНИЦИМА'!$I$3:$I$11609)</f>
        <v>#VALUE!</v>
      </c>
      <c r="G63" s="1094" t="e">
        <f t="shared" si="0"/>
        <v>#VALUE!</v>
      </c>
      <c r="H63" s="1096"/>
    </row>
    <row r="64" spans="1:8" ht="12.75" hidden="1">
      <c r="A64" s="1086"/>
      <c r="B64" s="1086" t="s">
        <v>919</v>
      </c>
      <c r="C64" s="1093">
        <f>_xlfn.IFERROR(VLOOKUP(B64,'[1]ПО КОРИСНИЦИМА'!$C$3:$J$11609,5,FALSE),"")</f>
      </c>
      <c r="D64" s="1098" t="e">
        <f>SUMIF('[1]ПО КОРИСНИЦИМА'!$G$3:$G$11609,"Свега за пројекат 0601-П17:",'[1]ПО КОРИСНИЦИМА'!$H$3:$H$11609)</f>
        <v>#VALUE!</v>
      </c>
      <c r="E64" s="1099" t="e">
        <f t="shared" si="1"/>
        <v>#VALUE!</v>
      </c>
      <c r="F64" s="1100" t="e">
        <f>SUMIF('[1]ПО КОРИСНИЦИМА'!$G$3:$G$11609,"Свега за пројекат 0601-П17:",'[1]ПО КОРИСНИЦИМА'!$I$3:$I$11609)</f>
        <v>#VALUE!</v>
      </c>
      <c r="G64" s="1094" t="e">
        <f t="shared" si="0"/>
        <v>#VALUE!</v>
      </c>
      <c r="H64" s="1096"/>
    </row>
    <row r="65" spans="1:8" ht="12.75" hidden="1">
      <c r="A65" s="1086"/>
      <c r="B65" s="1086" t="s">
        <v>920</v>
      </c>
      <c r="C65" s="1093">
        <f>_xlfn.IFERROR(VLOOKUP(B65,'[1]ПО КОРИСНИЦИМА'!$C$3:$J$11609,5,FALSE),"")</f>
      </c>
      <c r="D65" s="1098" t="e">
        <f>SUMIF('[1]ПО КОРИСНИЦИМА'!$G$3:$G$11609,"Свега за пројекат 0601-П18:",'[1]ПО КОРИСНИЦИМА'!$H$3:$H$11609)</f>
        <v>#VALUE!</v>
      </c>
      <c r="E65" s="1099" t="e">
        <f t="shared" si="1"/>
        <v>#VALUE!</v>
      </c>
      <c r="F65" s="1100" t="e">
        <f>SUMIF('[1]ПО КОРИСНИЦИМА'!$G$3:$G$11609,"Свега за пројекат 0601-П18:",'[1]ПО КОРИСНИЦИМА'!$I$3:$I$11609)</f>
        <v>#VALUE!</v>
      </c>
      <c r="G65" s="1094" t="e">
        <f t="shared" si="0"/>
        <v>#VALUE!</v>
      </c>
      <c r="H65" s="1096"/>
    </row>
    <row r="66" spans="1:8" ht="12.75" hidden="1">
      <c r="A66" s="1086"/>
      <c r="B66" s="1086" t="s">
        <v>921</v>
      </c>
      <c r="C66" s="1093">
        <f>_xlfn.IFERROR(VLOOKUP(B66,'[1]ПО КОРИСНИЦИМА'!$C$3:$J$11609,5,FALSE),"")</f>
      </c>
      <c r="D66" s="1098" t="e">
        <f>SUMIF('[1]ПО КОРИСНИЦИМА'!$G$3:$G$11609,"Свега за пројекат 0601-П19:",'[1]ПО КОРИСНИЦИМА'!$H$3:$H$11609)</f>
        <v>#VALUE!</v>
      </c>
      <c r="E66" s="1099" t="e">
        <f t="shared" si="1"/>
        <v>#VALUE!</v>
      </c>
      <c r="F66" s="1100" t="e">
        <f>SUMIF('[1]ПО КОРИСНИЦИМА'!$G$3:$G$11609,"Свега за пројекат 0601-П19:",'[1]ПО КОРИСНИЦИМА'!$I$3:$I$11609)</f>
        <v>#VALUE!</v>
      </c>
      <c r="G66" s="1094" t="e">
        <f t="shared" si="0"/>
        <v>#VALUE!</v>
      </c>
      <c r="H66" s="1096"/>
    </row>
    <row r="67" spans="1:8" ht="12.75" hidden="1">
      <c r="A67" s="1086"/>
      <c r="B67" s="1086" t="s">
        <v>922</v>
      </c>
      <c r="C67" s="1093">
        <f>_xlfn.IFERROR(VLOOKUP(B67,'[1]ПО КОРИСНИЦИМА'!$C$3:$J$11609,5,FALSE),"")</f>
      </c>
      <c r="D67" s="1098" t="e">
        <f>SUMIF('[1]ПО КОРИСНИЦИМА'!$G$3:$G$11609,"Свега за пројекат 0601-П20:",'[1]ПО КОРИСНИЦИМА'!$H$3:$H$11609)</f>
        <v>#VALUE!</v>
      </c>
      <c r="E67" s="1099" t="e">
        <f t="shared" si="1"/>
        <v>#VALUE!</v>
      </c>
      <c r="F67" s="1100" t="e">
        <f>SUMIF('[1]ПО КОРИСНИЦИМА'!$G$3:$G$11609,"Свега за пројекат 0601-П20:",'[1]ПО КОРИСНИЦИМА'!$I$3:$I$11609)</f>
        <v>#VALUE!</v>
      </c>
      <c r="G67" s="1094" t="e">
        <f t="shared" si="0"/>
        <v>#VALUE!</v>
      </c>
      <c r="H67" s="1096"/>
    </row>
    <row r="68" spans="1:8" ht="12.75" hidden="1">
      <c r="A68" s="1086"/>
      <c r="B68" s="1086" t="s">
        <v>923</v>
      </c>
      <c r="C68" s="1093">
        <f>_xlfn.IFERROR(VLOOKUP(B68,'[1]ПО КОРИСНИЦИМА'!$C$3:$J$11609,5,FALSE),"")</f>
      </c>
      <c r="D68" s="1098" t="e">
        <f>SUMIF('[1]ПО КОРИСНИЦИМА'!$G$3:$G$11609,"Свега за пројекат 0601-П21:",'[1]ПО КОРИСНИЦИМА'!$H$3:$H$11609)</f>
        <v>#VALUE!</v>
      </c>
      <c r="E68" s="1099" t="e">
        <f t="shared" si="1"/>
        <v>#VALUE!</v>
      </c>
      <c r="F68" s="1100" t="e">
        <f>SUMIF('[1]ПО КОРИСНИЦИМА'!$G$3:$G$11609,"Свега за пројекат 0601-П21:",'[1]ПО КОРИСНИЦИМА'!$I$3:$I$11609)</f>
        <v>#VALUE!</v>
      </c>
      <c r="G68" s="1094" t="e">
        <f t="shared" si="0"/>
        <v>#VALUE!</v>
      </c>
      <c r="H68" s="1096"/>
    </row>
    <row r="69" spans="1:8" ht="12.75" hidden="1">
      <c r="A69" s="1086"/>
      <c r="B69" s="1086" t="s">
        <v>924</v>
      </c>
      <c r="C69" s="1093">
        <f>_xlfn.IFERROR(VLOOKUP(B69,'[1]ПО КОРИСНИЦИМА'!$C$3:$J$11609,5,FALSE),"")</f>
      </c>
      <c r="D69" s="1098" t="e">
        <f>SUMIF('[1]ПО КОРИСНИЦИМА'!$G$3:$G$11609,"Свега за пројекат 0601-П22:",'[1]ПО КОРИСНИЦИМА'!$H$3:$H$11609)</f>
        <v>#VALUE!</v>
      </c>
      <c r="E69" s="1099" t="e">
        <f t="shared" si="1"/>
        <v>#VALUE!</v>
      </c>
      <c r="F69" s="1100" t="e">
        <f>SUMIF('[1]ПО КОРИСНИЦИМА'!$G$3:$G$11609,"Свега за пројекат 0601-П22:",'[1]ПО КОРИСНИЦИМА'!$I$3:$I$11609)</f>
        <v>#VALUE!</v>
      </c>
      <c r="G69" s="1094" t="e">
        <f aca="true" t="shared" si="2" ref="G69:G132">D69+F69</f>
        <v>#VALUE!</v>
      </c>
      <c r="H69" s="1096"/>
    </row>
    <row r="70" spans="1:8" ht="12.75" hidden="1">
      <c r="A70" s="1086"/>
      <c r="B70" s="1086" t="s">
        <v>925</v>
      </c>
      <c r="C70" s="1093">
        <f>_xlfn.IFERROR(VLOOKUP(B70,'[1]ПО КОРИСНИЦИМА'!$C$3:$J$11609,5,FALSE),"")</f>
      </c>
      <c r="D70" s="1098" t="e">
        <f>SUMIF('[1]ПО КОРИСНИЦИМА'!$G$3:$G$11609,"Свега за пројекат 0601-П23:",'[1]ПО КОРИСНИЦИМА'!$H$3:$H$11609)</f>
        <v>#VALUE!</v>
      </c>
      <c r="E70" s="1099" t="e">
        <f aca="true" t="shared" si="3" ref="E70:E133">D70/452948288</f>
        <v>#VALUE!</v>
      </c>
      <c r="F70" s="1100" t="e">
        <f>SUMIF('[1]ПО КОРИСНИЦИМА'!$G$3:$G$11609,"Свега за пројекат 0601-П23:",'[1]ПО КОРИСНИЦИМА'!$I$3:$I$11609)</f>
        <v>#VALUE!</v>
      </c>
      <c r="G70" s="1094" t="e">
        <f t="shared" si="2"/>
        <v>#VALUE!</v>
      </c>
      <c r="H70" s="1096"/>
    </row>
    <row r="71" spans="1:8" ht="12.75" hidden="1">
      <c r="A71" s="1086"/>
      <c r="B71" s="1086" t="s">
        <v>926</v>
      </c>
      <c r="C71" s="1093">
        <f>_xlfn.IFERROR(VLOOKUP(B71,'[1]ПО КОРИСНИЦИМА'!$C$3:$J$11609,5,FALSE),"")</f>
      </c>
      <c r="D71" s="1098" t="e">
        <f>SUMIF('[1]ПО КОРИСНИЦИМА'!$G$3:$G$11609,"Свега за пројекат 0601-П24:",'[1]ПО КОРИСНИЦИМА'!$H$3:$H$11609)</f>
        <v>#VALUE!</v>
      </c>
      <c r="E71" s="1099" t="e">
        <f t="shared" si="3"/>
        <v>#VALUE!</v>
      </c>
      <c r="F71" s="1100" t="e">
        <f>SUMIF('[1]ПО КОРИСНИЦИМА'!$G$3:$G$11609,"Свега за пројекат 0601-П24:",'[1]ПО КОРИСНИЦИМА'!$I$3:$I$11609)</f>
        <v>#VALUE!</v>
      </c>
      <c r="G71" s="1094" t="e">
        <f t="shared" si="2"/>
        <v>#VALUE!</v>
      </c>
      <c r="H71" s="1096"/>
    </row>
    <row r="72" spans="1:8" ht="12.75" hidden="1">
      <c r="A72" s="1086"/>
      <c r="B72" s="1086" t="s">
        <v>927</v>
      </c>
      <c r="C72" s="1093">
        <f>_xlfn.IFERROR(VLOOKUP(B72,'[1]ПО КОРИСНИЦИМА'!$C$3:$J$11609,5,FALSE),"")</f>
      </c>
      <c r="D72" s="1098" t="e">
        <f>SUMIF('[1]ПО КОРИСНИЦИМА'!$G$3:$G$11609,"Свега за пројекат 0601-П25:",'[1]ПО КОРИСНИЦИМА'!$H$3:$H$11609)</f>
        <v>#VALUE!</v>
      </c>
      <c r="E72" s="1099" t="e">
        <f t="shared" si="3"/>
        <v>#VALUE!</v>
      </c>
      <c r="F72" s="1100" t="e">
        <f>SUMIF('[1]ПО КОРИСНИЦИМА'!$G$3:$G$11609,"Свега за пројекат 0601-П25:",'[1]ПО КОРИСНИЦИМА'!$I$3:$I$11609)</f>
        <v>#VALUE!</v>
      </c>
      <c r="G72" s="1094" t="e">
        <f t="shared" si="2"/>
        <v>#VALUE!</v>
      </c>
      <c r="H72" s="1096"/>
    </row>
    <row r="73" spans="1:8" ht="12.75" hidden="1">
      <c r="A73" s="1086"/>
      <c r="B73" s="1086" t="s">
        <v>928</v>
      </c>
      <c r="C73" s="1093">
        <f>_xlfn.IFERROR(VLOOKUP(B73,'[1]ПО КОРИСНИЦИМА'!$C$3:$J$11609,5,FALSE),"")</f>
      </c>
      <c r="D73" s="1098" t="e">
        <f>SUMIF('[1]ПО КОРИСНИЦИМА'!$G$3:$G$11609,"Свега за пројекат 0601-П26:",'[1]ПО КОРИСНИЦИМА'!$H$3:$H$11609)</f>
        <v>#VALUE!</v>
      </c>
      <c r="E73" s="1099" t="e">
        <f t="shared" si="3"/>
        <v>#VALUE!</v>
      </c>
      <c r="F73" s="1100" t="e">
        <f>SUMIF('[1]ПО КОРИСНИЦИМА'!$G$3:$G$11609,"Свега за пројекат 0601-П26:",'[1]ПО КОРИСНИЦИМА'!$I$3:$I$11609)</f>
        <v>#VALUE!</v>
      </c>
      <c r="G73" s="1094" t="e">
        <f t="shared" si="2"/>
        <v>#VALUE!</v>
      </c>
      <c r="H73" s="1096"/>
    </row>
    <row r="74" spans="1:8" ht="12.75" hidden="1">
      <c r="A74" s="1086"/>
      <c r="B74" s="1086" t="s">
        <v>929</v>
      </c>
      <c r="C74" s="1093">
        <f>_xlfn.IFERROR(VLOOKUP(B74,'[1]ПО КОРИСНИЦИМА'!$C$3:$J$11609,5,FALSE),"")</f>
      </c>
      <c r="D74" s="1098" t="e">
        <f>SUMIF('[1]ПО КОРИСНИЦИМА'!$G$3:$G$11609,"Свега за пројекат 0601-П27:",'[1]ПО КОРИСНИЦИМА'!$H$3:$H$11609)</f>
        <v>#VALUE!</v>
      </c>
      <c r="E74" s="1099" t="e">
        <f t="shared" si="3"/>
        <v>#VALUE!</v>
      </c>
      <c r="F74" s="1100" t="e">
        <f>SUMIF('[1]ПО КОРИСНИЦИМА'!$G$3:$G$11609,"Свега за пројекат 0601-П27:",'[1]ПО КОРИСНИЦИМА'!$I$3:$I$11609)</f>
        <v>#VALUE!</v>
      </c>
      <c r="G74" s="1094" t="e">
        <f t="shared" si="2"/>
        <v>#VALUE!</v>
      </c>
      <c r="H74" s="1096"/>
    </row>
    <row r="75" spans="1:8" ht="12.75" hidden="1">
      <c r="A75" s="1086"/>
      <c r="B75" s="1086" t="s">
        <v>930</v>
      </c>
      <c r="C75" s="1093">
        <f>_xlfn.IFERROR(VLOOKUP(B75,'[1]ПО КОРИСНИЦИМА'!$C$3:$J$11609,5,FALSE),"")</f>
      </c>
      <c r="D75" s="1098" t="e">
        <f>SUMIF('[1]ПО КОРИСНИЦИМА'!$G$3:$G$11609,"Свега за пројекат 0601-П28:",'[1]ПО КОРИСНИЦИМА'!$H$3:$H$11609)</f>
        <v>#VALUE!</v>
      </c>
      <c r="E75" s="1099" t="e">
        <f t="shared" si="3"/>
        <v>#VALUE!</v>
      </c>
      <c r="F75" s="1100" t="e">
        <f>SUMIF('[1]ПО КОРИСНИЦИМА'!$G$3:$G$11609,"Свега за пројекат 0601-П28:",'[1]ПО КОРИСНИЦИМА'!$I$3:$I$11609)</f>
        <v>#VALUE!</v>
      </c>
      <c r="G75" s="1094" t="e">
        <f t="shared" si="2"/>
        <v>#VALUE!</v>
      </c>
      <c r="H75" s="1096"/>
    </row>
    <row r="76" spans="1:8" ht="12.75" hidden="1">
      <c r="A76" s="1086"/>
      <c r="B76" s="1086" t="s">
        <v>931</v>
      </c>
      <c r="C76" s="1093">
        <f>_xlfn.IFERROR(VLOOKUP(B76,'[1]ПО КОРИСНИЦИМА'!$C$3:$J$11609,5,FALSE),"")</f>
      </c>
      <c r="D76" s="1098" t="e">
        <f>SUMIF('[1]ПО КОРИСНИЦИМА'!$G$3:$G$11609,"Свега за пројекат 0601-П29:",'[1]ПО КОРИСНИЦИМА'!$H$3:$H$11609)</f>
        <v>#VALUE!</v>
      </c>
      <c r="E76" s="1099" t="e">
        <f t="shared" si="3"/>
        <v>#VALUE!</v>
      </c>
      <c r="F76" s="1100" t="e">
        <f>SUMIF('[1]ПО КОРИСНИЦИМА'!$G$3:$G$11609,"Свега за пројекат 0601-П29:",'[1]ПО КОРИСНИЦИМА'!$I$3:$I$11609)</f>
        <v>#VALUE!</v>
      </c>
      <c r="G76" s="1094" t="e">
        <f t="shared" si="2"/>
        <v>#VALUE!</v>
      </c>
      <c r="H76" s="1096"/>
    </row>
    <row r="77" spans="1:8" ht="12.75" hidden="1">
      <c r="A77" s="1086"/>
      <c r="B77" s="1086" t="s">
        <v>932</v>
      </c>
      <c r="C77" s="1093">
        <f>_xlfn.IFERROR(VLOOKUP(B77,'[1]ПО КОРИСНИЦИМА'!$C$3:$J$11609,5,FALSE),"")</f>
      </c>
      <c r="D77" s="1098" t="e">
        <f>SUMIF('[1]ПО КОРИСНИЦИМА'!$G$3:$G$11609,"Свега за пројекат 0601-П30:",'[1]ПО КОРИСНИЦИМА'!$H$3:$H$11609)</f>
        <v>#VALUE!</v>
      </c>
      <c r="E77" s="1099" t="e">
        <f t="shared" si="3"/>
        <v>#VALUE!</v>
      </c>
      <c r="F77" s="1100" t="e">
        <f>SUMIF('[1]ПО КОРИСНИЦИМА'!$G$3:$G$11609,"Свега за пројекат 0601-П30:",'[1]ПО КОРИСНИЦИМА'!$I$3:$I$11609)</f>
        <v>#VALUE!</v>
      </c>
      <c r="G77" s="1094" t="e">
        <f t="shared" si="2"/>
        <v>#VALUE!</v>
      </c>
      <c r="H77" s="1096"/>
    </row>
    <row r="78" spans="1:8" ht="12.75" hidden="1">
      <c r="A78" s="1086"/>
      <c r="B78" s="1086" t="s">
        <v>933</v>
      </c>
      <c r="C78" s="1093">
        <f>_xlfn.IFERROR(VLOOKUP(B78,'[1]ПО КОРИСНИЦИМА'!$C$3:$J$11609,5,FALSE),"")</f>
      </c>
      <c r="D78" s="1098" t="e">
        <f>SUMIF('[1]ПО КОРИСНИЦИМА'!$G$3:$G$11609,"Свега за пројекат 0601-П31:",'[1]ПО КОРИСНИЦИМА'!$H$3:$H$11609)</f>
        <v>#VALUE!</v>
      </c>
      <c r="E78" s="1099" t="e">
        <f t="shared" si="3"/>
        <v>#VALUE!</v>
      </c>
      <c r="F78" s="1100" t="e">
        <f>SUMIF('[1]ПО КОРИСНИЦИМА'!$G$3:$G$11609,"Свега за пројекат 0601-П31:",'[1]ПО КОРИСНИЦИМА'!$I$3:$I$11609)</f>
        <v>#VALUE!</v>
      </c>
      <c r="G78" s="1094" t="e">
        <f t="shared" si="2"/>
        <v>#VALUE!</v>
      </c>
      <c r="H78" s="1096"/>
    </row>
    <row r="79" spans="1:8" ht="12.75" hidden="1">
      <c r="A79" s="1086"/>
      <c r="B79" s="1086" t="s">
        <v>934</v>
      </c>
      <c r="C79" s="1093">
        <f>_xlfn.IFERROR(VLOOKUP(B79,'[1]ПО КОРИСНИЦИМА'!$C$3:$J$11609,5,FALSE),"")</f>
      </c>
      <c r="D79" s="1098" t="e">
        <f>SUMIF('[1]ПО КОРИСНИЦИМА'!$G$3:$G$11609,"Свега за пројекат 0601-П32:",'[1]ПО КОРИСНИЦИМА'!$H$3:$H$11609)</f>
        <v>#VALUE!</v>
      </c>
      <c r="E79" s="1099" t="e">
        <f t="shared" si="3"/>
        <v>#VALUE!</v>
      </c>
      <c r="F79" s="1100" t="e">
        <f>SUMIF('[1]ПО КОРИСНИЦИМА'!$G$3:$G$11609,"Свега за пројекат 0601-П32:",'[1]ПО КОРИСНИЦИМА'!$I$3:$I$11609)</f>
        <v>#VALUE!</v>
      </c>
      <c r="G79" s="1094" t="e">
        <f t="shared" si="2"/>
        <v>#VALUE!</v>
      </c>
      <c r="H79" s="1096"/>
    </row>
    <row r="80" spans="1:8" ht="12.75" hidden="1">
      <c r="A80" s="1086"/>
      <c r="B80" s="1086" t="s">
        <v>935</v>
      </c>
      <c r="C80" s="1093">
        <f>_xlfn.IFERROR(VLOOKUP(B80,'[1]ПО КОРИСНИЦИМА'!$C$3:$J$11609,5,FALSE),"")</f>
      </c>
      <c r="D80" s="1098" t="e">
        <f>SUMIF('[1]ПО КОРИСНИЦИМА'!$G$3:$G$11609,"Свега за пројекат 0601-П33:",'[1]ПО КОРИСНИЦИМА'!$H$3:$H$11609)</f>
        <v>#VALUE!</v>
      </c>
      <c r="E80" s="1099" t="e">
        <f t="shared" si="3"/>
        <v>#VALUE!</v>
      </c>
      <c r="F80" s="1100" t="e">
        <f>SUMIF('[1]ПО КОРИСНИЦИМА'!$G$3:$G$11609,"Свега за пројекат 0601-П33:",'[1]ПО КОРИСНИЦИМА'!$I$3:$I$11609)</f>
        <v>#VALUE!</v>
      </c>
      <c r="G80" s="1094" t="e">
        <f t="shared" si="2"/>
        <v>#VALUE!</v>
      </c>
      <c r="H80" s="1096"/>
    </row>
    <row r="81" spans="1:8" ht="12.75" hidden="1">
      <c r="A81" s="1086"/>
      <c r="B81" s="1086" t="s">
        <v>936</v>
      </c>
      <c r="C81" s="1093">
        <f>_xlfn.IFERROR(VLOOKUP(B81,'[1]ПО КОРИСНИЦИМА'!$C$3:$J$11609,5,FALSE),"")</f>
      </c>
      <c r="D81" s="1098" t="e">
        <f>SUMIF('[1]ПО КОРИСНИЦИМА'!$G$3:$G$11609,"Свега за пројекат 0601-П34:",'[1]ПО КОРИСНИЦИМА'!$H$3:$H$11609)</f>
        <v>#VALUE!</v>
      </c>
      <c r="E81" s="1099" t="e">
        <f t="shared" si="3"/>
        <v>#VALUE!</v>
      </c>
      <c r="F81" s="1100" t="e">
        <f>SUMIF('[1]ПО КОРИСНИЦИМА'!$G$3:$G$11609,"Свега за пројекат 0601-П34:",'[1]ПО КОРИСНИЦИМА'!$I$3:$I$11609)</f>
        <v>#VALUE!</v>
      </c>
      <c r="G81" s="1094" t="e">
        <f t="shared" si="2"/>
        <v>#VALUE!</v>
      </c>
      <c r="H81" s="1096"/>
    </row>
    <row r="82" spans="1:8" ht="12.75" hidden="1">
      <c r="A82" s="1086"/>
      <c r="B82" s="1086" t="s">
        <v>937</v>
      </c>
      <c r="C82" s="1093">
        <f>_xlfn.IFERROR(VLOOKUP(B82,'[1]ПО КОРИСНИЦИМА'!$C$3:$J$11609,5,FALSE),"")</f>
      </c>
      <c r="D82" s="1098" t="e">
        <f>SUMIF('[1]ПО КОРИСНИЦИМА'!$G$3:$G$11609,"Свега за пројекат 0601-П35:",'[1]ПО КОРИСНИЦИМА'!$H$3:$H$11609)</f>
        <v>#VALUE!</v>
      </c>
      <c r="E82" s="1099" t="e">
        <f t="shared" si="3"/>
        <v>#VALUE!</v>
      </c>
      <c r="F82" s="1100" t="e">
        <f>SUMIF('[1]ПО КОРИСНИЦИМА'!$G$3:$G$11609,"Свега за пројекат 0601-П35:",'[1]ПО КОРИСНИЦИМА'!$I$3:$I$11609)</f>
        <v>#VALUE!</v>
      </c>
      <c r="G82" s="1094" t="e">
        <f t="shared" si="2"/>
        <v>#VALUE!</v>
      </c>
      <c r="H82" s="1096"/>
    </row>
    <row r="83" spans="1:8" ht="12.75" hidden="1">
      <c r="A83" s="1086"/>
      <c r="B83" s="1086" t="s">
        <v>938</v>
      </c>
      <c r="C83" s="1093">
        <f>_xlfn.IFERROR(VLOOKUP(B83,'[1]ПО КОРИСНИЦИМА'!$C$3:$J$11609,5,FALSE),"")</f>
      </c>
      <c r="D83" s="1098" t="e">
        <f>SUMIF('[1]ПО КОРИСНИЦИМА'!$G$3:$G$11609,"Свега за пројекат 0601-П36:",'[1]ПО КОРИСНИЦИМА'!$H$3:$H$11609)</f>
        <v>#VALUE!</v>
      </c>
      <c r="E83" s="1099" t="e">
        <f t="shared" si="3"/>
        <v>#VALUE!</v>
      </c>
      <c r="F83" s="1100" t="e">
        <f>SUMIF('[1]ПО КОРИСНИЦИМА'!$G$3:$G$11609,"Свега за пројекат 0601-П36:",'[1]ПО КОРИСНИЦИМА'!$I$3:$I$11609)</f>
        <v>#VALUE!</v>
      </c>
      <c r="G83" s="1094" t="e">
        <f t="shared" si="2"/>
        <v>#VALUE!</v>
      </c>
      <c r="H83" s="1096"/>
    </row>
    <row r="84" spans="1:8" ht="12.75" hidden="1">
      <c r="A84" s="1086"/>
      <c r="B84" s="1086" t="s">
        <v>939</v>
      </c>
      <c r="C84" s="1093">
        <f>_xlfn.IFERROR(VLOOKUP(B84,'[1]ПО КОРИСНИЦИМА'!$C$3:$J$11609,5,FALSE),"")</f>
      </c>
      <c r="D84" s="1098" t="e">
        <f>SUMIF('[1]ПО КОРИСНИЦИМА'!$G$3:$G$11609,"Свега за пројекат 0601-П37:",'[1]ПО КОРИСНИЦИМА'!$H$3:$H$11609)</f>
        <v>#VALUE!</v>
      </c>
      <c r="E84" s="1099" t="e">
        <f t="shared" si="3"/>
        <v>#VALUE!</v>
      </c>
      <c r="F84" s="1100" t="e">
        <f>SUMIF('[1]ПО КОРИСНИЦИМА'!$G$3:$G$11609,"Свега за пројекат 0601-П37:",'[1]ПО КОРИСНИЦИМА'!$I$3:$I$11609)</f>
        <v>#VALUE!</v>
      </c>
      <c r="G84" s="1094" t="e">
        <f t="shared" si="2"/>
        <v>#VALUE!</v>
      </c>
      <c r="H84" s="1096"/>
    </row>
    <row r="85" spans="1:8" ht="12.75" hidden="1">
      <c r="A85" s="1086"/>
      <c r="B85" s="1086" t="s">
        <v>940</v>
      </c>
      <c r="C85" s="1093">
        <f>_xlfn.IFERROR(VLOOKUP(B85,'[1]ПО КОРИСНИЦИМА'!$C$3:$J$11609,5,FALSE),"")</f>
      </c>
      <c r="D85" s="1098" t="e">
        <f>SUMIF('[1]ПО КОРИСНИЦИМА'!$G$3:$G$11609,"Свега за пројекат 0601-П38:",'[1]ПО КОРИСНИЦИМА'!$H$3:$H$11609)</f>
        <v>#VALUE!</v>
      </c>
      <c r="E85" s="1099" t="e">
        <f t="shared" si="3"/>
        <v>#VALUE!</v>
      </c>
      <c r="F85" s="1100" t="e">
        <f>SUMIF('[1]ПО КОРИСНИЦИМА'!$G$3:$G$11609,"Свега за пројекат 0601-П38:",'[1]ПО КОРИСНИЦИМА'!$I$3:$I$11609)</f>
        <v>#VALUE!</v>
      </c>
      <c r="G85" s="1094" t="e">
        <f t="shared" si="2"/>
        <v>#VALUE!</v>
      </c>
      <c r="H85" s="1096"/>
    </row>
    <row r="86" spans="1:8" ht="12.75" hidden="1">
      <c r="A86" s="1086"/>
      <c r="B86" s="1086" t="s">
        <v>941</v>
      </c>
      <c r="C86" s="1093">
        <f>_xlfn.IFERROR(VLOOKUP(B86,'[1]ПО КОРИСНИЦИМА'!$C$3:$J$11609,5,FALSE),"")</f>
      </c>
      <c r="D86" s="1098" t="e">
        <f>SUMIF('[1]ПО КОРИСНИЦИМА'!$G$3:$G$11609,"Свега за пројекат 0601-П39:",'[1]ПО КОРИСНИЦИМА'!$H$3:$H$11609)</f>
        <v>#VALUE!</v>
      </c>
      <c r="E86" s="1099" t="e">
        <f t="shared" si="3"/>
        <v>#VALUE!</v>
      </c>
      <c r="F86" s="1100" t="e">
        <f>SUMIF('[1]ПО КОРИСНИЦИМА'!$G$3:$G$11609,"Свега за пројекат 0601-П39:",'[1]ПО КОРИСНИЦИМА'!$I$3:$I$11609)</f>
        <v>#VALUE!</v>
      </c>
      <c r="G86" s="1094" t="e">
        <f t="shared" si="2"/>
        <v>#VALUE!</v>
      </c>
      <c r="H86" s="1096"/>
    </row>
    <row r="87" spans="1:8" ht="12.75" hidden="1">
      <c r="A87" s="1086"/>
      <c r="B87" s="1086" t="s">
        <v>942</v>
      </c>
      <c r="C87" s="1093">
        <f>_xlfn.IFERROR(VLOOKUP(B87,'[1]ПО КОРИСНИЦИМА'!$C$3:$J$11609,5,FALSE),"")</f>
      </c>
      <c r="D87" s="1098" t="e">
        <f>SUMIF('[1]ПО КОРИСНИЦИМА'!$G$3:$G$11609,"Свега за пројекат 0601-П40:",'[1]ПО КОРИСНИЦИМА'!$H$3:$H$11609)</f>
        <v>#VALUE!</v>
      </c>
      <c r="E87" s="1099" t="e">
        <f t="shared" si="3"/>
        <v>#VALUE!</v>
      </c>
      <c r="F87" s="1100" t="e">
        <f>SUMIF('[1]ПО КОРИСНИЦИМА'!$G$3:$G$11609,"Свега за пројекат 0601-П40:",'[1]ПО КОРИСНИЦИМА'!$I$3:$I$11609)</f>
        <v>#VALUE!</v>
      </c>
      <c r="G87" s="1094" t="e">
        <f t="shared" si="2"/>
        <v>#VALUE!</v>
      </c>
      <c r="H87" s="1096"/>
    </row>
    <row r="88" spans="1:8" ht="12.75" hidden="1">
      <c r="A88" s="1086"/>
      <c r="B88" s="1086" t="s">
        <v>943</v>
      </c>
      <c r="C88" s="1093">
        <f>_xlfn.IFERROR(VLOOKUP(B88,'[1]ПО КОРИСНИЦИМА'!$C$3:$J$11609,5,FALSE),"")</f>
      </c>
      <c r="D88" s="1098" t="e">
        <f>SUMIF('[1]ПО КОРИСНИЦИМА'!$G$3:$G$11609,"Свега за пројекат 0601-П41:",'[1]ПО КОРИСНИЦИМА'!$H$3:$H$11609)</f>
        <v>#VALUE!</v>
      </c>
      <c r="E88" s="1099" t="e">
        <f t="shared" si="3"/>
        <v>#VALUE!</v>
      </c>
      <c r="F88" s="1100" t="e">
        <f>SUMIF('[1]ПО КОРИСНИЦИМА'!$G$3:$G$11609,"Свега за пројекат 0601-П41:",'[1]ПО КОРИСНИЦИМА'!$I$3:$I$11609)</f>
        <v>#VALUE!</v>
      </c>
      <c r="G88" s="1094" t="e">
        <f t="shared" si="2"/>
        <v>#VALUE!</v>
      </c>
      <c r="H88" s="1096"/>
    </row>
    <row r="89" spans="1:8" ht="12.75" hidden="1">
      <c r="A89" s="1086"/>
      <c r="B89" s="1086" t="s">
        <v>944</v>
      </c>
      <c r="C89" s="1093">
        <f>_xlfn.IFERROR(VLOOKUP(B89,'[1]ПО КОРИСНИЦИМА'!$C$3:$J$11609,5,FALSE),"")</f>
      </c>
      <c r="D89" s="1098" t="e">
        <f>SUMIF('[1]ПО КОРИСНИЦИМА'!$G$3:$G$11609,"Свега за пројекат 0601-П42:",'[1]ПО КОРИСНИЦИМА'!$H$3:$H$11609)</f>
        <v>#VALUE!</v>
      </c>
      <c r="E89" s="1099" t="e">
        <f t="shared" si="3"/>
        <v>#VALUE!</v>
      </c>
      <c r="F89" s="1100" t="e">
        <f>SUMIF('[1]ПО КОРИСНИЦИМА'!$G$3:$G$11609,"Свега за пројекат 0601-П42:",'[1]ПО КОРИСНИЦИМА'!$I$3:$I$11609)</f>
        <v>#VALUE!</v>
      </c>
      <c r="G89" s="1094" t="e">
        <f t="shared" si="2"/>
        <v>#VALUE!</v>
      </c>
      <c r="H89" s="1096"/>
    </row>
    <row r="90" spans="1:8" ht="12.75" hidden="1">
      <c r="A90" s="1086"/>
      <c r="B90" s="1086" t="s">
        <v>945</v>
      </c>
      <c r="C90" s="1093">
        <f>_xlfn.IFERROR(VLOOKUP(B90,'[1]ПО КОРИСНИЦИМА'!$C$3:$J$11609,5,FALSE),"")</f>
      </c>
      <c r="D90" s="1098" t="e">
        <f>SUMIF('[1]ПО КОРИСНИЦИМА'!$G$3:$G$11609,"Свега за пројекат 0601-П43:",'[1]ПО КОРИСНИЦИМА'!$H$3:$H$11609)</f>
        <v>#VALUE!</v>
      </c>
      <c r="E90" s="1099" t="e">
        <f t="shared" si="3"/>
        <v>#VALUE!</v>
      </c>
      <c r="F90" s="1100" t="e">
        <f>SUMIF('[1]ПО КОРИСНИЦИМА'!$G$3:$G$11609,"Свега за пројекат 0601-П43:",'[1]ПО КОРИСНИЦИМА'!$I$3:$I$11609)</f>
        <v>#VALUE!</v>
      </c>
      <c r="G90" s="1094" t="e">
        <f t="shared" si="2"/>
        <v>#VALUE!</v>
      </c>
      <c r="H90" s="1096"/>
    </row>
    <row r="91" spans="1:8" ht="12.75" hidden="1">
      <c r="A91" s="1086"/>
      <c r="B91" s="1086" t="s">
        <v>946</v>
      </c>
      <c r="C91" s="1093">
        <f>_xlfn.IFERROR(VLOOKUP(B91,'[1]ПО КОРИСНИЦИМА'!$C$3:$J$11609,5,FALSE),"")</f>
      </c>
      <c r="D91" s="1098" t="e">
        <f>SUMIF('[1]ПО КОРИСНИЦИМА'!$G$3:$G$11609,"Свега за пројекат 0601-П44:",'[1]ПО КОРИСНИЦИМА'!$H$3:$H$11609)</f>
        <v>#VALUE!</v>
      </c>
      <c r="E91" s="1099" t="e">
        <f t="shared" si="3"/>
        <v>#VALUE!</v>
      </c>
      <c r="F91" s="1100" t="e">
        <f>SUMIF('[1]ПО КОРИСНИЦИМА'!$G$3:$G$11609,"Свега за пројекат 0601-П44:",'[1]ПО КОРИСНИЦИМА'!$I$3:$I$11609)</f>
        <v>#VALUE!</v>
      </c>
      <c r="G91" s="1094" t="e">
        <f t="shared" si="2"/>
        <v>#VALUE!</v>
      </c>
      <c r="H91" s="1096"/>
    </row>
    <row r="92" spans="1:8" ht="12.75" hidden="1">
      <c r="A92" s="1086"/>
      <c r="B92" s="1086" t="s">
        <v>947</v>
      </c>
      <c r="C92" s="1093">
        <f>_xlfn.IFERROR(VLOOKUP(B92,'[1]ПО КОРИСНИЦИМА'!$C$3:$J$11609,5,FALSE),"")</f>
      </c>
      <c r="D92" s="1098" t="e">
        <f>SUMIF('[1]ПО КОРИСНИЦИМА'!$G$3:$G$11609,"Свега за пројекат 0601-П45:",'[1]ПО КОРИСНИЦИМА'!$H$3:$H$11609)</f>
        <v>#VALUE!</v>
      </c>
      <c r="E92" s="1099" t="e">
        <f t="shared" si="3"/>
        <v>#VALUE!</v>
      </c>
      <c r="F92" s="1100" t="e">
        <f>SUMIF('[1]ПО КОРИСНИЦИМА'!$G$3:$G$11609,"Свега за пројекат 0601-П45:",'[1]ПО КОРИСНИЦИМА'!$I$3:$I$11609)</f>
        <v>#VALUE!</v>
      </c>
      <c r="G92" s="1094" t="e">
        <f t="shared" si="2"/>
        <v>#VALUE!</v>
      </c>
      <c r="H92" s="1096"/>
    </row>
    <row r="93" spans="1:8" ht="12.75" hidden="1">
      <c r="A93" s="1086"/>
      <c r="B93" s="1086" t="s">
        <v>948</v>
      </c>
      <c r="C93" s="1093">
        <f>_xlfn.IFERROR(VLOOKUP(B93,'[1]ПО КОРИСНИЦИМА'!$C$3:$J$11609,5,FALSE),"")</f>
      </c>
      <c r="D93" s="1098" t="e">
        <f>SUMIF('[1]ПО КОРИСНИЦИМА'!$G$3:$G$11609,"Свега за пројекат 0601-П46:",'[1]ПО КОРИСНИЦИМА'!$H$3:$H$11609)</f>
        <v>#VALUE!</v>
      </c>
      <c r="E93" s="1099" t="e">
        <f t="shared" si="3"/>
        <v>#VALUE!</v>
      </c>
      <c r="F93" s="1100" t="e">
        <f>SUMIF('[1]ПО КОРИСНИЦИМА'!$G$3:$G$11609,"Свега за пројекат 0601-П46:",'[1]ПО КОРИСНИЦИМА'!$I$3:$I$11609)</f>
        <v>#VALUE!</v>
      </c>
      <c r="G93" s="1094" t="e">
        <f t="shared" si="2"/>
        <v>#VALUE!</v>
      </c>
      <c r="H93" s="1096"/>
    </row>
    <row r="94" spans="1:8" ht="12.75" hidden="1">
      <c r="A94" s="1086"/>
      <c r="B94" s="1086" t="s">
        <v>949</v>
      </c>
      <c r="C94" s="1093">
        <f>_xlfn.IFERROR(VLOOKUP(B94,'[1]ПО КОРИСНИЦИМА'!$C$3:$J$11609,5,FALSE),"")</f>
      </c>
      <c r="D94" s="1098" t="e">
        <f>SUMIF('[1]ПО КОРИСНИЦИМА'!$G$3:$G$11609,"Свега за пројекат 0601-П47:",'[1]ПО КОРИСНИЦИМА'!$H$3:$H$11609)</f>
        <v>#VALUE!</v>
      </c>
      <c r="E94" s="1099" t="e">
        <f t="shared" si="3"/>
        <v>#VALUE!</v>
      </c>
      <c r="F94" s="1100" t="e">
        <f>SUMIF('[1]ПО КОРИСНИЦИМА'!$G$3:$G$11609,"Свега за пројекат 0601-П47:",'[1]ПО КОРИСНИЦИМА'!$I$3:$I$11609)</f>
        <v>#VALUE!</v>
      </c>
      <c r="G94" s="1094" t="e">
        <f t="shared" si="2"/>
        <v>#VALUE!</v>
      </c>
      <c r="H94" s="1096"/>
    </row>
    <row r="95" spans="1:8" ht="12.75" hidden="1">
      <c r="A95" s="1086"/>
      <c r="B95" s="1086" t="s">
        <v>950</v>
      </c>
      <c r="C95" s="1093">
        <f>_xlfn.IFERROR(VLOOKUP(B95,'[1]ПО КОРИСНИЦИМА'!$C$3:$J$11609,5,FALSE),"")</f>
      </c>
      <c r="D95" s="1098" t="e">
        <f>SUMIF('[1]ПО КОРИСНИЦИМА'!$G$3:$G$11609,"Свега за пројекат 0601-П48:",'[1]ПО КОРИСНИЦИМА'!$H$3:$H$11609)</f>
        <v>#VALUE!</v>
      </c>
      <c r="E95" s="1099" t="e">
        <f t="shared" si="3"/>
        <v>#VALUE!</v>
      </c>
      <c r="F95" s="1100" t="e">
        <f>SUMIF('[1]ПО КОРИСНИЦИМА'!$G$3:$G$11609,"Свега за пројекат 0601-П48:",'[1]ПО КОРИСНИЦИМА'!$I$3:$I$11609)</f>
        <v>#VALUE!</v>
      </c>
      <c r="G95" s="1094" t="e">
        <f t="shared" si="2"/>
        <v>#VALUE!</v>
      </c>
      <c r="H95" s="1096"/>
    </row>
    <row r="96" spans="1:8" ht="12.75" hidden="1">
      <c r="A96" s="1086"/>
      <c r="B96" s="1086" t="s">
        <v>951</v>
      </c>
      <c r="C96" s="1093">
        <f>_xlfn.IFERROR(VLOOKUP(B96,'[1]ПО КОРИСНИЦИМА'!$C$3:$J$11609,5,FALSE),"")</f>
      </c>
      <c r="D96" s="1098" t="e">
        <f>SUMIF('[1]ПО КОРИСНИЦИМА'!$G$3:$G$11609,"Свега за пројекат 0601-П49:",'[1]ПО КОРИСНИЦИМА'!$H$3:$H$11609)</f>
        <v>#VALUE!</v>
      </c>
      <c r="E96" s="1099" t="e">
        <f t="shared" si="3"/>
        <v>#VALUE!</v>
      </c>
      <c r="F96" s="1100" t="e">
        <f>SUMIF('[1]ПО КОРИСНИЦИМА'!$G$3:$G$11609,"Свега за пројекат 0601-П49:",'[1]ПО КОРИСНИЦИМА'!$I$3:$I$11609)</f>
        <v>#VALUE!</v>
      </c>
      <c r="G96" s="1094" t="e">
        <f t="shared" si="2"/>
        <v>#VALUE!</v>
      </c>
      <c r="H96" s="1096"/>
    </row>
    <row r="97" spans="1:8" ht="12.75" hidden="1">
      <c r="A97" s="1086"/>
      <c r="B97" s="1086" t="s">
        <v>952</v>
      </c>
      <c r="C97" s="1093">
        <f>_xlfn.IFERROR(VLOOKUP(B97,'[1]ПО КОРИСНИЦИМА'!$C$3:$J$11609,5,FALSE),"")</f>
      </c>
      <c r="D97" s="1098" t="e">
        <f>SUMIF('[1]ПО КОРИСНИЦИМА'!$G$3:$G$11609,"Свега за пројекат 0601-П50:",'[1]ПО КОРИСНИЦИМА'!$H$3:$H$11609)</f>
        <v>#VALUE!</v>
      </c>
      <c r="E97" s="1099" t="e">
        <f t="shared" si="3"/>
        <v>#VALUE!</v>
      </c>
      <c r="F97" s="1100" t="e">
        <f>SUMIF('[1]ПО КОРИСНИЦИМА'!$G$3:$G$11609,"Свега за пројекат 0601-П50:",'[1]ПО КОРИСНИЦИМА'!$I$3:$I$11609)</f>
        <v>#VALUE!</v>
      </c>
      <c r="G97" s="1094" t="e">
        <f t="shared" si="2"/>
        <v>#VALUE!</v>
      </c>
      <c r="H97" s="1096"/>
    </row>
    <row r="98" spans="1:8" ht="12.75">
      <c r="A98" s="1087" t="s">
        <v>826</v>
      </c>
      <c r="B98" s="1088"/>
      <c r="C98" s="1089" t="s">
        <v>1169</v>
      </c>
      <c r="D98" s="1090">
        <f>SUM(D99:D106)</f>
        <v>6030000</v>
      </c>
      <c r="E98" s="1091">
        <f t="shared" si="3"/>
        <v>0.013312777991998946</v>
      </c>
      <c r="F98" s="1090">
        <f>SUM(F103:F106)</f>
        <v>3065000</v>
      </c>
      <c r="G98" s="1090">
        <f t="shared" si="2"/>
        <v>9095000</v>
      </c>
      <c r="H98" s="1092"/>
    </row>
    <row r="99" spans="1:8" ht="12.75">
      <c r="A99" s="1086"/>
      <c r="B99" s="1086" t="s">
        <v>844</v>
      </c>
      <c r="C99" s="1101" t="s">
        <v>1388</v>
      </c>
      <c r="D99" s="1094">
        <f>'Rashodi-2020'!N347</f>
        <v>2000000</v>
      </c>
      <c r="E99" s="1095">
        <f t="shared" si="3"/>
        <v>0.004415515088556864</v>
      </c>
      <c r="F99" s="1097">
        <f>'Rashodi-2020'!U347</f>
        <v>0</v>
      </c>
      <c r="G99" s="1094">
        <f t="shared" si="2"/>
        <v>2000000</v>
      </c>
      <c r="H99" s="1096" t="s">
        <v>1173</v>
      </c>
    </row>
    <row r="100" spans="1:8" ht="12.75" hidden="1">
      <c r="A100" s="1086"/>
      <c r="B100" s="1086" t="s">
        <v>845</v>
      </c>
      <c r="C100" s="1101" t="s">
        <v>846</v>
      </c>
      <c r="D100" s="1094"/>
      <c r="E100" s="1095">
        <f t="shared" si="3"/>
        <v>0</v>
      </c>
      <c r="F100" s="1097"/>
      <c r="G100" s="1094">
        <f t="shared" si="2"/>
        <v>0</v>
      </c>
      <c r="H100" s="1096"/>
    </row>
    <row r="101" spans="1:8" ht="12.75" hidden="1">
      <c r="A101" s="1086"/>
      <c r="B101" s="1086" t="s">
        <v>847</v>
      </c>
      <c r="C101" s="1101" t="s">
        <v>848</v>
      </c>
      <c r="D101" s="1094"/>
      <c r="E101" s="1095">
        <f t="shared" si="3"/>
        <v>0</v>
      </c>
      <c r="F101" s="1097"/>
      <c r="G101" s="1094">
        <f t="shared" si="2"/>
        <v>0</v>
      </c>
      <c r="H101" s="1096"/>
    </row>
    <row r="102" spans="1:8" ht="12.75" hidden="1">
      <c r="A102" s="1086"/>
      <c r="B102" s="1086" t="s">
        <v>849</v>
      </c>
      <c r="C102" s="1101" t="s">
        <v>850</v>
      </c>
      <c r="D102" s="1094"/>
      <c r="E102" s="1095">
        <f t="shared" si="3"/>
        <v>0</v>
      </c>
      <c r="F102" s="1097"/>
      <c r="G102" s="1094">
        <f t="shared" si="2"/>
        <v>0</v>
      </c>
      <c r="H102" s="1096"/>
    </row>
    <row r="103" spans="1:8" ht="12.75">
      <c r="A103" s="1086"/>
      <c r="B103" s="1086" t="s">
        <v>845</v>
      </c>
      <c r="C103" s="1101" t="s">
        <v>1262</v>
      </c>
      <c r="D103" s="1094">
        <f>'Rashodi-2020'!N353</f>
        <v>1500000</v>
      </c>
      <c r="E103" s="1095">
        <f t="shared" si="3"/>
        <v>0.003311636316417648</v>
      </c>
      <c r="F103" s="1094">
        <f>'Rashodi-2020'!U353</f>
        <v>0</v>
      </c>
      <c r="G103" s="1094">
        <f t="shared" si="2"/>
        <v>1500000</v>
      </c>
      <c r="H103" s="1096" t="s">
        <v>1173</v>
      </c>
    </row>
    <row r="104" spans="1:8" ht="12.75">
      <c r="A104" s="1086"/>
      <c r="B104" s="1086" t="s">
        <v>847</v>
      </c>
      <c r="C104" s="1093" t="s">
        <v>1354</v>
      </c>
      <c r="D104" s="1098">
        <f>'Rashodi-2020'!N350</f>
        <v>1500000</v>
      </c>
      <c r="E104" s="1095">
        <f t="shared" si="3"/>
        <v>0.003311636316417648</v>
      </c>
      <c r="F104" s="1098">
        <f>'Rashodi-2020'!U350</f>
        <v>0</v>
      </c>
      <c r="G104" s="1094">
        <f t="shared" si="2"/>
        <v>1500000</v>
      </c>
      <c r="H104" s="1096" t="s">
        <v>1173</v>
      </c>
    </row>
    <row r="105" spans="1:8" ht="12.75">
      <c r="A105" s="1086"/>
      <c r="B105" s="1086" t="s">
        <v>953</v>
      </c>
      <c r="C105" s="1093" t="s">
        <v>1295</v>
      </c>
      <c r="D105" s="1098">
        <f>'Rashodi-2020'!N339</f>
        <v>10000</v>
      </c>
      <c r="E105" s="1095">
        <f t="shared" si="3"/>
        <v>2.207757544278432E-05</v>
      </c>
      <c r="F105" s="1100">
        <f>'Rashodi-2020'!U339</f>
        <v>0</v>
      </c>
      <c r="G105" s="1094">
        <f t="shared" si="2"/>
        <v>10000</v>
      </c>
      <c r="H105" s="1096" t="s">
        <v>1173</v>
      </c>
    </row>
    <row r="106" spans="1:8" ht="22.5" customHeight="1">
      <c r="A106" s="1086"/>
      <c r="B106" s="1086" t="s">
        <v>954</v>
      </c>
      <c r="C106" s="1105" t="s">
        <v>1311</v>
      </c>
      <c r="D106" s="1098">
        <f>'Rashodi-2020'!N342</f>
        <v>1020000</v>
      </c>
      <c r="E106" s="1095">
        <f t="shared" si="3"/>
        <v>0.0022519126951640006</v>
      </c>
      <c r="F106" s="1100">
        <f>'Rashodi-2020'!U342</f>
        <v>3065000</v>
      </c>
      <c r="G106" s="1094">
        <f t="shared" si="2"/>
        <v>4085000</v>
      </c>
      <c r="H106" s="1096" t="s">
        <v>1173</v>
      </c>
    </row>
    <row r="107" spans="1:8" ht="12.75" hidden="1">
      <c r="A107" s="1086"/>
      <c r="B107" s="1086" t="s">
        <v>953</v>
      </c>
      <c r="C107" s="1101"/>
      <c r="D107" s="1098"/>
      <c r="E107" s="1099">
        <f t="shared" si="3"/>
        <v>0</v>
      </c>
      <c r="F107" s="1100"/>
      <c r="G107" s="1094">
        <f t="shared" si="2"/>
        <v>0</v>
      </c>
      <c r="H107" s="1096"/>
    </row>
    <row r="108" spans="1:8" ht="12.75" hidden="1">
      <c r="A108" s="1086"/>
      <c r="B108" s="1086" t="s">
        <v>954</v>
      </c>
      <c r="C108" s="1101"/>
      <c r="D108" s="1098"/>
      <c r="E108" s="1099">
        <f t="shared" si="3"/>
        <v>0</v>
      </c>
      <c r="F108" s="1100"/>
      <c r="G108" s="1094">
        <f t="shared" si="2"/>
        <v>0</v>
      </c>
      <c r="H108" s="1096"/>
    </row>
    <row r="109" spans="1:8" ht="12.75" hidden="1">
      <c r="A109" s="1086"/>
      <c r="B109" s="1086" t="s">
        <v>955</v>
      </c>
      <c r="C109" s="1101"/>
      <c r="D109" s="1098"/>
      <c r="E109" s="1099">
        <f t="shared" si="3"/>
        <v>0</v>
      </c>
      <c r="F109" s="1100"/>
      <c r="G109" s="1094">
        <f t="shared" si="2"/>
        <v>0</v>
      </c>
      <c r="H109" s="1096"/>
    </row>
    <row r="110" spans="1:8" ht="12.75" hidden="1">
      <c r="A110" s="1086"/>
      <c r="B110" s="1086" t="s">
        <v>956</v>
      </c>
      <c r="C110" s="1101"/>
      <c r="D110" s="1098"/>
      <c r="E110" s="1099">
        <f t="shared" si="3"/>
        <v>0</v>
      </c>
      <c r="F110" s="1100"/>
      <c r="G110" s="1094">
        <f t="shared" si="2"/>
        <v>0</v>
      </c>
      <c r="H110" s="1096"/>
    </row>
    <row r="111" spans="1:8" ht="12.75" hidden="1">
      <c r="A111" s="1086"/>
      <c r="B111" s="1086" t="s">
        <v>957</v>
      </c>
      <c r="C111" s="1101"/>
      <c r="D111" s="1098"/>
      <c r="E111" s="1099">
        <f t="shared" si="3"/>
        <v>0</v>
      </c>
      <c r="F111" s="1100"/>
      <c r="G111" s="1094">
        <f t="shared" si="2"/>
        <v>0</v>
      </c>
      <c r="H111" s="1096"/>
    </row>
    <row r="112" spans="1:8" ht="12.75" hidden="1">
      <c r="A112" s="1086"/>
      <c r="B112" s="1086" t="s">
        <v>958</v>
      </c>
      <c r="C112" s="1101"/>
      <c r="D112" s="1098"/>
      <c r="E112" s="1099">
        <f t="shared" si="3"/>
        <v>0</v>
      </c>
      <c r="F112" s="1100"/>
      <c r="G112" s="1094">
        <f t="shared" si="2"/>
        <v>0</v>
      </c>
      <c r="H112" s="1096"/>
    </row>
    <row r="113" spans="1:8" ht="12.75" hidden="1">
      <c r="A113" s="1086"/>
      <c r="B113" s="1086" t="s">
        <v>959</v>
      </c>
      <c r="C113" s="1101"/>
      <c r="D113" s="1098" t="e">
        <f>SUMIF('[1]ПО КОРИСНИЦИМА'!$G$3:$G$11609,"Свега за пројекат 1501-П10:",'[1]ПО КОРИСНИЦИМА'!$H$3:$H$11609)</f>
        <v>#VALUE!</v>
      </c>
      <c r="E113" s="1099" t="e">
        <f t="shared" si="3"/>
        <v>#VALUE!</v>
      </c>
      <c r="F113" s="1100" t="e">
        <f>SUMIF('[1]ПО КОРИСНИЦИМА'!$G$3:$G$11609,"Свега за пројекат 1501-П10:",'[1]ПО КОРИСНИЦИМА'!$I$3:$I$11609)</f>
        <v>#VALUE!</v>
      </c>
      <c r="G113" s="1094" t="e">
        <f t="shared" si="2"/>
        <v>#VALUE!</v>
      </c>
      <c r="H113" s="1096"/>
    </row>
    <row r="114" spans="1:8" ht="12.75" hidden="1">
      <c r="A114" s="1086"/>
      <c r="B114" s="1086" t="s">
        <v>960</v>
      </c>
      <c r="C114" s="1101"/>
      <c r="D114" s="1098" t="e">
        <f>SUMIF('[1]ПО КОРИСНИЦИМА'!$G$3:$G$11609,"Свега за пројекат 1501-П11:",'[1]ПО КОРИСНИЦИМА'!$H$3:$H$11609)</f>
        <v>#VALUE!</v>
      </c>
      <c r="E114" s="1099" t="e">
        <f t="shared" si="3"/>
        <v>#VALUE!</v>
      </c>
      <c r="F114" s="1100" t="e">
        <f>SUMIF('[1]ПО КОРИСНИЦИМА'!$G$3:$G$11609,"Свега за пројекат 1501-П11:",'[1]ПО КОРИСНИЦИМА'!$I$3:$I$11609)</f>
        <v>#VALUE!</v>
      </c>
      <c r="G114" s="1094" t="e">
        <f t="shared" si="2"/>
        <v>#VALUE!</v>
      </c>
      <c r="H114" s="1096"/>
    </row>
    <row r="115" spans="1:8" ht="12.75" hidden="1">
      <c r="A115" s="1086"/>
      <c r="B115" s="1086" t="s">
        <v>961</v>
      </c>
      <c r="C115" s="1101"/>
      <c r="D115" s="1098" t="e">
        <f>SUMIF('[1]ПО КОРИСНИЦИМА'!$G$3:$G$11609,"Свега за пројекат 1501-П12:",'[1]ПО КОРИСНИЦИМА'!$H$3:$H$11609)</f>
        <v>#VALUE!</v>
      </c>
      <c r="E115" s="1099" t="e">
        <f t="shared" si="3"/>
        <v>#VALUE!</v>
      </c>
      <c r="F115" s="1100" t="e">
        <f>SUMIF('[1]ПО КОРИСНИЦИМА'!$G$3:$G$11609,"Свега за пројекат 1501-П12:",'[1]ПО КОРИСНИЦИМА'!$I$3:$I$11609)</f>
        <v>#VALUE!</v>
      </c>
      <c r="G115" s="1094" t="e">
        <f t="shared" si="2"/>
        <v>#VALUE!</v>
      </c>
      <c r="H115" s="1096"/>
    </row>
    <row r="116" spans="1:8" ht="12.75" hidden="1">
      <c r="A116" s="1086"/>
      <c r="B116" s="1086" t="s">
        <v>962</v>
      </c>
      <c r="C116" s="1101"/>
      <c r="D116" s="1098" t="e">
        <f>SUMIF('[1]ПО КОРИСНИЦИМА'!$G$3:$G$11609,"Свега за пројекат 1501-П13:",'[1]ПО КОРИСНИЦИМА'!$H$3:$H$11609)</f>
        <v>#VALUE!</v>
      </c>
      <c r="E116" s="1099" t="e">
        <f t="shared" si="3"/>
        <v>#VALUE!</v>
      </c>
      <c r="F116" s="1100" t="e">
        <f>SUMIF('[1]ПО КОРИСНИЦИМА'!$G$3:$G$11609,"Свега за пројекат 1501-П13:",'[1]ПО КОРИСНИЦИМА'!$I$3:$I$11609)</f>
        <v>#VALUE!</v>
      </c>
      <c r="G116" s="1094" t="e">
        <f t="shared" si="2"/>
        <v>#VALUE!</v>
      </c>
      <c r="H116" s="1096"/>
    </row>
    <row r="117" spans="1:8" ht="12.75" hidden="1">
      <c r="A117" s="1086"/>
      <c r="B117" s="1086" t="s">
        <v>963</v>
      </c>
      <c r="C117" s="1101"/>
      <c r="D117" s="1098" t="e">
        <f>SUMIF('[1]ПО КОРИСНИЦИМА'!$G$3:$G$11609,"Свега за пројекат 1501-П14:",'[1]ПО КОРИСНИЦИМА'!$H$3:$H$11609)</f>
        <v>#VALUE!</v>
      </c>
      <c r="E117" s="1099" t="e">
        <f t="shared" si="3"/>
        <v>#VALUE!</v>
      </c>
      <c r="F117" s="1100" t="e">
        <f>SUMIF('[1]ПО КОРИСНИЦИМА'!$G$3:$G$11609,"Свега за пројекат 1501-П14:",'[1]ПО КОРИСНИЦИМА'!$I$3:$I$11609)</f>
        <v>#VALUE!</v>
      </c>
      <c r="G117" s="1094" t="e">
        <f t="shared" si="2"/>
        <v>#VALUE!</v>
      </c>
      <c r="H117" s="1096"/>
    </row>
    <row r="118" spans="1:8" ht="12.75" hidden="1">
      <c r="A118" s="1086"/>
      <c r="B118" s="1086" t="s">
        <v>964</v>
      </c>
      <c r="C118" s="1101"/>
      <c r="D118" s="1098" t="e">
        <f>SUMIF('[1]ПО КОРИСНИЦИМА'!$G$3:$G$11609,"Свега за пројекат 1501-П15:",'[1]ПО КОРИСНИЦИМА'!$H$3:$H$11609)</f>
        <v>#VALUE!</v>
      </c>
      <c r="E118" s="1099" t="e">
        <f t="shared" si="3"/>
        <v>#VALUE!</v>
      </c>
      <c r="F118" s="1100" t="e">
        <f>SUMIF('[1]ПО КОРИСНИЦИМА'!$G$3:$G$11609,"Свега за пројекат 1501-П15:",'[1]ПО КОРИСНИЦИМА'!$I$3:$I$11609)</f>
        <v>#VALUE!</v>
      </c>
      <c r="G118" s="1094" t="e">
        <f t="shared" si="2"/>
        <v>#VALUE!</v>
      </c>
      <c r="H118" s="1096"/>
    </row>
    <row r="119" spans="1:8" ht="12.75" hidden="1">
      <c r="A119" s="1086"/>
      <c r="B119" s="1086" t="s">
        <v>965</v>
      </c>
      <c r="C119" s="1101"/>
      <c r="D119" s="1098" t="e">
        <f>SUMIF('[1]ПО КОРИСНИЦИМА'!$G$3:$G$11609,"Свега за пројекат 1501-П16:",'[1]ПО КОРИСНИЦИМА'!$H$3:$H$11609)</f>
        <v>#VALUE!</v>
      </c>
      <c r="E119" s="1099" t="e">
        <f t="shared" si="3"/>
        <v>#VALUE!</v>
      </c>
      <c r="F119" s="1100" t="e">
        <f>SUMIF('[1]ПО КОРИСНИЦИМА'!$G$3:$G$11609,"Свега за пројекат 1501-П16:",'[1]ПО КОРИСНИЦИМА'!$I$3:$I$11609)</f>
        <v>#VALUE!</v>
      </c>
      <c r="G119" s="1094" t="e">
        <f t="shared" si="2"/>
        <v>#VALUE!</v>
      </c>
      <c r="H119" s="1096"/>
    </row>
    <row r="120" spans="1:8" ht="12.75" hidden="1">
      <c r="A120" s="1086"/>
      <c r="B120" s="1086" t="s">
        <v>966</v>
      </c>
      <c r="C120" s="1101"/>
      <c r="D120" s="1098" t="e">
        <f>SUMIF('[1]ПО КОРИСНИЦИМА'!$G$3:$G$11609,"Свега за пројекат 1501-П17:",'[1]ПО КОРИСНИЦИМА'!$H$3:$H$11609)</f>
        <v>#VALUE!</v>
      </c>
      <c r="E120" s="1099" t="e">
        <f t="shared" si="3"/>
        <v>#VALUE!</v>
      </c>
      <c r="F120" s="1100" t="e">
        <f>SUMIF('[1]ПО КОРИСНИЦИМА'!$G$3:$G$11609,"Свега за пројекат 1501-П17:",'[1]ПО КОРИСНИЦИМА'!$I$3:$I$11609)</f>
        <v>#VALUE!</v>
      </c>
      <c r="G120" s="1094" t="e">
        <f t="shared" si="2"/>
        <v>#VALUE!</v>
      </c>
      <c r="H120" s="1096"/>
    </row>
    <row r="121" spans="1:8" ht="12.75" hidden="1">
      <c r="A121" s="1086"/>
      <c r="B121" s="1086" t="s">
        <v>967</v>
      </c>
      <c r="C121" s="1101"/>
      <c r="D121" s="1098" t="e">
        <f>SUMIF('[1]ПО КОРИСНИЦИМА'!$G$3:$G$11609,"Свега за пројекат 1501-П18:",'[1]ПО КОРИСНИЦИМА'!$H$3:$H$11609)</f>
        <v>#VALUE!</v>
      </c>
      <c r="E121" s="1099" t="e">
        <f t="shared" si="3"/>
        <v>#VALUE!</v>
      </c>
      <c r="F121" s="1100" t="e">
        <f>SUMIF('[1]ПО КОРИСНИЦИМА'!$G$3:$G$11609,"Свега за пројекат 1501-П18:",'[1]ПО КОРИСНИЦИМА'!$I$3:$I$11609)</f>
        <v>#VALUE!</v>
      </c>
      <c r="G121" s="1094" t="e">
        <f t="shared" si="2"/>
        <v>#VALUE!</v>
      </c>
      <c r="H121" s="1096"/>
    </row>
    <row r="122" spans="1:8" ht="12.75" hidden="1">
      <c r="A122" s="1086"/>
      <c r="B122" s="1086" t="s">
        <v>968</v>
      </c>
      <c r="C122" s="1101"/>
      <c r="D122" s="1098" t="e">
        <f>SUMIF('[1]ПО КОРИСНИЦИМА'!$G$3:$G$11609,"Свега за пројекат 1501-П19:",'[1]ПО КОРИСНИЦИМА'!$H$3:$H$11609)</f>
        <v>#VALUE!</v>
      </c>
      <c r="E122" s="1099" t="e">
        <f t="shared" si="3"/>
        <v>#VALUE!</v>
      </c>
      <c r="F122" s="1100" t="e">
        <f>SUMIF('[1]ПО КОРИСНИЦИМА'!$G$3:$G$11609,"Свега за пројекат 1501-П19:",'[1]ПО КОРИСНИЦИМА'!$I$3:$I$11609)</f>
        <v>#VALUE!</v>
      </c>
      <c r="G122" s="1094" t="e">
        <f t="shared" si="2"/>
        <v>#VALUE!</v>
      </c>
      <c r="H122" s="1096"/>
    </row>
    <row r="123" spans="1:8" ht="12.75" hidden="1">
      <c r="A123" s="1086"/>
      <c r="B123" s="1086" t="s">
        <v>969</v>
      </c>
      <c r="C123" s="1101"/>
      <c r="D123" s="1098" t="e">
        <f>SUMIF('[1]ПО КОРИСНИЦИМА'!$G$3:$G$11609,"Свега за пројекат 1501-П20:",'[1]ПО КОРИСНИЦИМА'!$H$3:$H$11609)</f>
        <v>#VALUE!</v>
      </c>
      <c r="E123" s="1099" t="e">
        <f t="shared" si="3"/>
        <v>#VALUE!</v>
      </c>
      <c r="F123" s="1100" t="e">
        <f>SUMIF('[1]ПО КОРИСНИЦИМА'!$G$3:$G$11609,"Свега за пројекат 1501-П20:",'[1]ПО КОРИСНИЦИМА'!$I$3:$I$11609)</f>
        <v>#VALUE!</v>
      </c>
      <c r="G123" s="1094" t="e">
        <f t="shared" si="2"/>
        <v>#VALUE!</v>
      </c>
      <c r="H123" s="1096"/>
    </row>
    <row r="124" spans="1:8" ht="12.75" hidden="1">
      <c r="A124" s="1086"/>
      <c r="B124" s="1086" t="s">
        <v>970</v>
      </c>
      <c r="C124" s="1101"/>
      <c r="D124" s="1098" t="e">
        <f>SUMIF('[1]ПО КОРИСНИЦИМА'!$G$3:$G$11609,"Свега за пројекат 1501-П21:",'[1]ПО КОРИСНИЦИМА'!$H$3:$H$11609)</f>
        <v>#VALUE!</v>
      </c>
      <c r="E124" s="1099" t="e">
        <f t="shared" si="3"/>
        <v>#VALUE!</v>
      </c>
      <c r="F124" s="1100" t="e">
        <f>SUMIF('[1]ПО КОРИСНИЦИМА'!$G$3:$G$11609,"Свега за пројекат 1501-П21:",'[1]ПО КОРИСНИЦИМА'!$I$3:$I$11609)</f>
        <v>#VALUE!</v>
      </c>
      <c r="G124" s="1094" t="e">
        <f t="shared" si="2"/>
        <v>#VALUE!</v>
      </c>
      <c r="H124" s="1096"/>
    </row>
    <row r="125" spans="1:8" ht="12.75" hidden="1">
      <c r="A125" s="1086"/>
      <c r="B125" s="1086" t="s">
        <v>971</v>
      </c>
      <c r="C125" s="1101"/>
      <c r="D125" s="1098" t="e">
        <f>SUMIF('[1]ПО КОРИСНИЦИМА'!$G$3:$G$11609,"Свега за пројекат 1501-П22:",'[1]ПО КОРИСНИЦИМА'!$H$3:$H$11609)</f>
        <v>#VALUE!</v>
      </c>
      <c r="E125" s="1099" t="e">
        <f t="shared" si="3"/>
        <v>#VALUE!</v>
      </c>
      <c r="F125" s="1100" t="e">
        <f>SUMIF('[1]ПО КОРИСНИЦИМА'!$G$3:$G$11609,"Свега за пројекат 1501-П22:",'[1]ПО КОРИСНИЦИМА'!$I$3:$I$11609)</f>
        <v>#VALUE!</v>
      </c>
      <c r="G125" s="1094" t="e">
        <f t="shared" si="2"/>
        <v>#VALUE!</v>
      </c>
      <c r="H125" s="1096"/>
    </row>
    <row r="126" spans="1:8" ht="12.75" hidden="1">
      <c r="A126" s="1086"/>
      <c r="B126" s="1086" t="s">
        <v>972</v>
      </c>
      <c r="C126" s="1101"/>
      <c r="D126" s="1098" t="e">
        <f>SUMIF('[1]ПО КОРИСНИЦИМА'!$G$3:$G$11609,"Свега за пројекат 1501-П23:",'[1]ПО КОРИСНИЦИМА'!$H$3:$H$11609)</f>
        <v>#VALUE!</v>
      </c>
      <c r="E126" s="1099" t="e">
        <f t="shared" si="3"/>
        <v>#VALUE!</v>
      </c>
      <c r="F126" s="1100" t="e">
        <f>SUMIF('[1]ПО КОРИСНИЦИМА'!$G$3:$G$11609,"Свега за пројекат 1501-П23:",'[1]ПО КОРИСНИЦИМА'!$I$3:$I$11609)</f>
        <v>#VALUE!</v>
      </c>
      <c r="G126" s="1094" t="e">
        <f t="shared" si="2"/>
        <v>#VALUE!</v>
      </c>
      <c r="H126" s="1096"/>
    </row>
    <row r="127" spans="1:8" ht="12.75" hidden="1">
      <c r="A127" s="1086"/>
      <c r="B127" s="1086" t="s">
        <v>973</v>
      </c>
      <c r="C127" s="1101"/>
      <c r="D127" s="1098" t="e">
        <f>SUMIF('[1]ПО КОРИСНИЦИМА'!$G$3:$G$11609,"Свега за пројекат 1501-П24:",'[1]ПО КОРИСНИЦИМА'!$H$3:$H$11609)</f>
        <v>#VALUE!</v>
      </c>
      <c r="E127" s="1099" t="e">
        <f t="shared" si="3"/>
        <v>#VALUE!</v>
      </c>
      <c r="F127" s="1100" t="e">
        <f>SUMIF('[1]ПО КОРИСНИЦИМА'!$G$3:$G$11609,"Свега за пројекат 1501-П24:",'[1]ПО КОРИСНИЦИМА'!$I$3:$I$11609)</f>
        <v>#VALUE!</v>
      </c>
      <c r="G127" s="1094" t="e">
        <f t="shared" si="2"/>
        <v>#VALUE!</v>
      </c>
      <c r="H127" s="1096"/>
    </row>
    <row r="128" spans="1:8" s="326" customFormat="1" ht="12.75" customHeight="1" hidden="1">
      <c r="A128" s="1087" t="s">
        <v>827</v>
      </c>
      <c r="B128" s="1088"/>
      <c r="C128" s="1089" t="s">
        <v>1170</v>
      </c>
      <c r="D128" s="1090">
        <f>SUM(D129:D144)</f>
        <v>0</v>
      </c>
      <c r="E128" s="1099">
        <f t="shared" si="3"/>
        <v>0</v>
      </c>
      <c r="F128" s="1106">
        <f>SUM(F129:F144)</f>
        <v>0</v>
      </c>
      <c r="G128" s="1090">
        <f t="shared" si="2"/>
        <v>0</v>
      </c>
      <c r="H128" s="1107"/>
    </row>
    <row r="129" spans="1:8" ht="12.75" customHeight="1" hidden="1">
      <c r="A129" s="1086"/>
      <c r="B129" s="1108" t="s">
        <v>857</v>
      </c>
      <c r="C129" s="1109" t="s">
        <v>851</v>
      </c>
      <c r="D129" s="1094"/>
      <c r="E129" s="1099">
        <f t="shared" si="3"/>
        <v>0</v>
      </c>
      <c r="F129" s="1097"/>
      <c r="G129" s="1094">
        <f t="shared" si="2"/>
        <v>0</v>
      </c>
      <c r="H129" s="1096"/>
    </row>
    <row r="130" spans="1:8" ht="12.75" customHeight="1" hidden="1">
      <c r="A130" s="1086"/>
      <c r="B130" s="1110" t="s">
        <v>878</v>
      </c>
      <c r="C130" s="1109" t="s">
        <v>852</v>
      </c>
      <c r="D130" s="1094"/>
      <c r="E130" s="1099">
        <f t="shared" si="3"/>
        <v>0</v>
      </c>
      <c r="F130" s="1097"/>
      <c r="G130" s="1094">
        <f t="shared" si="2"/>
        <v>0</v>
      </c>
      <c r="H130" s="1096"/>
    </row>
    <row r="131" spans="1:8" ht="12.75" customHeight="1" hidden="1">
      <c r="A131" s="1110"/>
      <c r="B131" s="1086" t="s">
        <v>974</v>
      </c>
      <c r="C131" s="1093">
        <f>_xlfn.IFERROR(VLOOKUP(B131,'[1]ПО КОРИСНИЦИМА'!$C$3:$J$11609,5,FALSE),"")</f>
      </c>
      <c r="D131" s="1098"/>
      <c r="E131" s="1099">
        <f t="shared" si="3"/>
        <v>0</v>
      </c>
      <c r="F131" s="1100"/>
      <c r="G131" s="1094">
        <f t="shared" si="2"/>
        <v>0</v>
      </c>
      <c r="H131" s="1096"/>
    </row>
    <row r="132" spans="1:8" ht="12.75" customHeight="1" hidden="1">
      <c r="A132" s="1110"/>
      <c r="B132" s="1086" t="s">
        <v>975</v>
      </c>
      <c r="C132" s="1093">
        <f>_xlfn.IFERROR(VLOOKUP(B132,'[1]ПО КОРИСНИЦИМА'!$C$3:$J$11609,5,FALSE),"")</f>
      </c>
      <c r="D132" s="1098"/>
      <c r="E132" s="1099">
        <f t="shared" si="3"/>
        <v>0</v>
      </c>
      <c r="F132" s="1100"/>
      <c r="G132" s="1094">
        <f t="shared" si="2"/>
        <v>0</v>
      </c>
      <c r="H132" s="1096"/>
    </row>
    <row r="133" spans="1:8" ht="12.75" customHeight="1" hidden="1">
      <c r="A133" s="1110"/>
      <c r="B133" s="1086" t="s">
        <v>976</v>
      </c>
      <c r="C133" s="1093">
        <f>_xlfn.IFERROR(VLOOKUP(B133,'[1]ПО КОРИСНИЦИМА'!$C$3:$J$11609,5,FALSE),"")</f>
      </c>
      <c r="D133" s="1098"/>
      <c r="E133" s="1099">
        <f t="shared" si="3"/>
        <v>0</v>
      </c>
      <c r="F133" s="1100"/>
      <c r="G133" s="1094">
        <f aca="true" t="shared" si="4" ref="G133:G196">D133+F133</f>
        <v>0</v>
      </c>
      <c r="H133" s="1096"/>
    </row>
    <row r="134" spans="1:8" ht="12.75" customHeight="1" hidden="1">
      <c r="A134" s="1110"/>
      <c r="B134" s="1086" t="s">
        <v>977</v>
      </c>
      <c r="C134" s="1093">
        <f>_xlfn.IFERROR(VLOOKUP(B134,'[1]ПО КОРИСНИЦИМА'!$C$3:$J$11609,5,FALSE),"")</f>
      </c>
      <c r="D134" s="1098"/>
      <c r="E134" s="1099">
        <f aca="true" t="shared" si="5" ref="E134:E197">D134/452948288</f>
        <v>0</v>
      </c>
      <c r="F134" s="1100"/>
      <c r="G134" s="1094">
        <f t="shared" si="4"/>
        <v>0</v>
      </c>
      <c r="H134" s="1096"/>
    </row>
    <row r="135" spans="1:8" ht="12.75" customHeight="1" hidden="1">
      <c r="A135" s="1110"/>
      <c r="B135" s="1086" t="s">
        <v>978</v>
      </c>
      <c r="C135" s="1093">
        <f>_xlfn.IFERROR(VLOOKUP(B135,'[1]ПО КОРИСНИЦИМА'!$C$3:$J$11609,5,FALSE),"")</f>
      </c>
      <c r="D135" s="1098"/>
      <c r="E135" s="1099">
        <f t="shared" si="5"/>
        <v>0</v>
      </c>
      <c r="F135" s="1100"/>
      <c r="G135" s="1094">
        <f t="shared" si="4"/>
        <v>0</v>
      </c>
      <c r="H135" s="1096"/>
    </row>
    <row r="136" spans="1:8" ht="12.75" customHeight="1" hidden="1">
      <c r="A136" s="1110"/>
      <c r="B136" s="1086" t="s">
        <v>979</v>
      </c>
      <c r="C136" s="1093">
        <f>_xlfn.IFERROR(VLOOKUP(B136,'[1]ПО КОРИСНИЦИМА'!$C$3:$J$11609,5,FALSE),"")</f>
      </c>
      <c r="D136" s="1098"/>
      <c r="E136" s="1099">
        <f t="shared" si="5"/>
        <v>0</v>
      </c>
      <c r="F136" s="1100"/>
      <c r="G136" s="1094">
        <f t="shared" si="4"/>
        <v>0</v>
      </c>
      <c r="H136" s="1096"/>
    </row>
    <row r="137" spans="1:8" ht="12.75" customHeight="1" hidden="1">
      <c r="A137" s="1110"/>
      <c r="B137" s="1086" t="s">
        <v>980</v>
      </c>
      <c r="C137" s="1093">
        <f>_xlfn.IFERROR(VLOOKUP(B137,'[1]ПО КОРИСНИЦИМА'!$C$3:$J$11609,5,FALSE),"")</f>
      </c>
      <c r="D137" s="1098"/>
      <c r="E137" s="1099">
        <f t="shared" si="5"/>
        <v>0</v>
      </c>
      <c r="F137" s="1100"/>
      <c r="G137" s="1094">
        <f t="shared" si="4"/>
        <v>0</v>
      </c>
      <c r="H137" s="1096"/>
    </row>
    <row r="138" spans="1:8" ht="12.75" customHeight="1" hidden="1">
      <c r="A138" s="1110"/>
      <c r="B138" s="1086" t="s">
        <v>981</v>
      </c>
      <c r="C138" s="1093">
        <f>_xlfn.IFERROR(VLOOKUP(B138,'[1]ПО КОРИСНИЦИМА'!$C$3:$J$11609,5,FALSE),"")</f>
      </c>
      <c r="D138" s="1098"/>
      <c r="E138" s="1099">
        <f t="shared" si="5"/>
        <v>0</v>
      </c>
      <c r="F138" s="1100"/>
      <c r="G138" s="1094">
        <f t="shared" si="4"/>
        <v>0</v>
      </c>
      <c r="H138" s="1096"/>
    </row>
    <row r="139" spans="1:8" ht="12.75" customHeight="1" hidden="1">
      <c r="A139" s="1110"/>
      <c r="B139" s="1086" t="s">
        <v>982</v>
      </c>
      <c r="C139" s="1093">
        <f>_xlfn.IFERROR(VLOOKUP(B139,'[1]ПО КОРИСНИЦИМА'!$C$3:$J$11609,5,FALSE),"")</f>
      </c>
      <c r="D139" s="1098"/>
      <c r="E139" s="1099">
        <f t="shared" si="5"/>
        <v>0</v>
      </c>
      <c r="F139" s="1100"/>
      <c r="G139" s="1094">
        <f t="shared" si="4"/>
        <v>0</v>
      </c>
      <c r="H139" s="1096"/>
    </row>
    <row r="140" spans="1:8" ht="12.75" customHeight="1" hidden="1">
      <c r="A140" s="1110"/>
      <c r="B140" s="1086" t="s">
        <v>983</v>
      </c>
      <c r="C140" s="1093">
        <f>_xlfn.IFERROR(VLOOKUP(B140,'[1]ПО КОРИСНИЦИМА'!$C$3:$J$11609,5,FALSE),"")</f>
      </c>
      <c r="D140" s="1098"/>
      <c r="E140" s="1099">
        <f t="shared" si="5"/>
        <v>0</v>
      </c>
      <c r="F140" s="1100"/>
      <c r="G140" s="1094">
        <f t="shared" si="4"/>
        <v>0</v>
      </c>
      <c r="H140" s="1096"/>
    </row>
    <row r="141" spans="1:8" ht="12.75" customHeight="1" hidden="1">
      <c r="A141" s="1110"/>
      <c r="B141" s="1086" t="s">
        <v>984</v>
      </c>
      <c r="C141" s="1093">
        <f>_xlfn.IFERROR(VLOOKUP(B141,'[1]ПО КОРИСНИЦИМА'!$C$3:$J$11609,5,FALSE),"")</f>
      </c>
      <c r="D141" s="1098"/>
      <c r="E141" s="1099">
        <f t="shared" si="5"/>
        <v>0</v>
      </c>
      <c r="F141" s="1100"/>
      <c r="G141" s="1094">
        <f t="shared" si="4"/>
        <v>0</v>
      </c>
      <c r="H141" s="1096"/>
    </row>
    <row r="142" spans="1:8" ht="12.75" customHeight="1" hidden="1">
      <c r="A142" s="1110"/>
      <c r="B142" s="1086" t="s">
        <v>985</v>
      </c>
      <c r="C142" s="1093">
        <f>_xlfn.IFERROR(VLOOKUP(B142,'[1]ПО КОРИСНИЦИМА'!$C$3:$J$11609,5,FALSE),"")</f>
      </c>
      <c r="D142" s="1098"/>
      <c r="E142" s="1099">
        <f t="shared" si="5"/>
        <v>0</v>
      </c>
      <c r="F142" s="1100"/>
      <c r="G142" s="1094">
        <f t="shared" si="4"/>
        <v>0</v>
      </c>
      <c r="H142" s="1096"/>
    </row>
    <row r="143" spans="1:8" ht="12.75" customHeight="1" hidden="1">
      <c r="A143" s="1110"/>
      <c r="B143" s="1086" t="s">
        <v>986</v>
      </c>
      <c r="C143" s="1093">
        <f>_xlfn.IFERROR(VLOOKUP(B143,'[1]ПО КОРИСНИЦИМА'!$C$3:$J$11609,5,FALSE),"")</f>
      </c>
      <c r="D143" s="1098"/>
      <c r="E143" s="1099">
        <f t="shared" si="5"/>
        <v>0</v>
      </c>
      <c r="F143" s="1100"/>
      <c r="G143" s="1094">
        <f t="shared" si="4"/>
        <v>0</v>
      </c>
      <c r="H143" s="1096"/>
    </row>
    <row r="144" spans="1:8" ht="12.75" customHeight="1" hidden="1">
      <c r="A144" s="1110"/>
      <c r="B144" s="1086" t="s">
        <v>987</v>
      </c>
      <c r="C144" s="1093">
        <f>_xlfn.IFERROR(VLOOKUP(B144,'[1]ПО КОРИСНИЦИМА'!$C$3:$J$11609,5,FALSE),"")</f>
      </c>
      <c r="D144" s="1098"/>
      <c r="E144" s="1099">
        <f t="shared" si="5"/>
        <v>0</v>
      </c>
      <c r="F144" s="1100"/>
      <c r="G144" s="1094">
        <f t="shared" si="4"/>
        <v>0</v>
      </c>
      <c r="H144" s="1096"/>
    </row>
    <row r="145" spans="1:8" ht="12.75" customHeight="1" hidden="1">
      <c r="A145" s="1110"/>
      <c r="B145" s="1086" t="s">
        <v>988</v>
      </c>
      <c r="C145" s="1093">
        <f>_xlfn.IFERROR(VLOOKUP(B145,'[1]ПО КОРИСНИЦИМА'!$C$3:$J$11609,5,FALSE),"")</f>
      </c>
      <c r="D145" s="1098" t="e">
        <f>SUMIF('[1]ПО КОРИСНИЦИМА'!$G$3:$G$11609,"Свега за пројекат 1502-П15:",'[1]ПО КОРИСНИЦИМА'!$H$3:$H$11609)</f>
        <v>#VALUE!</v>
      </c>
      <c r="E145" s="1099" t="e">
        <f t="shared" si="5"/>
        <v>#VALUE!</v>
      </c>
      <c r="F145" s="1100" t="e">
        <f>SUMIF('[1]ПО КОРИСНИЦИМА'!$G$3:$G$11609,"Свега за пројекат 1502-П15:",'[1]ПО КОРИСНИЦИМА'!$I$3:$I$11609)</f>
        <v>#VALUE!</v>
      </c>
      <c r="G145" s="1094" t="e">
        <f t="shared" si="4"/>
        <v>#VALUE!</v>
      </c>
      <c r="H145" s="1096"/>
    </row>
    <row r="146" spans="1:8" ht="12.75" customHeight="1" hidden="1">
      <c r="A146" s="1110"/>
      <c r="B146" s="1086" t="s">
        <v>989</v>
      </c>
      <c r="C146" s="1093">
        <f>_xlfn.IFERROR(VLOOKUP(B146,'[1]ПО КОРИСНИЦИМА'!$C$3:$J$11609,5,FALSE),"")</f>
      </c>
      <c r="D146" s="1098" t="e">
        <f>SUMIF('[1]ПО КОРИСНИЦИМА'!$G$3:$G$11609,"Свега за пројекат 1502-П16:",'[1]ПО КОРИСНИЦИМА'!$H$3:$H$11609)</f>
        <v>#VALUE!</v>
      </c>
      <c r="E146" s="1099" t="e">
        <f t="shared" si="5"/>
        <v>#VALUE!</v>
      </c>
      <c r="F146" s="1100" t="e">
        <f>SUMIF('[1]ПО КОРИСНИЦИМА'!$G$3:$G$11609,"Свега за пројекат 1502-П16:",'[1]ПО КОРИСНИЦИМА'!$I$3:$I$11609)</f>
        <v>#VALUE!</v>
      </c>
      <c r="G146" s="1094" t="e">
        <f t="shared" si="4"/>
        <v>#VALUE!</v>
      </c>
      <c r="H146" s="1096"/>
    </row>
    <row r="147" spans="1:8" ht="12.75" customHeight="1" hidden="1">
      <c r="A147" s="1110"/>
      <c r="B147" s="1086" t="s">
        <v>990</v>
      </c>
      <c r="C147" s="1093">
        <f>_xlfn.IFERROR(VLOOKUP(B147,'[1]ПО КОРИСНИЦИМА'!$C$3:$J$11609,5,FALSE),"")</f>
      </c>
      <c r="D147" s="1098" t="e">
        <f>SUMIF('[1]ПО КОРИСНИЦИМА'!$G$3:$G$11609,"Свега за пројекат 1502-П17:",'[1]ПО КОРИСНИЦИМА'!$H$3:$H$11609)</f>
        <v>#VALUE!</v>
      </c>
      <c r="E147" s="1099" t="e">
        <f t="shared" si="5"/>
        <v>#VALUE!</v>
      </c>
      <c r="F147" s="1100" t="e">
        <f>SUMIF('[1]ПО КОРИСНИЦИМА'!$G$3:$G$11609,"Свега за пројекат 1502-П17:",'[1]ПО КОРИСНИЦИМА'!$I$3:$I$11609)</f>
        <v>#VALUE!</v>
      </c>
      <c r="G147" s="1094" t="e">
        <f t="shared" si="4"/>
        <v>#VALUE!</v>
      </c>
      <c r="H147" s="1096"/>
    </row>
    <row r="148" spans="1:8" ht="12.75" customHeight="1" hidden="1">
      <c r="A148" s="1110"/>
      <c r="B148" s="1086" t="s">
        <v>991</v>
      </c>
      <c r="C148" s="1093">
        <f>_xlfn.IFERROR(VLOOKUP(B148,'[1]ПО КОРИСНИЦИМА'!$C$3:$J$11609,5,FALSE),"")</f>
      </c>
      <c r="D148" s="1098" t="e">
        <f>SUMIF('[1]ПО КОРИСНИЦИМА'!$G$3:$G$11609,"Свега за пројекат 1502-П18:",'[1]ПО КОРИСНИЦИМА'!$H$3:$H$11609)</f>
        <v>#VALUE!</v>
      </c>
      <c r="E148" s="1099" t="e">
        <f t="shared" si="5"/>
        <v>#VALUE!</v>
      </c>
      <c r="F148" s="1100" t="e">
        <f>SUMIF('[1]ПО КОРИСНИЦИМА'!$G$3:$G$11609,"Свега за пројекат 1502-П18:",'[1]ПО КОРИСНИЦИМА'!$I$3:$I$11609)</f>
        <v>#VALUE!</v>
      </c>
      <c r="G148" s="1094" t="e">
        <f t="shared" si="4"/>
        <v>#VALUE!</v>
      </c>
      <c r="H148" s="1096"/>
    </row>
    <row r="149" spans="1:8" ht="12.75" customHeight="1" hidden="1">
      <c r="A149" s="1110"/>
      <c r="B149" s="1086" t="s">
        <v>992</v>
      </c>
      <c r="C149" s="1093">
        <f>_xlfn.IFERROR(VLOOKUP(B149,'[1]ПО КОРИСНИЦИМА'!$C$3:$J$11609,5,FALSE),"")</f>
      </c>
      <c r="D149" s="1098" t="e">
        <f>SUMIF('[1]ПО КОРИСНИЦИМА'!$G$3:$G$11609,"Свега за пројекат 1502-П19:",'[1]ПО КОРИСНИЦИМА'!$H$3:$H$11609)</f>
        <v>#VALUE!</v>
      </c>
      <c r="E149" s="1099" t="e">
        <f t="shared" si="5"/>
        <v>#VALUE!</v>
      </c>
      <c r="F149" s="1100" t="e">
        <f>SUMIF('[1]ПО КОРИСНИЦИМА'!$G$3:$G$11609,"Свега за пројекат 1502-П19:",'[1]ПО КОРИСНИЦИМА'!$I$3:$I$11609)</f>
        <v>#VALUE!</v>
      </c>
      <c r="G149" s="1094" t="e">
        <f t="shared" si="4"/>
        <v>#VALUE!</v>
      </c>
      <c r="H149" s="1096"/>
    </row>
    <row r="150" spans="1:8" ht="12.75" customHeight="1" hidden="1">
      <c r="A150" s="1110"/>
      <c r="B150" s="1086" t="s">
        <v>993</v>
      </c>
      <c r="C150" s="1093">
        <f>_xlfn.IFERROR(VLOOKUP(B150,'[1]ПО КОРИСНИЦИМА'!$C$3:$J$11609,5,FALSE),"")</f>
      </c>
      <c r="D150" s="1098" t="e">
        <f>SUMIF('[1]ПО КОРИСНИЦИМА'!$G$3:$G$11609,"Свега за пројекат 1502-П20:",'[1]ПО КОРИСНИЦИМА'!$H$3:$H$11609)</f>
        <v>#VALUE!</v>
      </c>
      <c r="E150" s="1099" t="e">
        <f t="shared" si="5"/>
        <v>#VALUE!</v>
      </c>
      <c r="F150" s="1100" t="e">
        <f>SUMIF('[1]ПО КОРИСНИЦИМА'!$G$3:$G$11609,"Свега за пројекат 1502-П20:",'[1]ПО КОРИСНИЦИМА'!$I$3:$I$11609)</f>
        <v>#VALUE!</v>
      </c>
      <c r="G150" s="1094" t="e">
        <f t="shared" si="4"/>
        <v>#VALUE!</v>
      </c>
      <c r="H150" s="1096"/>
    </row>
    <row r="151" spans="1:8" ht="12.75" customHeight="1" hidden="1">
      <c r="A151" s="1110"/>
      <c r="B151" s="1086" t="s">
        <v>994</v>
      </c>
      <c r="C151" s="1093">
        <f>_xlfn.IFERROR(VLOOKUP(B151,'[1]ПО КОРИСНИЦИМА'!$C$3:$J$11609,5,FALSE),"")</f>
      </c>
      <c r="D151" s="1098" t="e">
        <f>SUMIF('[1]ПО КОРИСНИЦИМА'!$G$3:$G$11609,"Свега за пројекат 1502-П21:",'[1]ПО КОРИСНИЦИМА'!$H$3:$H$11609)</f>
        <v>#VALUE!</v>
      </c>
      <c r="E151" s="1099" t="e">
        <f t="shared" si="5"/>
        <v>#VALUE!</v>
      </c>
      <c r="F151" s="1100" t="e">
        <f>SUMIF('[1]ПО КОРИСНИЦИМА'!$G$3:$G$11609,"Свега за пројекат 1502-П21:",'[1]ПО КОРИСНИЦИМА'!$I$3:$I$11609)</f>
        <v>#VALUE!</v>
      </c>
      <c r="G151" s="1094" t="e">
        <f t="shared" si="4"/>
        <v>#VALUE!</v>
      </c>
      <c r="H151" s="1096"/>
    </row>
    <row r="152" spans="1:8" ht="12.75" customHeight="1" hidden="1">
      <c r="A152" s="1110"/>
      <c r="B152" s="1086" t="s">
        <v>995</v>
      </c>
      <c r="C152" s="1093">
        <f>_xlfn.IFERROR(VLOOKUP(B152,'[1]ПО КОРИСНИЦИМА'!$C$3:$J$11609,5,FALSE),"")</f>
      </c>
      <c r="D152" s="1098" t="e">
        <f>SUMIF('[1]ПО КОРИСНИЦИМА'!$G$3:$G$11609,"Свега за пројекат 1502-П22:",'[1]ПО КОРИСНИЦИМА'!$H$3:$H$11609)</f>
        <v>#VALUE!</v>
      </c>
      <c r="E152" s="1099" t="e">
        <f t="shared" si="5"/>
        <v>#VALUE!</v>
      </c>
      <c r="F152" s="1100" t="e">
        <f>SUMIF('[1]ПО КОРИСНИЦИМА'!$G$3:$G$11609,"Свега за пројекат 1502-П22:",'[1]ПО КОРИСНИЦИМА'!$I$3:$I$11609)</f>
        <v>#VALUE!</v>
      </c>
      <c r="G152" s="1094" t="e">
        <f t="shared" si="4"/>
        <v>#VALUE!</v>
      </c>
      <c r="H152" s="1096"/>
    </row>
    <row r="153" spans="1:8" ht="12.75" customHeight="1" hidden="1">
      <c r="A153" s="1110"/>
      <c r="B153" s="1086" t="s">
        <v>996</v>
      </c>
      <c r="C153" s="1093">
        <f>_xlfn.IFERROR(VLOOKUP(B153,'[1]ПО КОРИСНИЦИМА'!$C$3:$J$11609,5,FALSE),"")</f>
      </c>
      <c r="D153" s="1098" t="e">
        <f>SUMIF('[1]ПО КОРИСНИЦИМА'!$G$3:$G$11609,"Свега за пројекат 1502-П23:",'[1]ПО КОРИСНИЦИМА'!$H$3:$H$11609)</f>
        <v>#VALUE!</v>
      </c>
      <c r="E153" s="1099" t="e">
        <f t="shared" si="5"/>
        <v>#VALUE!</v>
      </c>
      <c r="F153" s="1100" t="e">
        <f>SUMIF('[1]ПО КОРИСНИЦИМА'!$G$3:$G$11609,"Свега за пројекат 1502-П23:",'[1]ПО КОРИСНИЦИМА'!$I$3:$I$11609)</f>
        <v>#VALUE!</v>
      </c>
      <c r="G153" s="1094" t="e">
        <f t="shared" si="4"/>
        <v>#VALUE!</v>
      </c>
      <c r="H153" s="1096"/>
    </row>
    <row r="154" spans="1:8" ht="12.75" customHeight="1" hidden="1">
      <c r="A154" s="1110"/>
      <c r="B154" s="1086" t="s">
        <v>997</v>
      </c>
      <c r="C154" s="1093">
        <f>_xlfn.IFERROR(VLOOKUP(B154,'[1]ПО КОРИСНИЦИМА'!$C$3:$J$11609,5,FALSE),"")</f>
      </c>
      <c r="D154" s="1098" t="e">
        <f>SUMIF('[1]ПО КОРИСНИЦИМА'!$G$3:$G$11609,"Свега за пројекат 1502-П24:",'[1]ПО КОРИСНИЦИМА'!$H$3:$H$11609)</f>
        <v>#VALUE!</v>
      </c>
      <c r="E154" s="1099" t="e">
        <f t="shared" si="5"/>
        <v>#VALUE!</v>
      </c>
      <c r="F154" s="1100" t="e">
        <f>SUMIF('[1]ПО КОРИСНИЦИМА'!$G$3:$G$11609,"Свега за пројекат 1502-П24:",'[1]ПО КОРИСНИЦИМА'!$I$3:$I$11609)</f>
        <v>#VALUE!</v>
      </c>
      <c r="G154" s="1094" t="e">
        <f t="shared" si="4"/>
        <v>#VALUE!</v>
      </c>
      <c r="H154" s="1096"/>
    </row>
    <row r="155" spans="1:8" s="326" customFormat="1" ht="12.75">
      <c r="A155" s="1087" t="s">
        <v>317</v>
      </c>
      <c r="B155" s="1088"/>
      <c r="C155" s="1089" t="s">
        <v>0</v>
      </c>
      <c r="D155" s="1090">
        <f>SUM(D156:D157)</f>
        <v>19000000</v>
      </c>
      <c r="E155" s="1091">
        <f t="shared" si="5"/>
        <v>0.04194739334129021</v>
      </c>
      <c r="F155" s="1090">
        <f>SUM(F156:F157)</f>
        <v>43000000</v>
      </c>
      <c r="G155" s="1090">
        <f t="shared" si="4"/>
        <v>62000000</v>
      </c>
      <c r="H155" s="1107"/>
    </row>
    <row r="156" spans="1:8" ht="12.75">
      <c r="A156" s="1086"/>
      <c r="B156" s="1110" t="s">
        <v>318</v>
      </c>
      <c r="C156" s="1093" t="s">
        <v>1292</v>
      </c>
      <c r="D156" s="1094">
        <f>'Rashodi-2020'!N264</f>
        <v>14500000</v>
      </c>
      <c r="E156" s="1095">
        <f t="shared" si="5"/>
        <v>0.032012484392037265</v>
      </c>
      <c r="F156" s="1094">
        <f>'Rashodi-2020'!U264</f>
        <v>43000000</v>
      </c>
      <c r="G156" s="1094">
        <f t="shared" si="4"/>
        <v>57500000</v>
      </c>
      <c r="H156" s="1096" t="s">
        <v>1173</v>
      </c>
    </row>
    <row r="157" spans="1:8" ht="12.75">
      <c r="A157" s="1086"/>
      <c r="B157" s="1110" t="s">
        <v>319</v>
      </c>
      <c r="C157" s="1093" t="s">
        <v>1247</v>
      </c>
      <c r="D157" s="1094">
        <f>'Rashodi-2020'!N277</f>
        <v>4500000</v>
      </c>
      <c r="E157" s="1095">
        <f t="shared" si="5"/>
        <v>0.009934908949252945</v>
      </c>
      <c r="F157" s="1094">
        <f>'Rashodi-2020'!U277</f>
        <v>0</v>
      </c>
      <c r="G157" s="1094">
        <f t="shared" si="4"/>
        <v>4500000</v>
      </c>
      <c r="H157" s="1096" t="s">
        <v>1173</v>
      </c>
    </row>
    <row r="158" spans="1:8" ht="12.75" hidden="1">
      <c r="A158" s="1110"/>
      <c r="B158" s="1108" t="s">
        <v>998</v>
      </c>
      <c r="C158" s="1093">
        <f>_xlfn.IFERROR(VLOOKUP(B158,'[1]ПО КОРИСНИЦИМА'!$C$3:$J$11609,5,FALSE),"")</f>
      </c>
      <c r="D158" s="1098"/>
      <c r="E158" s="1099">
        <f t="shared" si="5"/>
        <v>0</v>
      </c>
      <c r="F158" s="1100"/>
      <c r="G158" s="1094">
        <f t="shared" si="4"/>
        <v>0</v>
      </c>
      <c r="H158" s="1096"/>
    </row>
    <row r="159" spans="1:8" ht="12.75" hidden="1">
      <c r="A159" s="1110"/>
      <c r="B159" s="1108" t="s">
        <v>999</v>
      </c>
      <c r="C159" s="1093">
        <f>_xlfn.IFERROR(VLOOKUP(B159,'[1]ПО КОРИСНИЦИМА'!$C$3:$J$11609,5,FALSE),"")</f>
      </c>
      <c r="D159" s="1098"/>
      <c r="E159" s="1099">
        <f t="shared" si="5"/>
        <v>0</v>
      </c>
      <c r="F159" s="1100"/>
      <c r="G159" s="1094">
        <f t="shared" si="4"/>
        <v>0</v>
      </c>
      <c r="H159" s="1096"/>
    </row>
    <row r="160" spans="1:8" ht="12.75" hidden="1">
      <c r="A160" s="1110"/>
      <c r="B160" s="1108" t="s">
        <v>1000</v>
      </c>
      <c r="C160" s="1093">
        <f>_xlfn.IFERROR(VLOOKUP(B160,'[1]ПО КОРИСНИЦИМА'!$C$3:$J$11609,5,FALSE),"")</f>
      </c>
      <c r="D160" s="1098"/>
      <c r="E160" s="1099">
        <f t="shared" si="5"/>
        <v>0</v>
      </c>
      <c r="F160" s="1100"/>
      <c r="G160" s="1094">
        <f t="shared" si="4"/>
        <v>0</v>
      </c>
      <c r="H160" s="1096"/>
    </row>
    <row r="161" spans="1:8" ht="12.75" hidden="1">
      <c r="A161" s="1110"/>
      <c r="B161" s="1108" t="s">
        <v>1001</v>
      </c>
      <c r="C161" s="1093">
        <f>_xlfn.IFERROR(VLOOKUP(B161,'[1]ПО КОРИСНИЦИМА'!$C$3:$J$11609,5,FALSE),"")</f>
      </c>
      <c r="D161" s="1098"/>
      <c r="E161" s="1099">
        <f t="shared" si="5"/>
        <v>0</v>
      </c>
      <c r="F161" s="1100"/>
      <c r="G161" s="1094">
        <f t="shared" si="4"/>
        <v>0</v>
      </c>
      <c r="H161" s="1096"/>
    </row>
    <row r="162" spans="1:8" ht="12.75" hidden="1">
      <c r="A162" s="1110"/>
      <c r="B162" s="1108" t="s">
        <v>1002</v>
      </c>
      <c r="C162" s="1093">
        <f>_xlfn.IFERROR(VLOOKUP(B162,'[1]ПО КОРИСНИЦИМА'!$C$3:$J$11609,5,FALSE),"")</f>
      </c>
      <c r="D162" s="1098"/>
      <c r="E162" s="1099">
        <f t="shared" si="5"/>
        <v>0</v>
      </c>
      <c r="F162" s="1100"/>
      <c r="G162" s="1094">
        <f t="shared" si="4"/>
        <v>0</v>
      </c>
      <c r="H162" s="1096"/>
    </row>
    <row r="163" spans="1:8" ht="12.75" hidden="1">
      <c r="A163" s="1110"/>
      <c r="B163" s="1108" t="s">
        <v>1003</v>
      </c>
      <c r="C163" s="1093">
        <f>_xlfn.IFERROR(VLOOKUP(B163,'[1]ПО КОРИСНИЦИМА'!$C$3:$J$11609,5,FALSE),"")</f>
      </c>
      <c r="D163" s="1098"/>
      <c r="E163" s="1099">
        <f t="shared" si="5"/>
        <v>0</v>
      </c>
      <c r="F163" s="1100"/>
      <c r="G163" s="1094">
        <f t="shared" si="4"/>
        <v>0</v>
      </c>
      <c r="H163" s="1096"/>
    </row>
    <row r="164" spans="1:8" ht="12.75" hidden="1">
      <c r="A164" s="1110"/>
      <c r="B164" s="1108" t="s">
        <v>1004</v>
      </c>
      <c r="C164" s="1093">
        <f>_xlfn.IFERROR(VLOOKUP(B164,'[1]ПО КОРИСНИЦИМА'!$C$3:$J$11609,5,FALSE),"")</f>
      </c>
      <c r="D164" s="1098"/>
      <c r="E164" s="1099">
        <f t="shared" si="5"/>
        <v>0</v>
      </c>
      <c r="F164" s="1100"/>
      <c r="G164" s="1094">
        <f t="shared" si="4"/>
        <v>0</v>
      </c>
      <c r="H164" s="1096"/>
    </row>
    <row r="165" spans="1:8" ht="12.75" hidden="1">
      <c r="A165" s="1110"/>
      <c r="B165" s="1108" t="s">
        <v>1005</v>
      </c>
      <c r="C165" s="1093">
        <f>_xlfn.IFERROR(VLOOKUP(B165,'[1]ПО КОРИСНИЦИМА'!$C$3:$J$11609,5,FALSE),"")</f>
      </c>
      <c r="D165" s="1098" t="e">
        <f>SUMIF('[1]ПО КОРИСНИЦИМА'!$G$3:$G$11609,"Свега за пројекат 0101-П8:",'[1]ПО КОРИСНИЦИМА'!$H$3:$H$11609)</f>
        <v>#VALUE!</v>
      </c>
      <c r="E165" s="1099" t="e">
        <f t="shared" si="5"/>
        <v>#VALUE!</v>
      </c>
      <c r="F165" s="1100" t="e">
        <f>SUMIF('[1]ПО КОРИСНИЦИМА'!$G$3:$G$11609,"Свега за пројекат 0101-П8:",'[1]ПО КОРИСНИЦИМА'!$I$3:$I$11609)</f>
        <v>#VALUE!</v>
      </c>
      <c r="G165" s="1094" t="e">
        <f t="shared" si="4"/>
        <v>#VALUE!</v>
      </c>
      <c r="H165" s="1096"/>
    </row>
    <row r="166" spans="1:8" ht="12.75" hidden="1">
      <c r="A166" s="1110"/>
      <c r="B166" s="1108" t="s">
        <v>1006</v>
      </c>
      <c r="C166" s="1093">
        <f>_xlfn.IFERROR(VLOOKUP(B166,'[1]ПО КОРИСНИЦИМА'!$C$3:$J$11609,5,FALSE),"")</f>
      </c>
      <c r="D166" s="1098" t="e">
        <f>SUMIF('[1]ПО КОРИСНИЦИМА'!$G$3:$G$11609,"Свега за пројекат 0101-П9:",'[1]ПО КОРИСНИЦИМА'!$H$3:$H$11609)</f>
        <v>#VALUE!</v>
      </c>
      <c r="E166" s="1099" t="e">
        <f t="shared" si="5"/>
        <v>#VALUE!</v>
      </c>
      <c r="F166" s="1100" t="e">
        <f>SUMIF('[1]ПО КОРИСНИЦИМА'!$G$3:$G$11609,"Свега за пројекат 0101-П9:",'[1]ПО КОРИСНИЦИМА'!$I$3:$I$11609)</f>
        <v>#VALUE!</v>
      </c>
      <c r="G166" s="1094" t="e">
        <f t="shared" si="4"/>
        <v>#VALUE!</v>
      </c>
      <c r="H166" s="1096"/>
    </row>
    <row r="167" spans="1:8" ht="12.75" hidden="1">
      <c r="A167" s="1110"/>
      <c r="B167" s="1108" t="s">
        <v>1007</v>
      </c>
      <c r="C167" s="1093">
        <f>_xlfn.IFERROR(VLOOKUP(B167,'[1]ПО КОРИСНИЦИМА'!$C$3:$J$11609,5,FALSE),"")</f>
      </c>
      <c r="D167" s="1098" t="e">
        <f>SUMIF('[1]ПО КОРИСНИЦИМА'!$G$3:$G$11609,"Свега за пројекат 0101-П10:",'[1]ПО КОРИСНИЦИМА'!$H$3:$H$11609)</f>
        <v>#VALUE!</v>
      </c>
      <c r="E167" s="1099" t="e">
        <f t="shared" si="5"/>
        <v>#VALUE!</v>
      </c>
      <c r="F167" s="1100" t="e">
        <f>SUMIF('[1]ПО КОРИСНИЦИМА'!$G$3:$G$11609,"Свега за пројекат 0101-П10:",'[1]ПО КОРИСНИЦИМА'!$I$3:$I$11609)</f>
        <v>#VALUE!</v>
      </c>
      <c r="G167" s="1094" t="e">
        <f t="shared" si="4"/>
        <v>#VALUE!</v>
      </c>
      <c r="H167" s="1096"/>
    </row>
    <row r="168" spans="1:8" ht="12.75" hidden="1">
      <c r="A168" s="1110"/>
      <c r="B168" s="1108" t="s">
        <v>1008</v>
      </c>
      <c r="C168" s="1093">
        <f>_xlfn.IFERROR(VLOOKUP(B168,'[1]ПО КОРИСНИЦИМА'!$C$3:$J$11609,5,FALSE),"")</f>
      </c>
      <c r="D168" s="1098" t="e">
        <f>SUMIF('[1]ПО КОРИСНИЦИМА'!$G$3:$G$11609,"Свега за пројекат 0101-П11:",'[1]ПО КОРИСНИЦИМА'!$H$3:$H$11609)</f>
        <v>#VALUE!</v>
      </c>
      <c r="E168" s="1099" t="e">
        <f t="shared" si="5"/>
        <v>#VALUE!</v>
      </c>
      <c r="F168" s="1100" t="e">
        <f>SUMIF('[1]ПО КОРИСНИЦИМА'!$G$3:$G$11609,"Свега за пројекат 0101-П11:",'[1]ПО КОРИСНИЦИМА'!$I$3:$I$11609)</f>
        <v>#VALUE!</v>
      </c>
      <c r="G168" s="1094" t="e">
        <f t="shared" si="4"/>
        <v>#VALUE!</v>
      </c>
      <c r="H168" s="1096"/>
    </row>
    <row r="169" spans="1:8" ht="12.75" hidden="1">
      <c r="A169" s="1110"/>
      <c r="B169" s="1108" t="s">
        <v>1009</v>
      </c>
      <c r="C169" s="1093">
        <f>_xlfn.IFERROR(VLOOKUP(B169,'[1]ПО КОРИСНИЦИМА'!$C$3:$J$11609,5,FALSE),"")</f>
      </c>
      <c r="D169" s="1098" t="e">
        <f>SUMIF('[1]ПО КОРИСНИЦИМА'!$G$3:$G$11609,"Свега за пројекат 0101-П12:",'[1]ПО КОРИСНИЦИМА'!$H$3:$H$11609)</f>
        <v>#VALUE!</v>
      </c>
      <c r="E169" s="1099" t="e">
        <f t="shared" si="5"/>
        <v>#VALUE!</v>
      </c>
      <c r="F169" s="1100" t="e">
        <f>SUMIF('[1]ПО КОРИСНИЦИМА'!$G$3:$G$11609,"Свега за пројекат 0101-П12:",'[1]ПО КОРИСНИЦИМА'!$I$3:$I$11609)</f>
        <v>#VALUE!</v>
      </c>
      <c r="G169" s="1094" t="e">
        <f t="shared" si="4"/>
        <v>#VALUE!</v>
      </c>
      <c r="H169" s="1096"/>
    </row>
    <row r="170" spans="1:8" ht="12.75" hidden="1">
      <c r="A170" s="1110"/>
      <c r="B170" s="1108" t="s">
        <v>1010</v>
      </c>
      <c r="C170" s="1093">
        <f>_xlfn.IFERROR(VLOOKUP(B170,'[1]ПО КОРИСНИЦИМА'!$C$3:$J$11609,5,FALSE),"")</f>
      </c>
      <c r="D170" s="1098" t="e">
        <f>SUMIF('[1]ПО КОРИСНИЦИМА'!$G$3:$G$11609,"Свега за пројекат 0101-П13:",'[1]ПО КОРИСНИЦИМА'!$H$3:$H$11609)</f>
        <v>#VALUE!</v>
      </c>
      <c r="E170" s="1099" t="e">
        <f t="shared" si="5"/>
        <v>#VALUE!</v>
      </c>
      <c r="F170" s="1100" t="e">
        <f>SUMIF('[1]ПО КОРИСНИЦИМА'!$G$3:$G$11609,"Свега за пројекат 0101-П13:",'[1]ПО КОРИСНИЦИМА'!$I$3:$I$11609)</f>
        <v>#VALUE!</v>
      </c>
      <c r="G170" s="1094" t="e">
        <f t="shared" si="4"/>
        <v>#VALUE!</v>
      </c>
      <c r="H170" s="1096"/>
    </row>
    <row r="171" spans="1:8" ht="12.75" hidden="1">
      <c r="A171" s="1110"/>
      <c r="B171" s="1108" t="s">
        <v>1011</v>
      </c>
      <c r="C171" s="1093">
        <f>_xlfn.IFERROR(VLOOKUP(B171,'[1]ПО КОРИСНИЦИМА'!$C$3:$J$11609,5,FALSE),"")</f>
      </c>
      <c r="D171" s="1098" t="e">
        <f>SUMIF('[1]ПО КОРИСНИЦИМА'!$G$3:$G$11609,"Свега за пројекат 0101-П14:",'[1]ПО КОРИСНИЦИМА'!$H$3:$H$11609)</f>
        <v>#VALUE!</v>
      </c>
      <c r="E171" s="1099" t="e">
        <f t="shared" si="5"/>
        <v>#VALUE!</v>
      </c>
      <c r="F171" s="1100" t="e">
        <f>SUMIF('[1]ПО КОРИСНИЦИМА'!$G$3:$G$11609,"Свега за пројекат 0101-П14:",'[1]ПО КОРИСНИЦИМА'!$I$3:$I$11609)</f>
        <v>#VALUE!</v>
      </c>
      <c r="G171" s="1094" t="e">
        <f t="shared" si="4"/>
        <v>#VALUE!</v>
      </c>
      <c r="H171" s="1096"/>
    </row>
    <row r="172" spans="1:8" ht="12.75" hidden="1">
      <c r="A172" s="1110"/>
      <c r="B172" s="1108" t="s">
        <v>1012</v>
      </c>
      <c r="C172" s="1093">
        <f>_xlfn.IFERROR(VLOOKUP(B172,'[1]ПО КОРИСНИЦИМА'!$C$3:$J$11609,5,FALSE),"")</f>
      </c>
      <c r="D172" s="1098" t="e">
        <f>SUMIF('[1]ПО КОРИСНИЦИМА'!$G$3:$G$11609,"Свега за пројекат 0101-П15:",'[1]ПО КОРИСНИЦИМА'!$H$3:$H$11609)</f>
        <v>#VALUE!</v>
      </c>
      <c r="E172" s="1099" t="e">
        <f t="shared" si="5"/>
        <v>#VALUE!</v>
      </c>
      <c r="F172" s="1100" t="e">
        <f>SUMIF('[1]ПО КОРИСНИЦИМА'!$G$3:$G$11609,"Свега за пројекат 0101-П15:",'[1]ПО КОРИСНИЦИМА'!$I$3:$I$11609)</f>
        <v>#VALUE!</v>
      </c>
      <c r="G172" s="1094" t="e">
        <f t="shared" si="4"/>
        <v>#VALUE!</v>
      </c>
      <c r="H172" s="1096"/>
    </row>
    <row r="173" spans="1:8" ht="12.75" hidden="1">
      <c r="A173" s="1110"/>
      <c r="B173" s="1108" t="s">
        <v>1013</v>
      </c>
      <c r="C173" s="1093">
        <f>_xlfn.IFERROR(VLOOKUP(B173,'[1]ПО КОРИСНИЦИМА'!$C$3:$J$11609,5,FALSE),"")</f>
      </c>
      <c r="D173" s="1098" t="e">
        <f>SUMIF('[1]ПО КОРИСНИЦИМА'!$G$3:$G$11609,"Свега за пројекат 0101-П16:",'[1]ПО КОРИСНИЦИМА'!$H$3:$H$11609)</f>
        <v>#VALUE!</v>
      </c>
      <c r="E173" s="1099" t="e">
        <f t="shared" si="5"/>
        <v>#VALUE!</v>
      </c>
      <c r="F173" s="1100" t="e">
        <f>SUMIF('[1]ПО КОРИСНИЦИМА'!$G$3:$G$11609,"Свега за пројекат 0101-П16:",'[1]ПО КОРИСНИЦИМА'!$I$3:$I$11609)</f>
        <v>#VALUE!</v>
      </c>
      <c r="G173" s="1094" t="e">
        <f t="shared" si="4"/>
        <v>#VALUE!</v>
      </c>
      <c r="H173" s="1096"/>
    </row>
    <row r="174" spans="1:8" s="326" customFormat="1" ht="12.75">
      <c r="A174" s="1087" t="s">
        <v>321</v>
      </c>
      <c r="B174" s="1088"/>
      <c r="C174" s="1089" t="s">
        <v>1</v>
      </c>
      <c r="D174" s="1090">
        <f>SUM(D175:D178)</f>
        <v>15400000</v>
      </c>
      <c r="E174" s="1091">
        <f t="shared" si="5"/>
        <v>0.03399946618188785</v>
      </c>
      <c r="F174" s="1090">
        <f>SUM(F175:F178)</f>
        <v>242000</v>
      </c>
      <c r="G174" s="1090">
        <f t="shared" si="4"/>
        <v>15642000</v>
      </c>
      <c r="H174" s="1107"/>
    </row>
    <row r="175" spans="1:8" ht="12.75">
      <c r="A175" s="1086"/>
      <c r="B175" s="1111" t="s">
        <v>322</v>
      </c>
      <c r="C175" s="1101" t="s">
        <v>1293</v>
      </c>
      <c r="D175" s="1094">
        <f>'Rashodi-2020'!N286</f>
        <v>3800000</v>
      </c>
      <c r="E175" s="1095">
        <f t="shared" si="5"/>
        <v>0.008389478668258041</v>
      </c>
      <c r="F175" s="1097">
        <f>'Rashodi-2020'!U286</f>
        <v>242000</v>
      </c>
      <c r="G175" s="1094">
        <f t="shared" si="4"/>
        <v>4042000</v>
      </c>
      <c r="H175" s="1096" t="s">
        <v>1173</v>
      </c>
    </row>
    <row r="176" spans="1:8" ht="12.75">
      <c r="A176" s="1086"/>
      <c r="B176" s="1111" t="s">
        <v>1248</v>
      </c>
      <c r="C176" s="1101" t="s">
        <v>333</v>
      </c>
      <c r="D176" s="1094">
        <f>'Rashodi-2020'!N281</f>
        <v>11100000</v>
      </c>
      <c r="E176" s="1095">
        <f t="shared" si="5"/>
        <v>0.024506108741490597</v>
      </c>
      <c r="F176" s="1094">
        <f>'Rashodi-2020'!U281</f>
        <v>0</v>
      </c>
      <c r="G176" s="1094">
        <f t="shared" si="4"/>
        <v>11100000</v>
      </c>
      <c r="H176" s="1096" t="s">
        <v>1173</v>
      </c>
    </row>
    <row r="177" spans="1:8" ht="12.75" customHeight="1" hidden="1">
      <c r="A177" s="1086"/>
      <c r="B177" s="1111" t="s">
        <v>853</v>
      </c>
      <c r="C177" s="1101" t="s">
        <v>854</v>
      </c>
      <c r="D177" s="1094"/>
      <c r="E177" s="1095">
        <f t="shared" si="5"/>
        <v>0</v>
      </c>
      <c r="F177" s="1097"/>
      <c r="G177" s="1094">
        <f t="shared" si="4"/>
        <v>0</v>
      </c>
      <c r="H177" s="1096"/>
    </row>
    <row r="178" spans="1:8" ht="12.75" customHeight="1">
      <c r="A178" s="1086"/>
      <c r="B178" s="1111" t="s">
        <v>855</v>
      </c>
      <c r="C178" s="1101" t="s">
        <v>1373</v>
      </c>
      <c r="D178" s="1094">
        <f>'Rashodi-2020'!N292</f>
        <v>500000</v>
      </c>
      <c r="E178" s="1095">
        <f t="shared" si="5"/>
        <v>0.001103878772139216</v>
      </c>
      <c r="F178" s="1097">
        <f>'Rashodi-2020'!O293+'Rashodi-2020'!P293+'Rashodi-2020'!Q293+'Rashodi-2020'!R293+'Rashodi-2020'!T293</f>
        <v>0</v>
      </c>
      <c r="G178" s="1094">
        <f t="shared" si="4"/>
        <v>500000</v>
      </c>
      <c r="H178" s="1096" t="s">
        <v>1173</v>
      </c>
    </row>
    <row r="179" spans="1:8" ht="12.75" customHeight="1" hidden="1">
      <c r="A179" s="1086"/>
      <c r="B179" s="1111" t="s">
        <v>1014</v>
      </c>
      <c r="C179" s="1093">
        <f>_xlfn.IFERROR(VLOOKUP(B179,'[1]ПО КОРИСНИЦИМА'!$C$3:$J$11609,5,FALSE),"")</f>
      </c>
      <c r="D179" s="1098"/>
      <c r="E179" s="1099">
        <f t="shared" si="5"/>
        <v>0</v>
      </c>
      <c r="F179" s="1100"/>
      <c r="G179" s="1094">
        <f t="shared" si="4"/>
        <v>0</v>
      </c>
      <c r="H179" s="1096"/>
    </row>
    <row r="180" spans="1:8" ht="12.75" customHeight="1" hidden="1">
      <c r="A180" s="1086"/>
      <c r="B180" s="1111" t="s">
        <v>1015</v>
      </c>
      <c r="C180" s="1093">
        <f>_xlfn.IFERROR(VLOOKUP(B180,'[1]ПО КОРИСНИЦИМА'!$C$3:$J$11609,5,FALSE),"")</f>
      </c>
      <c r="D180" s="1098"/>
      <c r="E180" s="1099">
        <f t="shared" si="5"/>
        <v>0</v>
      </c>
      <c r="F180" s="1100"/>
      <c r="G180" s="1094">
        <f t="shared" si="4"/>
        <v>0</v>
      </c>
      <c r="H180" s="1096"/>
    </row>
    <row r="181" spans="1:8" ht="12.75" customHeight="1" hidden="1">
      <c r="A181" s="1086"/>
      <c r="B181" s="1111" t="s">
        <v>1016</v>
      </c>
      <c r="C181" s="1093">
        <f>_xlfn.IFERROR(VLOOKUP(B181,'[1]ПО КОРИСНИЦИМА'!$C$3:$J$11609,5,FALSE),"")</f>
      </c>
      <c r="D181" s="1098"/>
      <c r="E181" s="1099">
        <f t="shared" si="5"/>
        <v>0</v>
      </c>
      <c r="F181" s="1100"/>
      <c r="G181" s="1094">
        <f t="shared" si="4"/>
        <v>0</v>
      </c>
      <c r="H181" s="1096"/>
    </row>
    <row r="182" spans="1:8" ht="12.75" customHeight="1" hidden="1">
      <c r="A182" s="1086"/>
      <c r="B182" s="1111" t="s">
        <v>1017</v>
      </c>
      <c r="C182" s="1093">
        <f>_xlfn.IFERROR(VLOOKUP(B182,'[1]ПО КОРИСНИЦИМА'!$C$3:$J$11609,5,FALSE),"")</f>
      </c>
      <c r="D182" s="1098"/>
      <c r="E182" s="1099">
        <f t="shared" si="5"/>
        <v>0</v>
      </c>
      <c r="F182" s="1100"/>
      <c r="G182" s="1094">
        <f t="shared" si="4"/>
        <v>0</v>
      </c>
      <c r="H182" s="1096"/>
    </row>
    <row r="183" spans="1:8" ht="12.75" customHeight="1" hidden="1">
      <c r="A183" s="1086"/>
      <c r="B183" s="1111" t="s">
        <v>1018</v>
      </c>
      <c r="C183" s="1093">
        <f>_xlfn.IFERROR(VLOOKUP(B183,'[1]ПО КОРИСНИЦИМА'!$C$3:$J$11609,5,FALSE),"")</f>
      </c>
      <c r="D183" s="1098"/>
      <c r="E183" s="1099">
        <f t="shared" si="5"/>
        <v>0</v>
      </c>
      <c r="F183" s="1100"/>
      <c r="G183" s="1094">
        <f t="shared" si="4"/>
        <v>0</v>
      </c>
      <c r="H183" s="1096"/>
    </row>
    <row r="184" spans="1:8" ht="12.75" customHeight="1" hidden="1">
      <c r="A184" s="1086"/>
      <c r="B184" s="1111" t="s">
        <v>1019</v>
      </c>
      <c r="C184" s="1093">
        <f>_xlfn.IFERROR(VLOOKUP(B184,'[1]ПО КОРИСНИЦИМА'!$C$3:$J$11609,5,FALSE),"")</f>
      </c>
      <c r="D184" s="1098"/>
      <c r="E184" s="1099">
        <f t="shared" si="5"/>
        <v>0</v>
      </c>
      <c r="F184" s="1100"/>
      <c r="G184" s="1094">
        <f t="shared" si="4"/>
        <v>0</v>
      </c>
      <c r="H184" s="1096"/>
    </row>
    <row r="185" spans="1:8" ht="12.75" customHeight="1" hidden="1">
      <c r="A185" s="1086"/>
      <c r="B185" s="1111" t="s">
        <v>1020</v>
      </c>
      <c r="C185" s="1093">
        <f>_xlfn.IFERROR(VLOOKUP(B185,'[1]ПО КОРИСНИЦИМА'!$C$3:$J$11609,5,FALSE),"")</f>
      </c>
      <c r="D185" s="1098"/>
      <c r="E185" s="1099">
        <f t="shared" si="5"/>
        <v>0</v>
      </c>
      <c r="F185" s="1100"/>
      <c r="G185" s="1094">
        <f t="shared" si="4"/>
        <v>0</v>
      </c>
      <c r="H185" s="1096"/>
    </row>
    <row r="186" spans="1:8" ht="12.75" customHeight="1" hidden="1">
      <c r="A186" s="1086"/>
      <c r="B186" s="1111" t="s">
        <v>1021</v>
      </c>
      <c r="C186" s="1093">
        <f>_xlfn.IFERROR(VLOOKUP(B186,'[1]ПО КОРИСНИЦИМА'!$C$3:$J$11609,5,FALSE),"")</f>
      </c>
      <c r="D186" s="1098"/>
      <c r="E186" s="1099">
        <f t="shared" si="5"/>
        <v>0</v>
      </c>
      <c r="F186" s="1100"/>
      <c r="G186" s="1094">
        <f t="shared" si="4"/>
        <v>0</v>
      </c>
      <c r="H186" s="1096"/>
    </row>
    <row r="187" spans="1:8" ht="12.75" customHeight="1" hidden="1">
      <c r="A187" s="1086"/>
      <c r="B187" s="1111" t="s">
        <v>1022</v>
      </c>
      <c r="C187" s="1093">
        <f>_xlfn.IFERROR(VLOOKUP(B187,'[1]ПО КОРИСНИЦИМА'!$C$3:$J$11609,5,FALSE),"")</f>
      </c>
      <c r="D187" s="1098"/>
      <c r="E187" s="1099">
        <f t="shared" si="5"/>
        <v>0</v>
      </c>
      <c r="F187" s="1100"/>
      <c r="G187" s="1094">
        <f t="shared" si="4"/>
        <v>0</v>
      </c>
      <c r="H187" s="1096"/>
    </row>
    <row r="188" spans="1:8" ht="12.75" customHeight="1" hidden="1">
      <c r="A188" s="1086"/>
      <c r="B188" s="1111" t="s">
        <v>1023</v>
      </c>
      <c r="C188" s="1093">
        <f>_xlfn.IFERROR(VLOOKUP(B188,'[1]ПО КОРИСНИЦИМА'!$C$3:$J$11609,5,FALSE),"")</f>
      </c>
      <c r="D188" s="1098"/>
      <c r="E188" s="1099">
        <f t="shared" si="5"/>
        <v>0</v>
      </c>
      <c r="F188" s="1100"/>
      <c r="G188" s="1094">
        <f t="shared" si="4"/>
        <v>0</v>
      </c>
      <c r="H188" s="1096"/>
    </row>
    <row r="189" spans="1:8" ht="12.75" hidden="1">
      <c r="A189" s="1086"/>
      <c r="B189" s="1111" t="s">
        <v>1024</v>
      </c>
      <c r="C189" s="1093">
        <f>_xlfn.IFERROR(VLOOKUP(B189,'[1]ПО КОРИСНИЦИМА'!$C$3:$J$11609,5,FALSE),"")</f>
      </c>
      <c r="D189" s="1098" t="e">
        <f>SUMIF('[1]ПО КОРИСНИЦИМА'!$G$3:$G$11609,"Свега за пројекат 0401-П11:",'[1]ПО КОРИСНИЦИМА'!$H$3:$H$11609)</f>
        <v>#VALUE!</v>
      </c>
      <c r="E189" s="1099" t="e">
        <f t="shared" si="5"/>
        <v>#VALUE!</v>
      </c>
      <c r="F189" s="1100" t="e">
        <f>SUMIF('[1]ПО КОРИСНИЦИМА'!$G$3:$G$11609,"Свега за пројекат 0401-П11:",'[1]ПО КОРИСНИЦИМА'!$I$3:$I$11609)</f>
        <v>#VALUE!</v>
      </c>
      <c r="G189" s="1094" t="e">
        <f t="shared" si="4"/>
        <v>#VALUE!</v>
      </c>
      <c r="H189" s="1096"/>
    </row>
    <row r="190" spans="1:8" ht="12.75" hidden="1">
      <c r="A190" s="1086"/>
      <c r="B190" s="1111" t="s">
        <v>1025</v>
      </c>
      <c r="C190" s="1093">
        <f>_xlfn.IFERROR(VLOOKUP(B190,'[1]ПО КОРИСНИЦИМА'!$C$3:$J$11609,5,FALSE),"")</f>
      </c>
      <c r="D190" s="1098" t="e">
        <f>SUMIF('[1]ПО КОРИСНИЦИМА'!$G$3:$G$11609,"Свега за пројекат 0401-П12:",'[1]ПО КОРИСНИЦИМА'!$H$3:$H$11609)</f>
        <v>#VALUE!</v>
      </c>
      <c r="E190" s="1099" t="e">
        <f t="shared" si="5"/>
        <v>#VALUE!</v>
      </c>
      <c r="F190" s="1100" t="e">
        <f>SUMIF('[1]ПО КОРИСНИЦИМА'!$G$3:$G$11609,"Свега за пројекат 0401-П12:",'[1]ПО КОРИСНИЦИМА'!$I$3:$I$11609)</f>
        <v>#VALUE!</v>
      </c>
      <c r="G190" s="1094" t="e">
        <f t="shared" si="4"/>
        <v>#VALUE!</v>
      </c>
      <c r="H190" s="1096"/>
    </row>
    <row r="191" spans="1:8" ht="12.75" hidden="1">
      <c r="A191" s="1086"/>
      <c r="B191" s="1111" t="s">
        <v>1026</v>
      </c>
      <c r="C191" s="1093">
        <f>_xlfn.IFERROR(VLOOKUP(B191,'[1]ПО КОРИСНИЦИМА'!$C$3:$J$11609,5,FALSE),"")</f>
      </c>
      <c r="D191" s="1098" t="e">
        <f>SUMIF('[1]ПО КОРИСНИЦИМА'!$G$3:$G$11609,"Свега за пројекат 0401-П13:",'[1]ПО КОРИСНИЦИМА'!$H$3:$H$11609)</f>
        <v>#VALUE!</v>
      </c>
      <c r="E191" s="1099" t="e">
        <f t="shared" si="5"/>
        <v>#VALUE!</v>
      </c>
      <c r="F191" s="1100" t="e">
        <f>SUMIF('[1]ПО КОРИСНИЦИМА'!$G$3:$G$11609,"Свега за пројекат 0401-П13:",'[1]ПО КОРИСНИЦИМА'!$I$3:$I$11609)</f>
        <v>#VALUE!</v>
      </c>
      <c r="G191" s="1094" t="e">
        <f t="shared" si="4"/>
        <v>#VALUE!</v>
      </c>
      <c r="H191" s="1096"/>
    </row>
    <row r="192" spans="1:8" ht="12.75" hidden="1">
      <c r="A192" s="1086"/>
      <c r="B192" s="1111" t="s">
        <v>1027</v>
      </c>
      <c r="C192" s="1093">
        <f>_xlfn.IFERROR(VLOOKUP(B192,'[1]ПО КОРИСНИЦИМА'!$C$3:$J$11609,5,FALSE),"")</f>
      </c>
      <c r="D192" s="1098" t="e">
        <f>SUMIF('[1]ПО КОРИСНИЦИМА'!$G$3:$G$11609,"Свега за пројекат 0401-П14:",'[1]ПО КОРИСНИЦИМА'!$H$3:$H$11609)</f>
        <v>#VALUE!</v>
      </c>
      <c r="E192" s="1099" t="e">
        <f t="shared" si="5"/>
        <v>#VALUE!</v>
      </c>
      <c r="F192" s="1100" t="e">
        <f>SUMIF('[1]ПО КОРИСНИЦИМА'!$G$3:$G$11609,"Свега за пројекат 0401-П14:",'[1]ПО КОРИСНИЦИМА'!$I$3:$I$11609)</f>
        <v>#VALUE!</v>
      </c>
      <c r="G192" s="1094" t="e">
        <f t="shared" si="4"/>
        <v>#VALUE!</v>
      </c>
      <c r="H192" s="1096"/>
    </row>
    <row r="193" spans="1:8" ht="12.75" hidden="1">
      <c r="A193" s="1110"/>
      <c r="B193" s="1111" t="s">
        <v>1028</v>
      </c>
      <c r="C193" s="1093">
        <f>_xlfn.IFERROR(VLOOKUP(B193,'[1]ПО КОРИСНИЦИМА'!$C$3:$J$11609,5,FALSE),"")</f>
      </c>
      <c r="D193" s="1098" t="e">
        <f>SUMIF('[1]ПО КОРИСНИЦИМА'!$G$3:$G$11609,"Свега за пројекат 0401-П15:",'[1]ПО КОРИСНИЦИМА'!$H$3:$H$11609)</f>
        <v>#VALUE!</v>
      </c>
      <c r="E193" s="1099" t="e">
        <f t="shared" si="5"/>
        <v>#VALUE!</v>
      </c>
      <c r="F193" s="1100" t="e">
        <f>SUMIF('[1]ПО КОРИСНИЦИМА'!$G$3:$G$11609,"Свега за пројекат 0401-П15:",'[1]ПО КОРИСНИЦИМА'!$I$3:$I$11609)</f>
        <v>#VALUE!</v>
      </c>
      <c r="G193" s="1094" t="e">
        <f t="shared" si="4"/>
        <v>#VALUE!</v>
      </c>
      <c r="H193" s="1096"/>
    </row>
    <row r="194" spans="1:8" s="326" customFormat="1" ht="12.75">
      <c r="A194" s="1087" t="s">
        <v>324</v>
      </c>
      <c r="B194" s="1088"/>
      <c r="C194" s="1089" t="s">
        <v>1355</v>
      </c>
      <c r="D194" s="1090">
        <f>SUM(D195:D202)</f>
        <v>44190000</v>
      </c>
      <c r="E194" s="1112">
        <f t="shared" si="5"/>
        <v>0.09756080588166391</v>
      </c>
      <c r="F194" s="1090">
        <f>SUM(F195:F202)</f>
        <v>35000000</v>
      </c>
      <c r="G194" s="1113">
        <f t="shared" si="4"/>
        <v>79190000</v>
      </c>
      <c r="H194" s="1107"/>
    </row>
    <row r="195" spans="1:8" ht="12.75" hidden="1">
      <c r="A195" s="1086"/>
      <c r="B195" s="1108" t="s">
        <v>872</v>
      </c>
      <c r="C195" s="1109" t="s">
        <v>856</v>
      </c>
      <c r="D195" s="1094"/>
      <c r="E195" s="1099">
        <f t="shared" si="5"/>
        <v>0</v>
      </c>
      <c r="F195" s="1097"/>
      <c r="G195" s="1094">
        <f t="shared" si="4"/>
        <v>0</v>
      </c>
      <c r="H195" s="1096"/>
    </row>
    <row r="196" spans="1:8" ht="12.75">
      <c r="A196" s="1086"/>
      <c r="B196" s="1108" t="s">
        <v>325</v>
      </c>
      <c r="C196" s="1109" t="s">
        <v>1357</v>
      </c>
      <c r="D196" s="1094">
        <f>'Rashodi-2020'!N357</f>
        <v>44190000</v>
      </c>
      <c r="E196" s="1095">
        <f t="shared" si="5"/>
        <v>0.09756080588166391</v>
      </c>
      <c r="F196" s="1094">
        <f>'Rashodi-2020'!U357</f>
        <v>35000000</v>
      </c>
      <c r="G196" s="1094">
        <f t="shared" si="4"/>
        <v>79190000</v>
      </c>
      <c r="H196" s="1096" t="s">
        <v>1308</v>
      </c>
    </row>
    <row r="197" spans="1:8" ht="12.75" hidden="1">
      <c r="A197" s="1110"/>
      <c r="B197" s="1110" t="s">
        <v>1029</v>
      </c>
      <c r="C197" s="1093">
        <f>_xlfn.IFERROR(VLOOKUP(B197,'[1]ПО КОРИСНИЦИМА'!$C$3:$J$11609,5,FALSE),"")</f>
      </c>
      <c r="D197" s="1098"/>
      <c r="E197" s="1099">
        <f t="shared" si="5"/>
        <v>0</v>
      </c>
      <c r="F197" s="1100"/>
      <c r="G197" s="1094">
        <f aca="true" t="shared" si="6" ref="G197:G260">D197+F197</f>
        <v>0</v>
      </c>
      <c r="H197" s="1096"/>
    </row>
    <row r="198" spans="1:8" ht="12.75" hidden="1">
      <c r="A198" s="1110"/>
      <c r="B198" s="1110" t="s">
        <v>1030</v>
      </c>
      <c r="C198" s="1093">
        <f>_xlfn.IFERROR(VLOOKUP(B198,'[1]ПО КОРИСНИЦИМА'!$C$3:$J$11609,5,FALSE),"")</f>
      </c>
      <c r="D198" s="1098"/>
      <c r="E198" s="1099">
        <f aca="true" t="shared" si="7" ref="E198:E261">D198/452948288</f>
        <v>0</v>
      </c>
      <c r="F198" s="1100"/>
      <c r="G198" s="1094">
        <f t="shared" si="6"/>
        <v>0</v>
      </c>
      <c r="H198" s="1096"/>
    </row>
    <row r="199" spans="1:8" ht="12.75" hidden="1">
      <c r="A199" s="1110"/>
      <c r="B199" s="1110" t="s">
        <v>1031</v>
      </c>
      <c r="C199" s="1093">
        <f>_xlfn.IFERROR(VLOOKUP(B199,'[1]ПО КОРИСНИЦИМА'!$C$3:$J$11609,5,FALSE),"")</f>
      </c>
      <c r="D199" s="1098"/>
      <c r="E199" s="1099">
        <f t="shared" si="7"/>
        <v>0</v>
      </c>
      <c r="F199" s="1100"/>
      <c r="G199" s="1094">
        <f t="shared" si="6"/>
        <v>0</v>
      </c>
      <c r="H199" s="1096"/>
    </row>
    <row r="200" spans="1:8" ht="12.75" hidden="1">
      <c r="A200" s="1110"/>
      <c r="B200" s="1110" t="s">
        <v>1032</v>
      </c>
      <c r="C200" s="1093">
        <f>_xlfn.IFERROR(VLOOKUP(B200,'[1]ПО КОРИСНИЦИМА'!$C$3:$J$11609,5,FALSE),"")</f>
      </c>
      <c r="D200" s="1098"/>
      <c r="E200" s="1099">
        <f t="shared" si="7"/>
        <v>0</v>
      </c>
      <c r="F200" s="1100"/>
      <c r="G200" s="1094">
        <f t="shared" si="6"/>
        <v>0</v>
      </c>
      <c r="H200" s="1096"/>
    </row>
    <row r="201" spans="1:8" ht="12.75" hidden="1">
      <c r="A201" s="1110"/>
      <c r="B201" s="1110" t="s">
        <v>1033</v>
      </c>
      <c r="C201" s="1093">
        <f>_xlfn.IFERROR(VLOOKUP(B201,'[1]ПО КОРИСНИЦИМА'!$C$3:$J$11609,5,FALSE),"")</f>
      </c>
      <c r="D201" s="1098"/>
      <c r="E201" s="1099">
        <f t="shared" si="7"/>
        <v>0</v>
      </c>
      <c r="F201" s="1100"/>
      <c r="G201" s="1094">
        <f t="shared" si="6"/>
        <v>0</v>
      </c>
      <c r="H201" s="1096"/>
    </row>
    <row r="202" spans="1:8" ht="12.75" hidden="1">
      <c r="A202" s="1110"/>
      <c r="B202" s="1110" t="s">
        <v>1034</v>
      </c>
      <c r="C202" s="1093">
        <f>_xlfn.IFERROR(VLOOKUP(B202,'[1]ПО КОРИСНИЦИМА'!$C$3:$J$11609,5,FALSE),"")</f>
      </c>
      <c r="D202" s="1098"/>
      <c r="E202" s="1099">
        <f t="shared" si="7"/>
        <v>0</v>
      </c>
      <c r="F202" s="1100"/>
      <c r="G202" s="1094">
        <f t="shared" si="6"/>
        <v>0</v>
      </c>
      <c r="H202" s="1096"/>
    </row>
    <row r="203" spans="1:8" ht="12.75" hidden="1">
      <c r="A203" s="1110"/>
      <c r="B203" s="1110" t="s">
        <v>1035</v>
      </c>
      <c r="C203" s="1093">
        <f>_xlfn.IFERROR(VLOOKUP(B203,'[1]ПО КОРИСНИЦИМА'!$C$3:$J$11609,5,FALSE),"")</f>
      </c>
      <c r="D203" s="1098" t="e">
        <f>SUMIF('[1]ПО КОРИСНИЦИМА'!$G$3:$G$11609,"Свега за пројекат 0701-П7:",'[1]ПО КОРИСНИЦИМА'!$H$3:$H$11609)</f>
        <v>#VALUE!</v>
      </c>
      <c r="E203" s="1099" t="e">
        <f t="shared" si="7"/>
        <v>#VALUE!</v>
      </c>
      <c r="F203" s="1100"/>
      <c r="G203" s="1094" t="e">
        <f t="shared" si="6"/>
        <v>#VALUE!</v>
      </c>
      <c r="H203" s="1096"/>
    </row>
    <row r="204" spans="1:8" ht="12.75" hidden="1">
      <c r="A204" s="1110"/>
      <c r="B204" s="1110" t="s">
        <v>1036</v>
      </c>
      <c r="C204" s="1093">
        <f>_xlfn.IFERROR(VLOOKUP(B204,'[1]ПО КОРИСНИЦИМА'!$C$3:$J$11609,5,FALSE),"")</f>
      </c>
      <c r="D204" s="1098" t="e">
        <f>SUMIF('[1]ПО КОРИСНИЦИМА'!$G$3:$G$11609,"Свега за пројекат 0701-П8:",'[1]ПО КОРИСНИЦИМА'!$H$3:$H$11609)</f>
        <v>#VALUE!</v>
      </c>
      <c r="E204" s="1099" t="e">
        <f t="shared" si="7"/>
        <v>#VALUE!</v>
      </c>
      <c r="F204" s="1100"/>
      <c r="G204" s="1094" t="e">
        <f t="shared" si="6"/>
        <v>#VALUE!</v>
      </c>
      <c r="H204" s="1096"/>
    </row>
    <row r="205" spans="1:8" ht="12.75" hidden="1">
      <c r="A205" s="1110"/>
      <c r="B205" s="1110" t="s">
        <v>1037</v>
      </c>
      <c r="C205" s="1093">
        <f>_xlfn.IFERROR(VLOOKUP(B205,'[1]ПО КОРИСНИЦИМА'!$C$3:$J$11609,5,FALSE),"")</f>
      </c>
      <c r="D205" s="1098" t="e">
        <f>SUMIF('[1]ПО КОРИСНИЦИМА'!$G$3:$G$11609,"Свега за пројекат 0701-П9:",'[1]ПО КОРИСНИЦИМА'!$H$3:$H$11609)</f>
        <v>#VALUE!</v>
      </c>
      <c r="E205" s="1099" t="e">
        <f t="shared" si="7"/>
        <v>#VALUE!</v>
      </c>
      <c r="F205" s="1100"/>
      <c r="G205" s="1094" t="e">
        <f t="shared" si="6"/>
        <v>#VALUE!</v>
      </c>
      <c r="H205" s="1096"/>
    </row>
    <row r="206" spans="1:8" ht="12.75" hidden="1">
      <c r="A206" s="1110"/>
      <c r="B206" s="1110" t="s">
        <v>1038</v>
      </c>
      <c r="C206" s="1093">
        <f>_xlfn.IFERROR(VLOOKUP(B206,'[1]ПО КОРИСНИЦИМА'!$C$3:$J$11609,5,FALSE),"")</f>
      </c>
      <c r="D206" s="1098" t="e">
        <f>SUMIF('[1]ПО КОРИСНИЦИМА'!$G$3:$G$11609,"Свега за пројекат 0701-П10:",'[1]ПО КОРИСНИЦИМА'!$H$3:$H$11609)</f>
        <v>#VALUE!</v>
      </c>
      <c r="E206" s="1099" t="e">
        <f t="shared" si="7"/>
        <v>#VALUE!</v>
      </c>
      <c r="F206" s="1100"/>
      <c r="G206" s="1094" t="e">
        <f t="shared" si="6"/>
        <v>#VALUE!</v>
      </c>
      <c r="H206" s="1096"/>
    </row>
    <row r="207" spans="1:8" ht="12.75" hidden="1">
      <c r="A207" s="1110"/>
      <c r="B207" s="1110" t="s">
        <v>1039</v>
      </c>
      <c r="C207" s="1093">
        <f>_xlfn.IFERROR(VLOOKUP(B207,'[1]ПО КОРИСНИЦИМА'!$C$3:$J$11609,5,FALSE),"")</f>
      </c>
      <c r="D207" s="1098" t="e">
        <f>SUMIF('[1]ПО КОРИСНИЦИМА'!$G$3:$G$11609,"Свега за пројекат 0701-П11:",'[1]ПО КОРИСНИЦИМА'!$H$3:$H$11609)</f>
        <v>#VALUE!</v>
      </c>
      <c r="E207" s="1099" t="e">
        <f t="shared" si="7"/>
        <v>#VALUE!</v>
      </c>
      <c r="F207" s="1100"/>
      <c r="G207" s="1094" t="e">
        <f t="shared" si="6"/>
        <v>#VALUE!</v>
      </c>
      <c r="H207" s="1096"/>
    </row>
    <row r="208" spans="1:8" ht="12.75" hidden="1">
      <c r="A208" s="1110"/>
      <c r="B208" s="1110" t="s">
        <v>1040</v>
      </c>
      <c r="C208" s="1093">
        <f>_xlfn.IFERROR(VLOOKUP(B208,'[1]ПО КОРИСНИЦИМА'!$C$3:$J$11609,5,FALSE),"")</f>
      </c>
      <c r="D208" s="1098" t="e">
        <f>SUMIF('[1]ПО КОРИСНИЦИМА'!$G$3:$G$11609,"Свега за пројекат 0701-П12:",'[1]ПО КОРИСНИЦИМА'!$H$3:$H$11609)</f>
        <v>#VALUE!</v>
      </c>
      <c r="E208" s="1099" t="e">
        <f t="shared" si="7"/>
        <v>#VALUE!</v>
      </c>
      <c r="F208" s="1100"/>
      <c r="G208" s="1094" t="e">
        <f t="shared" si="6"/>
        <v>#VALUE!</v>
      </c>
      <c r="H208" s="1096"/>
    </row>
    <row r="209" spans="1:8" ht="12.75" hidden="1">
      <c r="A209" s="1110"/>
      <c r="B209" s="1110" t="s">
        <v>1041</v>
      </c>
      <c r="C209" s="1093">
        <f>_xlfn.IFERROR(VLOOKUP(B209,'[1]ПО КОРИСНИЦИМА'!$C$3:$J$11609,5,FALSE),"")</f>
      </c>
      <c r="D209" s="1098" t="e">
        <f>SUMIF('[1]ПО КОРИСНИЦИМА'!$G$3:$G$11609,"Свега за пројекат 0701-П13:",'[1]ПО КОРИСНИЦИМА'!$H$3:$H$11609)</f>
        <v>#VALUE!</v>
      </c>
      <c r="E209" s="1099" t="e">
        <f t="shared" si="7"/>
        <v>#VALUE!</v>
      </c>
      <c r="F209" s="1100"/>
      <c r="G209" s="1094" t="e">
        <f t="shared" si="6"/>
        <v>#VALUE!</v>
      </c>
      <c r="H209" s="1096"/>
    </row>
    <row r="210" spans="1:8" ht="12.75" hidden="1">
      <c r="A210" s="1110"/>
      <c r="B210" s="1110" t="s">
        <v>1042</v>
      </c>
      <c r="C210" s="1093">
        <f>_xlfn.IFERROR(VLOOKUP(B210,'[1]ПО КОРИСНИЦИМА'!$C$3:$J$11609,5,FALSE),"")</f>
      </c>
      <c r="D210" s="1098" t="e">
        <f>SUMIF('[1]ПО КОРИСНИЦИМА'!$G$3:$G$11609,"Свега за пројекат 0701-П14:",'[1]ПО КОРИСНИЦИМА'!$H$3:$H$11609)</f>
        <v>#VALUE!</v>
      </c>
      <c r="E210" s="1099" t="e">
        <f t="shared" si="7"/>
        <v>#VALUE!</v>
      </c>
      <c r="F210" s="1100"/>
      <c r="G210" s="1094" t="e">
        <f t="shared" si="6"/>
        <v>#VALUE!</v>
      </c>
      <c r="H210" s="1096"/>
    </row>
    <row r="211" spans="1:8" ht="12.75" hidden="1">
      <c r="A211" s="1110"/>
      <c r="B211" s="1110" t="s">
        <v>1043</v>
      </c>
      <c r="C211" s="1093">
        <f>_xlfn.IFERROR(VLOOKUP(B211,'[1]ПО КОРИСНИЦИМА'!$C$3:$J$11609,5,FALSE),"")</f>
      </c>
      <c r="D211" s="1098" t="e">
        <f>SUMIF('[1]ПО КОРИСНИЦИМА'!$G$3:$G$11609,"Свега за пројекат 0701-П15:",'[1]ПО КОРИСНИЦИМА'!$H$3:$H$11609)</f>
        <v>#VALUE!</v>
      </c>
      <c r="E211" s="1099" t="e">
        <f t="shared" si="7"/>
        <v>#VALUE!</v>
      </c>
      <c r="F211" s="1100"/>
      <c r="G211" s="1094" t="e">
        <f t="shared" si="6"/>
        <v>#VALUE!</v>
      </c>
      <c r="H211" s="1096"/>
    </row>
    <row r="212" spans="1:8" ht="12.75" hidden="1">
      <c r="A212" s="1110"/>
      <c r="B212" s="1110" t="s">
        <v>1044</v>
      </c>
      <c r="C212" s="1093">
        <f>_xlfn.IFERROR(VLOOKUP(B212,'[1]ПО КОРИСНИЦИМА'!$C$3:$J$11609,5,FALSE),"")</f>
      </c>
      <c r="D212" s="1098" t="e">
        <f>SUMIF('[1]ПО КОРИСНИЦИМА'!$G$3:$G$11609,"Свега за пројекат 0701-П16:",'[1]ПО КОРИСНИЦИМА'!$H$3:$H$11609)</f>
        <v>#VALUE!</v>
      </c>
      <c r="E212" s="1099" t="e">
        <f t="shared" si="7"/>
        <v>#VALUE!</v>
      </c>
      <c r="F212" s="1100"/>
      <c r="G212" s="1094" t="e">
        <f t="shared" si="6"/>
        <v>#VALUE!</v>
      </c>
      <c r="H212" s="1096"/>
    </row>
    <row r="213" spans="1:8" ht="12.75" hidden="1">
      <c r="A213" s="1110"/>
      <c r="B213" s="1110" t="s">
        <v>1045</v>
      </c>
      <c r="C213" s="1093">
        <f>_xlfn.IFERROR(VLOOKUP(B213,'[1]ПО КОРИСНИЦИМА'!$C$3:$J$11609,5,FALSE),"")</f>
      </c>
      <c r="D213" s="1098" t="e">
        <f>SUMIF('[1]ПО КОРИСНИЦИМА'!$G$3:$G$11609,"Свега за пројекат 0701-П17:",'[1]ПО КОРИСНИЦИМА'!$H$3:$H$11609)</f>
        <v>#VALUE!</v>
      </c>
      <c r="E213" s="1099" t="e">
        <f t="shared" si="7"/>
        <v>#VALUE!</v>
      </c>
      <c r="F213" s="1100"/>
      <c r="G213" s="1094" t="e">
        <f t="shared" si="6"/>
        <v>#VALUE!</v>
      </c>
      <c r="H213" s="1096"/>
    </row>
    <row r="214" spans="1:8" ht="12.75" hidden="1">
      <c r="A214" s="1110"/>
      <c r="B214" s="1110" t="s">
        <v>1046</v>
      </c>
      <c r="C214" s="1093">
        <f>_xlfn.IFERROR(VLOOKUP(B214,'[1]ПО КОРИСНИЦИМА'!$C$3:$J$11609,5,FALSE),"")</f>
      </c>
      <c r="D214" s="1098" t="e">
        <f>SUMIF('[1]ПО КОРИСНИЦИМА'!$G$3:$G$11609,"Свега за пројекат 0701-П18:",'[1]ПО КОРИСНИЦИМА'!$H$3:$H$11609)</f>
        <v>#VALUE!</v>
      </c>
      <c r="E214" s="1099" t="e">
        <f t="shared" si="7"/>
        <v>#VALUE!</v>
      </c>
      <c r="F214" s="1100"/>
      <c r="G214" s="1094" t="e">
        <f t="shared" si="6"/>
        <v>#VALUE!</v>
      </c>
      <c r="H214" s="1096"/>
    </row>
    <row r="215" spans="1:8" ht="12.75" hidden="1">
      <c r="A215" s="1110"/>
      <c r="B215" s="1110" t="s">
        <v>1047</v>
      </c>
      <c r="C215" s="1093">
        <f>_xlfn.IFERROR(VLOOKUP(B215,'[1]ПО КОРИСНИЦИМА'!$C$3:$J$11609,5,FALSE),"")</f>
      </c>
      <c r="D215" s="1098" t="e">
        <f>SUMIF('[1]ПО КОРИСНИЦИМА'!$G$3:$G$11609,"Свега за пројекат 0701-П19:",'[1]ПО КОРИСНИЦИМА'!$H$3:$H$11609)</f>
        <v>#VALUE!</v>
      </c>
      <c r="E215" s="1099" t="e">
        <f t="shared" si="7"/>
        <v>#VALUE!</v>
      </c>
      <c r="F215" s="1100"/>
      <c r="G215" s="1094" t="e">
        <f t="shared" si="6"/>
        <v>#VALUE!</v>
      </c>
      <c r="H215" s="1096"/>
    </row>
    <row r="216" spans="1:8" ht="12.75" hidden="1">
      <c r="A216" s="1110"/>
      <c r="B216" s="1110" t="s">
        <v>1048</v>
      </c>
      <c r="C216" s="1093">
        <f>_xlfn.IFERROR(VLOOKUP(B216,'[1]ПО КОРИСНИЦИМА'!$C$3:$J$11609,5,FALSE),"")</f>
      </c>
      <c r="D216" s="1098" t="e">
        <f>SUMIF('[1]ПО КОРИСНИЦИМА'!$G$3:$G$11609,"Свега за пројекат 0701-П20:",'[1]ПО КОРИСНИЦИМА'!$H$3:$H$11609)</f>
        <v>#VALUE!</v>
      </c>
      <c r="E216" s="1099" t="e">
        <f t="shared" si="7"/>
        <v>#VALUE!</v>
      </c>
      <c r="F216" s="1100"/>
      <c r="G216" s="1094" t="e">
        <f t="shared" si="6"/>
        <v>#VALUE!</v>
      </c>
      <c r="H216" s="1096"/>
    </row>
    <row r="217" spans="1:8" ht="12.75" hidden="1">
      <c r="A217" s="1110"/>
      <c r="B217" s="1110" t="s">
        <v>1049</v>
      </c>
      <c r="C217" s="1093">
        <f>_xlfn.IFERROR(VLOOKUP(B217,'[1]ПО КОРИСНИЦИМА'!$C$3:$J$11609,5,FALSE),"")</f>
      </c>
      <c r="D217" s="1098" t="e">
        <f>SUMIF('[1]ПО КОРИСНИЦИМА'!$G$3:$G$11609,"Свега за пројекат 0701-П21:",'[1]ПО КОРИСНИЦИМА'!$H$3:$H$11609)</f>
        <v>#VALUE!</v>
      </c>
      <c r="E217" s="1099" t="e">
        <f t="shared" si="7"/>
        <v>#VALUE!</v>
      </c>
      <c r="F217" s="1100"/>
      <c r="G217" s="1094" t="e">
        <f t="shared" si="6"/>
        <v>#VALUE!</v>
      </c>
      <c r="H217" s="1096"/>
    </row>
    <row r="218" spans="1:8" ht="12.75" hidden="1">
      <c r="A218" s="1110"/>
      <c r="B218" s="1110" t="s">
        <v>1050</v>
      </c>
      <c r="C218" s="1093">
        <f>_xlfn.IFERROR(VLOOKUP(B218,'[1]ПО КОРИСНИЦИМА'!$C$3:$J$11609,5,FALSE),"")</f>
      </c>
      <c r="D218" s="1098" t="e">
        <f>SUMIF('[1]ПО КОРИСНИЦИМА'!$G$3:$G$11609,"Свега за пројекат 0701-П22:",'[1]ПО КОРИСНИЦИМА'!$H$3:$H$11609)</f>
        <v>#VALUE!</v>
      </c>
      <c r="E218" s="1099" t="e">
        <f t="shared" si="7"/>
        <v>#VALUE!</v>
      </c>
      <c r="F218" s="1100"/>
      <c r="G218" s="1094" t="e">
        <f t="shared" si="6"/>
        <v>#VALUE!</v>
      </c>
      <c r="H218" s="1096"/>
    </row>
    <row r="219" spans="1:8" ht="12.75" hidden="1">
      <c r="A219" s="1110"/>
      <c r="B219" s="1110" t="s">
        <v>1051</v>
      </c>
      <c r="C219" s="1093">
        <f>_xlfn.IFERROR(VLOOKUP(B219,'[1]ПО КОРИСНИЦИМА'!$C$3:$J$11609,5,FALSE),"")</f>
      </c>
      <c r="D219" s="1098" t="e">
        <f>SUMIF('[1]ПО КОРИСНИЦИМА'!$G$3:$G$11609,"Свега за пројекат 0701-П23:",'[1]ПО КОРИСНИЦИМА'!$H$3:$H$11609)</f>
        <v>#VALUE!</v>
      </c>
      <c r="E219" s="1099" t="e">
        <f t="shared" si="7"/>
        <v>#VALUE!</v>
      </c>
      <c r="F219" s="1100"/>
      <c r="G219" s="1094" t="e">
        <f t="shared" si="6"/>
        <v>#VALUE!</v>
      </c>
      <c r="H219" s="1096"/>
    </row>
    <row r="220" spans="1:8" ht="12.75" hidden="1">
      <c r="A220" s="1110"/>
      <c r="B220" s="1110" t="s">
        <v>1052</v>
      </c>
      <c r="C220" s="1093">
        <f>_xlfn.IFERROR(VLOOKUP(B220,'[1]ПО КОРИСНИЦИМА'!$C$3:$J$11609,5,FALSE),"")</f>
      </c>
      <c r="D220" s="1098" t="e">
        <f>SUMIF('[1]ПО КОРИСНИЦИМА'!$G$3:$G$11609,"Свега за пројекат 0701-П24:",'[1]ПО КОРИСНИЦИМА'!$H$3:$H$11609)</f>
        <v>#VALUE!</v>
      </c>
      <c r="E220" s="1099" t="e">
        <f t="shared" si="7"/>
        <v>#VALUE!</v>
      </c>
      <c r="F220" s="1100"/>
      <c r="G220" s="1094" t="e">
        <f t="shared" si="6"/>
        <v>#VALUE!</v>
      </c>
      <c r="H220" s="1096"/>
    </row>
    <row r="221" spans="1:8" ht="12.75" hidden="1">
      <c r="A221" s="1110"/>
      <c r="B221" s="1110" t="s">
        <v>1053</v>
      </c>
      <c r="C221" s="1093">
        <f>_xlfn.IFERROR(VLOOKUP(B221,'[1]ПО КОРИСНИЦИМА'!$C$3:$J$11609,5,FALSE),"")</f>
      </c>
      <c r="D221" s="1098" t="e">
        <f>SUMIF('[1]ПО КОРИСНИЦИМА'!$G$3:$G$11609,"Свега за пројекат 0701-П25:",'[1]ПО КОРИСНИЦИМА'!$H$3:$H$11609)</f>
        <v>#VALUE!</v>
      </c>
      <c r="E221" s="1099" t="e">
        <f t="shared" si="7"/>
        <v>#VALUE!</v>
      </c>
      <c r="F221" s="1100"/>
      <c r="G221" s="1094" t="e">
        <f t="shared" si="6"/>
        <v>#VALUE!</v>
      </c>
      <c r="H221" s="1096"/>
    </row>
    <row r="222" spans="1:8" ht="12.75" hidden="1">
      <c r="A222" s="1110"/>
      <c r="B222" s="1110" t="s">
        <v>1054</v>
      </c>
      <c r="C222" s="1093">
        <f>_xlfn.IFERROR(VLOOKUP(B222,'[1]ПО КОРИСНИЦИМА'!$C$3:$J$11609,5,FALSE),"")</f>
      </c>
      <c r="D222" s="1098" t="e">
        <f>SUMIF('[1]ПО КОРИСНИЦИМА'!$G$3:$G$11609,"Свега за пројекат 0701-П26:",'[1]ПО КОРИСНИЦИМА'!$H$3:$H$11609)</f>
        <v>#VALUE!</v>
      </c>
      <c r="E222" s="1099" t="e">
        <f t="shared" si="7"/>
        <v>#VALUE!</v>
      </c>
      <c r="F222" s="1100"/>
      <c r="G222" s="1094" t="e">
        <f t="shared" si="6"/>
        <v>#VALUE!</v>
      </c>
      <c r="H222" s="1096"/>
    </row>
    <row r="223" spans="1:8" ht="12.75" hidden="1">
      <c r="A223" s="1110"/>
      <c r="B223" s="1110" t="s">
        <v>1055</v>
      </c>
      <c r="C223" s="1093">
        <f>_xlfn.IFERROR(VLOOKUP(B223,'[1]ПО КОРИСНИЦИМА'!$C$3:$J$11609,5,FALSE),"")</f>
      </c>
      <c r="D223" s="1098" t="e">
        <f>SUMIF('[1]ПО КОРИСНИЦИМА'!$G$3:$G$11609,"Свега за пројекат 0701-П27:",'[1]ПО КОРИСНИЦИМА'!$H$3:$H$11609)</f>
        <v>#VALUE!</v>
      </c>
      <c r="E223" s="1099" t="e">
        <f t="shared" si="7"/>
        <v>#VALUE!</v>
      </c>
      <c r="F223" s="1100"/>
      <c r="G223" s="1094" t="e">
        <f t="shared" si="6"/>
        <v>#VALUE!</v>
      </c>
      <c r="H223" s="1096"/>
    </row>
    <row r="224" spans="1:8" ht="12.75" hidden="1">
      <c r="A224" s="1110"/>
      <c r="B224" s="1110" t="s">
        <v>1056</v>
      </c>
      <c r="C224" s="1093">
        <f>_xlfn.IFERROR(VLOOKUP(B224,'[1]ПО КОРИСНИЦИМА'!$C$3:$J$11609,5,FALSE),"")</f>
      </c>
      <c r="D224" s="1098" t="e">
        <f>SUMIF('[1]ПО КОРИСНИЦИМА'!$G$3:$G$11609,"Свега за пројекат 0701-П28:",'[1]ПО КОРИСНИЦИМА'!$H$3:$H$11609)</f>
        <v>#VALUE!</v>
      </c>
      <c r="E224" s="1099" t="e">
        <f t="shared" si="7"/>
        <v>#VALUE!</v>
      </c>
      <c r="F224" s="1100"/>
      <c r="G224" s="1094" t="e">
        <f t="shared" si="6"/>
        <v>#VALUE!</v>
      </c>
      <c r="H224" s="1096"/>
    </row>
    <row r="225" spans="1:8" ht="12.75" hidden="1">
      <c r="A225" s="1110"/>
      <c r="B225" s="1110" t="s">
        <v>1057</v>
      </c>
      <c r="C225" s="1093">
        <f>_xlfn.IFERROR(VLOOKUP(B225,'[1]ПО КОРИСНИЦИМА'!$C$3:$J$11609,5,FALSE),"")</f>
      </c>
      <c r="D225" s="1098" t="e">
        <f>SUMIF('[1]ПО КОРИСНИЦИМА'!$G$3:$G$11609,"Свега за пројекат 0701-П29:",'[1]ПО КОРИСНИЦИМА'!$H$3:$H$11609)</f>
        <v>#VALUE!</v>
      </c>
      <c r="E225" s="1099" t="e">
        <f t="shared" si="7"/>
        <v>#VALUE!</v>
      </c>
      <c r="F225" s="1100"/>
      <c r="G225" s="1094" t="e">
        <f t="shared" si="6"/>
        <v>#VALUE!</v>
      </c>
      <c r="H225" s="1096"/>
    </row>
    <row r="226" spans="1:8" ht="12.75" hidden="1">
      <c r="A226" s="1110"/>
      <c r="B226" s="1110" t="s">
        <v>1058</v>
      </c>
      <c r="C226" s="1093">
        <f>_xlfn.IFERROR(VLOOKUP(B226,'[1]ПО КОРИСНИЦИМА'!$C$3:$J$11609,5,FALSE),"")</f>
      </c>
      <c r="D226" s="1098" t="e">
        <f>SUMIF('[1]ПО КОРИСНИЦИМА'!$G$3:$G$11609,"Свега за пројекат 0701-П30:",'[1]ПО КОРИСНИЦИМА'!$H$3:$H$11609)</f>
        <v>#VALUE!</v>
      </c>
      <c r="E226" s="1099" t="e">
        <f t="shared" si="7"/>
        <v>#VALUE!</v>
      </c>
      <c r="F226" s="1100"/>
      <c r="G226" s="1094" t="e">
        <f t="shared" si="6"/>
        <v>#VALUE!</v>
      </c>
      <c r="H226" s="1096"/>
    </row>
    <row r="227" spans="1:8" ht="12.75" hidden="1">
      <c r="A227" s="1110"/>
      <c r="B227" s="1110" t="s">
        <v>1059</v>
      </c>
      <c r="C227" s="1093">
        <f>_xlfn.IFERROR(VLOOKUP(B227,'[1]ПО КОРИСНИЦИМА'!$C$3:$J$11609,5,FALSE),"")</f>
      </c>
      <c r="D227" s="1098" t="e">
        <f>SUMIF('[1]ПО КОРИСНИЦИМА'!$G$3:$G$11609,"Свега за пројекат 0701-П31:",'[1]ПО КОРИСНИЦИМА'!$H$3:$H$11609)</f>
        <v>#VALUE!</v>
      </c>
      <c r="E227" s="1099" t="e">
        <f t="shared" si="7"/>
        <v>#VALUE!</v>
      </c>
      <c r="F227" s="1100"/>
      <c r="G227" s="1094" t="e">
        <f t="shared" si="6"/>
        <v>#VALUE!</v>
      </c>
      <c r="H227" s="1096"/>
    </row>
    <row r="228" spans="1:8" ht="12.75" hidden="1">
      <c r="A228" s="1110"/>
      <c r="B228" s="1110" t="s">
        <v>1060</v>
      </c>
      <c r="C228" s="1093">
        <f>_xlfn.IFERROR(VLOOKUP(B228,'[1]ПО КОРИСНИЦИМА'!$C$3:$J$11609,5,FALSE),"")</f>
      </c>
      <c r="D228" s="1098" t="e">
        <f>SUMIF('[1]ПО КОРИСНИЦИМА'!$G$3:$G$11609,"Свега за пројекат 0701-П32:",'[1]ПО КОРИСНИЦИМА'!$H$3:$H$11609)</f>
        <v>#VALUE!</v>
      </c>
      <c r="E228" s="1099" t="e">
        <f t="shared" si="7"/>
        <v>#VALUE!</v>
      </c>
      <c r="F228" s="1100"/>
      <c r="G228" s="1094" t="e">
        <f t="shared" si="6"/>
        <v>#VALUE!</v>
      </c>
      <c r="H228" s="1096"/>
    </row>
    <row r="229" spans="1:8" ht="12.75" hidden="1">
      <c r="A229" s="1110"/>
      <c r="B229" s="1110" t="s">
        <v>1061</v>
      </c>
      <c r="C229" s="1093">
        <f>_xlfn.IFERROR(VLOOKUP(B229,'[1]ПО КОРИСНИЦИМА'!$C$3:$J$11609,5,FALSE),"")</f>
      </c>
      <c r="D229" s="1098" t="e">
        <f>SUMIF('[1]ПО КОРИСНИЦИМА'!$G$3:$G$11609,"Свега за пројекат 0701-П33:",'[1]ПО КОРИСНИЦИМА'!$H$3:$H$11609)</f>
        <v>#VALUE!</v>
      </c>
      <c r="E229" s="1099" t="e">
        <f t="shared" si="7"/>
        <v>#VALUE!</v>
      </c>
      <c r="F229" s="1100"/>
      <c r="G229" s="1094" t="e">
        <f t="shared" si="6"/>
        <v>#VALUE!</v>
      </c>
      <c r="H229" s="1096"/>
    </row>
    <row r="230" spans="1:8" ht="12.75" hidden="1">
      <c r="A230" s="1110"/>
      <c r="B230" s="1110" t="s">
        <v>1062</v>
      </c>
      <c r="C230" s="1093">
        <f>_xlfn.IFERROR(VLOOKUP(B230,'[1]ПО КОРИСНИЦИМА'!$C$3:$J$11609,5,FALSE),"")</f>
      </c>
      <c r="D230" s="1098" t="e">
        <f>SUMIF('[1]ПО КОРИСНИЦИМА'!$G$3:$G$11609,"Свега за пројекат 0701-П34:",'[1]ПО КОРИСНИЦИМА'!$H$3:$H$11609)</f>
        <v>#VALUE!</v>
      </c>
      <c r="E230" s="1099" t="e">
        <f t="shared" si="7"/>
        <v>#VALUE!</v>
      </c>
      <c r="F230" s="1100"/>
      <c r="G230" s="1094" t="e">
        <f t="shared" si="6"/>
        <v>#VALUE!</v>
      </c>
      <c r="H230" s="1096"/>
    </row>
    <row r="231" spans="1:8" ht="12.75" hidden="1">
      <c r="A231" s="1110"/>
      <c r="B231" s="1110" t="s">
        <v>1063</v>
      </c>
      <c r="C231" s="1093">
        <f>_xlfn.IFERROR(VLOOKUP(B231,'[1]ПО КОРИСНИЦИМА'!$C$3:$J$11609,5,FALSE),"")</f>
      </c>
      <c r="D231" s="1098" t="e">
        <f>SUMIF('[1]ПО КОРИСНИЦИМА'!$G$3:$G$11609,"Свега за пројекат 0701-П35:",'[1]ПО КОРИСНИЦИМА'!$H$3:$H$11609)</f>
        <v>#VALUE!</v>
      </c>
      <c r="E231" s="1099" t="e">
        <f t="shared" si="7"/>
        <v>#VALUE!</v>
      </c>
      <c r="F231" s="1100"/>
      <c r="G231" s="1094" t="e">
        <f t="shared" si="6"/>
        <v>#VALUE!</v>
      </c>
      <c r="H231" s="1096"/>
    </row>
    <row r="232" spans="1:8" ht="12.75" hidden="1">
      <c r="A232" s="1110"/>
      <c r="B232" s="1110" t="s">
        <v>1064</v>
      </c>
      <c r="C232" s="1093">
        <f>_xlfn.IFERROR(VLOOKUP(B232,'[1]ПО КОРИСНИЦИМА'!$C$3:$J$11609,5,FALSE),"")</f>
      </c>
      <c r="D232" s="1098" t="e">
        <f>SUMIF('[1]ПО КОРИСНИЦИМА'!$G$3:$G$11609,"Свега за пројекат 0701-П36:",'[1]ПО КОРИСНИЦИМА'!$H$3:$H$11609)</f>
        <v>#VALUE!</v>
      </c>
      <c r="E232" s="1099" t="e">
        <f t="shared" si="7"/>
        <v>#VALUE!</v>
      </c>
      <c r="F232" s="1100"/>
      <c r="G232" s="1094" t="e">
        <f t="shared" si="6"/>
        <v>#VALUE!</v>
      </c>
      <c r="H232" s="1096"/>
    </row>
    <row r="233" spans="1:8" ht="12.75" hidden="1">
      <c r="A233" s="1110"/>
      <c r="B233" s="1110" t="s">
        <v>1065</v>
      </c>
      <c r="C233" s="1093">
        <f>_xlfn.IFERROR(VLOOKUP(B233,'[1]ПО КОРИСНИЦИМА'!$C$3:$J$11609,5,FALSE),"")</f>
      </c>
      <c r="D233" s="1098" t="e">
        <f>SUMIF('[1]ПО КОРИСНИЦИМА'!$G$3:$G$11609,"Свега за пројекат 0701-П37:",'[1]ПО КОРИСНИЦИМА'!$H$3:$H$11609)</f>
        <v>#VALUE!</v>
      </c>
      <c r="E233" s="1099" t="e">
        <f t="shared" si="7"/>
        <v>#VALUE!</v>
      </c>
      <c r="F233" s="1100"/>
      <c r="G233" s="1094" t="e">
        <f t="shared" si="6"/>
        <v>#VALUE!</v>
      </c>
      <c r="H233" s="1096"/>
    </row>
    <row r="234" spans="1:8" ht="12.75" hidden="1">
      <c r="A234" s="1110"/>
      <c r="B234" s="1110" t="s">
        <v>1066</v>
      </c>
      <c r="C234" s="1093">
        <f>_xlfn.IFERROR(VLOOKUP(B234,'[1]ПО КОРИСНИЦИМА'!$C$3:$J$11609,5,FALSE),"")</f>
      </c>
      <c r="D234" s="1098" t="e">
        <f>SUMIF('[1]ПО КОРИСНИЦИМА'!$G$3:$G$11609,"Свега за пројекат 0701-П38:",'[1]ПО КОРИСНИЦИМА'!$H$3:$H$11609)</f>
        <v>#VALUE!</v>
      </c>
      <c r="E234" s="1099" t="e">
        <f t="shared" si="7"/>
        <v>#VALUE!</v>
      </c>
      <c r="F234" s="1100"/>
      <c r="G234" s="1094" t="e">
        <f t="shared" si="6"/>
        <v>#VALUE!</v>
      </c>
      <c r="H234" s="1096"/>
    </row>
    <row r="235" spans="1:8" ht="12.75" hidden="1">
      <c r="A235" s="1110"/>
      <c r="B235" s="1110" t="s">
        <v>1067</v>
      </c>
      <c r="C235" s="1093">
        <f>_xlfn.IFERROR(VLOOKUP(B235,'[1]ПО КОРИСНИЦИМА'!$C$3:$J$11609,5,FALSE),"")</f>
      </c>
      <c r="D235" s="1098" t="e">
        <f>SUMIF('[1]ПО КОРИСНИЦИМА'!$G$3:$G$11609,"Свега за пројекат 0701-П39:",'[1]ПО КОРИСНИЦИМА'!$H$3:$H$11609)</f>
        <v>#VALUE!</v>
      </c>
      <c r="E235" s="1099" t="e">
        <f t="shared" si="7"/>
        <v>#VALUE!</v>
      </c>
      <c r="F235" s="1100"/>
      <c r="G235" s="1094" t="e">
        <f t="shared" si="6"/>
        <v>#VALUE!</v>
      </c>
      <c r="H235" s="1096"/>
    </row>
    <row r="236" spans="1:8" ht="12.75" hidden="1">
      <c r="A236" s="1110"/>
      <c r="B236" s="1110" t="s">
        <v>1068</v>
      </c>
      <c r="C236" s="1093">
        <f>_xlfn.IFERROR(VLOOKUP(B236,'[1]ПО КОРИСНИЦИМА'!$C$3:$J$11609,5,FALSE),"")</f>
      </c>
      <c r="D236" s="1098" t="e">
        <f>SUMIF('[1]ПО КОРИСНИЦИМА'!$G$3:$G$11609,"Свега за пројекат 0701-П40:",'[1]ПО КОРИСНИЦИМА'!$H$3:$H$11609)</f>
        <v>#VALUE!</v>
      </c>
      <c r="E236" s="1099" t="e">
        <f t="shared" si="7"/>
        <v>#VALUE!</v>
      </c>
      <c r="F236" s="1100"/>
      <c r="G236" s="1094" t="e">
        <f t="shared" si="6"/>
        <v>#VALUE!</v>
      </c>
      <c r="H236" s="1096"/>
    </row>
    <row r="237" spans="1:8" ht="12.75" hidden="1">
      <c r="A237" s="1110"/>
      <c r="B237" s="1110" t="s">
        <v>1069</v>
      </c>
      <c r="C237" s="1093">
        <f>_xlfn.IFERROR(VLOOKUP(B237,'[1]ПО КОРИСНИЦИМА'!$C$3:$J$11609,5,FALSE),"")</f>
      </c>
      <c r="D237" s="1098" t="e">
        <f>SUMIF('[1]ПО КОРИСНИЦИМА'!$G$3:$G$11609,"Свега за пројекат 0701-П41:",'[1]ПО КОРИСНИЦИМА'!$H$3:$H$11609)</f>
        <v>#VALUE!</v>
      </c>
      <c r="E237" s="1099" t="e">
        <f t="shared" si="7"/>
        <v>#VALUE!</v>
      </c>
      <c r="F237" s="1100"/>
      <c r="G237" s="1094" t="e">
        <f t="shared" si="6"/>
        <v>#VALUE!</v>
      </c>
      <c r="H237" s="1096"/>
    </row>
    <row r="238" spans="1:8" ht="12.75" hidden="1">
      <c r="A238" s="1110"/>
      <c r="B238" s="1110" t="s">
        <v>1070</v>
      </c>
      <c r="C238" s="1093">
        <f>_xlfn.IFERROR(VLOOKUP(B238,'[1]ПО КОРИСНИЦИМА'!$C$3:$J$11609,5,FALSE),"")</f>
      </c>
      <c r="D238" s="1098" t="e">
        <f>SUMIF('[1]ПО КОРИСНИЦИМА'!$G$3:$G$11609,"Свега за пројекат 0701-П42:",'[1]ПО КОРИСНИЦИМА'!$H$3:$H$11609)</f>
        <v>#VALUE!</v>
      </c>
      <c r="E238" s="1099" t="e">
        <f t="shared" si="7"/>
        <v>#VALUE!</v>
      </c>
      <c r="F238" s="1100"/>
      <c r="G238" s="1094" t="e">
        <f t="shared" si="6"/>
        <v>#VALUE!</v>
      </c>
      <c r="H238" s="1096"/>
    </row>
    <row r="239" spans="1:8" ht="12.75" hidden="1">
      <c r="A239" s="1110"/>
      <c r="B239" s="1110" t="s">
        <v>1071</v>
      </c>
      <c r="C239" s="1093">
        <f>_xlfn.IFERROR(VLOOKUP(B239,'[1]ПО КОРИСНИЦИМА'!$C$3:$J$11609,5,FALSE),"")</f>
      </c>
      <c r="D239" s="1098" t="e">
        <f>SUMIF('[1]ПО КОРИСНИЦИМА'!$G$3:$G$11609,"Свега за пројекат 0701-П43:",'[1]ПО КОРИСНИЦИМА'!$H$3:$H$11609)</f>
        <v>#VALUE!</v>
      </c>
      <c r="E239" s="1099" t="e">
        <f t="shared" si="7"/>
        <v>#VALUE!</v>
      </c>
      <c r="F239" s="1100"/>
      <c r="G239" s="1094" t="e">
        <f t="shared" si="6"/>
        <v>#VALUE!</v>
      </c>
      <c r="H239" s="1096"/>
    </row>
    <row r="240" spans="1:8" ht="12.75" hidden="1">
      <c r="A240" s="1110"/>
      <c r="B240" s="1110" t="s">
        <v>1072</v>
      </c>
      <c r="C240" s="1093">
        <f>_xlfn.IFERROR(VLOOKUP(B240,'[1]ПО КОРИСНИЦИМА'!$C$3:$J$11609,5,FALSE),"")</f>
      </c>
      <c r="D240" s="1098" t="e">
        <f>SUMIF('[1]ПО КОРИСНИЦИМА'!$G$3:$G$11609,"Свега за пројекат 0701-П44:",'[1]ПО КОРИСНИЦИМА'!$H$3:$H$11609)</f>
        <v>#VALUE!</v>
      </c>
      <c r="E240" s="1099" t="e">
        <f t="shared" si="7"/>
        <v>#VALUE!</v>
      </c>
      <c r="F240" s="1100"/>
      <c r="G240" s="1094" t="e">
        <f t="shared" si="6"/>
        <v>#VALUE!</v>
      </c>
      <c r="H240" s="1096"/>
    </row>
    <row r="241" spans="1:8" ht="12.75" hidden="1">
      <c r="A241" s="1110"/>
      <c r="B241" s="1110" t="s">
        <v>1073</v>
      </c>
      <c r="C241" s="1093">
        <f>_xlfn.IFERROR(VLOOKUP(B241,'[1]ПО КОРИСНИЦИМА'!$C$3:$J$11609,5,FALSE),"")</f>
      </c>
      <c r="D241" s="1098" t="e">
        <f>SUMIF('[1]ПО КОРИСНИЦИМА'!$G$3:$G$11609,"Свега за пројекат 0701-П45:",'[1]ПО КОРИСНИЦИМА'!$H$3:$H$11609)</f>
        <v>#VALUE!</v>
      </c>
      <c r="E241" s="1099" t="e">
        <f t="shared" si="7"/>
        <v>#VALUE!</v>
      </c>
      <c r="F241" s="1100"/>
      <c r="G241" s="1094" t="e">
        <f t="shared" si="6"/>
        <v>#VALUE!</v>
      </c>
      <c r="H241" s="1096"/>
    </row>
    <row r="242" spans="1:8" ht="12.75" hidden="1">
      <c r="A242" s="1110"/>
      <c r="B242" s="1110" t="s">
        <v>1074</v>
      </c>
      <c r="C242" s="1093">
        <f>_xlfn.IFERROR(VLOOKUP(B242,'[1]ПО КОРИСНИЦИМА'!$C$3:$J$11609,5,FALSE),"")</f>
      </c>
      <c r="D242" s="1098" t="e">
        <f>SUMIF('[1]ПО КОРИСНИЦИМА'!$G$3:$G$11609,"Свега за пројекат 0701-П46:",'[1]ПО КОРИСНИЦИМА'!$H$3:$H$11609)</f>
        <v>#VALUE!</v>
      </c>
      <c r="E242" s="1099" t="e">
        <f t="shared" si="7"/>
        <v>#VALUE!</v>
      </c>
      <c r="F242" s="1100"/>
      <c r="G242" s="1094" t="e">
        <f t="shared" si="6"/>
        <v>#VALUE!</v>
      </c>
      <c r="H242" s="1096"/>
    </row>
    <row r="243" spans="1:8" ht="12.75" hidden="1">
      <c r="A243" s="1110"/>
      <c r="B243" s="1110" t="s">
        <v>1075</v>
      </c>
      <c r="C243" s="1093">
        <f>_xlfn.IFERROR(VLOOKUP(B243,'[1]ПО КОРИСНИЦИМА'!$C$3:$J$11609,5,FALSE),"")</f>
      </c>
      <c r="D243" s="1098" t="e">
        <f>SUMIF('[1]ПО КОРИСНИЦИМА'!$G$3:$G$11609,"Свега за пројекат 0701-П47:",'[1]ПО КОРИСНИЦИМА'!$H$3:$H$11609)</f>
        <v>#VALUE!</v>
      </c>
      <c r="E243" s="1099" t="e">
        <f t="shared" si="7"/>
        <v>#VALUE!</v>
      </c>
      <c r="F243" s="1100"/>
      <c r="G243" s="1094" t="e">
        <f t="shared" si="6"/>
        <v>#VALUE!</v>
      </c>
      <c r="H243" s="1096"/>
    </row>
    <row r="244" spans="1:8" ht="12.75" hidden="1">
      <c r="A244" s="1110"/>
      <c r="B244" s="1110" t="s">
        <v>1076</v>
      </c>
      <c r="C244" s="1093">
        <f>_xlfn.IFERROR(VLOOKUP(B244,'[1]ПО КОРИСНИЦИМА'!$C$3:$J$11609,5,FALSE),"")</f>
      </c>
      <c r="D244" s="1098" t="e">
        <f>SUMIF('[1]ПО КОРИСНИЦИМА'!$G$3:$G$11609,"Свега за пројекат 0701-П48:",'[1]ПО КОРИСНИЦИМА'!$H$3:$H$11609)</f>
        <v>#VALUE!</v>
      </c>
      <c r="E244" s="1099" t="e">
        <f t="shared" si="7"/>
        <v>#VALUE!</v>
      </c>
      <c r="F244" s="1100"/>
      <c r="G244" s="1094" t="e">
        <f t="shared" si="6"/>
        <v>#VALUE!</v>
      </c>
      <c r="H244" s="1096"/>
    </row>
    <row r="245" spans="1:8" ht="12.75" hidden="1">
      <c r="A245" s="1110"/>
      <c r="B245" s="1110" t="s">
        <v>1077</v>
      </c>
      <c r="C245" s="1093">
        <f>_xlfn.IFERROR(VLOOKUP(B245,'[1]ПО КОРИСНИЦИМА'!$C$3:$J$11609,5,FALSE),"")</f>
      </c>
      <c r="D245" s="1098" t="e">
        <f>SUMIF('[1]ПО КОРИСНИЦИМА'!$G$3:$G$11609,"Свега за пројекат 0701-П49:",'[1]ПО КОРИСНИЦИМА'!$H$3:$H$11609)</f>
        <v>#VALUE!</v>
      </c>
      <c r="E245" s="1099" t="e">
        <f t="shared" si="7"/>
        <v>#VALUE!</v>
      </c>
      <c r="F245" s="1100"/>
      <c r="G245" s="1094" t="e">
        <f t="shared" si="6"/>
        <v>#VALUE!</v>
      </c>
      <c r="H245" s="1114"/>
    </row>
    <row r="246" spans="1:8" ht="12.75" hidden="1">
      <c r="A246" s="1110"/>
      <c r="B246" s="1110" t="s">
        <v>1078</v>
      </c>
      <c r="C246" s="1093">
        <f>_xlfn.IFERROR(VLOOKUP(B246,'[1]ПО КОРИСНИЦИМА'!$C$3:$J$11609,5,FALSE),"")</f>
      </c>
      <c r="D246" s="1098" t="e">
        <f>SUMIF('[1]ПО КОРИСНИЦИМА'!$G$3:$G$11609,"Свега за пројекат 0701-П50:",'[1]ПО КОРИСНИЦИМА'!$H$3:$H$11609)</f>
        <v>#VALUE!</v>
      </c>
      <c r="E246" s="1099" t="e">
        <f t="shared" si="7"/>
        <v>#VALUE!</v>
      </c>
      <c r="F246" s="1100"/>
      <c r="G246" s="1094" t="e">
        <f t="shared" si="6"/>
        <v>#VALUE!</v>
      </c>
      <c r="H246" s="1114"/>
    </row>
    <row r="247" spans="1:8" s="326" customFormat="1" ht="12.75">
      <c r="A247" s="1087" t="s">
        <v>298</v>
      </c>
      <c r="B247" s="1088"/>
      <c r="C247" s="1089" t="s">
        <v>3</v>
      </c>
      <c r="D247" s="1090">
        <f>SUM(D248:D255)</f>
        <v>57491686</v>
      </c>
      <c r="E247" s="1091">
        <f t="shared" si="7"/>
        <v>0.12692770349978671</v>
      </c>
      <c r="F247" s="1090">
        <f>SUM(F248:F255)</f>
        <v>5504000</v>
      </c>
      <c r="G247" s="1090">
        <f t="shared" si="6"/>
        <v>62995686</v>
      </c>
      <c r="H247" s="1107"/>
    </row>
    <row r="248" spans="1:8" ht="12.75">
      <c r="A248" s="1086"/>
      <c r="B248" s="1110" t="s">
        <v>294</v>
      </c>
      <c r="C248" s="1109" t="s">
        <v>1359</v>
      </c>
      <c r="D248" s="1094">
        <f>'Rashodi-2020'!N371</f>
        <v>57491686</v>
      </c>
      <c r="E248" s="1095">
        <f t="shared" si="7"/>
        <v>0.12692770349978671</v>
      </c>
      <c r="F248" s="1094">
        <f>'Rashodi-2020'!U371</f>
        <v>5504000</v>
      </c>
      <c r="G248" s="1094">
        <f t="shared" si="6"/>
        <v>62995686</v>
      </c>
      <c r="H248" s="1115" t="s">
        <v>1228</v>
      </c>
    </row>
    <row r="249" spans="1:8" ht="12.75" hidden="1">
      <c r="A249" s="1110"/>
      <c r="B249" s="1110" t="s">
        <v>1079</v>
      </c>
      <c r="C249" s="1093">
        <f>_xlfn.IFERROR(VLOOKUP(B249,'[1]ПО КОРИСНИЦИМА'!$C$3:$J$11609,5,FALSE),"")</f>
      </c>
      <c r="D249" s="1098"/>
      <c r="E249" s="1099">
        <f t="shared" si="7"/>
        <v>0</v>
      </c>
      <c r="F249" s="1100"/>
      <c r="G249" s="1094">
        <f t="shared" si="6"/>
        <v>0</v>
      </c>
      <c r="H249" s="1115"/>
    </row>
    <row r="250" spans="1:8" ht="12.75" hidden="1">
      <c r="A250" s="1110"/>
      <c r="B250" s="1110" t="s">
        <v>1080</v>
      </c>
      <c r="C250" s="1093">
        <f>_xlfn.IFERROR(VLOOKUP(B250,'[1]ПО КОРИСНИЦИМА'!$C$3:$J$11609,5,FALSE),"")</f>
      </c>
      <c r="D250" s="1098"/>
      <c r="E250" s="1099">
        <f t="shared" si="7"/>
        <v>0</v>
      </c>
      <c r="F250" s="1100"/>
      <c r="G250" s="1094">
        <f t="shared" si="6"/>
        <v>0</v>
      </c>
      <c r="H250" s="1115"/>
    </row>
    <row r="251" spans="1:8" ht="12.75" hidden="1">
      <c r="A251" s="1110"/>
      <c r="B251" s="1110" t="s">
        <v>1081</v>
      </c>
      <c r="C251" s="1093">
        <f>_xlfn.IFERROR(VLOOKUP(B251,'[1]ПО КОРИСНИЦИМА'!$C$3:$J$11609,5,FALSE),"")</f>
      </c>
      <c r="D251" s="1098"/>
      <c r="E251" s="1099">
        <f t="shared" si="7"/>
        <v>0</v>
      </c>
      <c r="F251" s="1100"/>
      <c r="G251" s="1094">
        <f t="shared" si="6"/>
        <v>0</v>
      </c>
      <c r="H251" s="1115"/>
    </row>
    <row r="252" spans="1:8" ht="12.75" hidden="1">
      <c r="A252" s="1110"/>
      <c r="B252" s="1110" t="s">
        <v>1082</v>
      </c>
      <c r="C252" s="1093">
        <f>_xlfn.IFERROR(VLOOKUP(B252,'[1]ПО КОРИСНИЦИМА'!$C$3:$J$11609,5,FALSE),"")</f>
      </c>
      <c r="D252" s="1098"/>
      <c r="E252" s="1099">
        <f t="shared" si="7"/>
        <v>0</v>
      </c>
      <c r="F252" s="1100"/>
      <c r="G252" s="1094">
        <f t="shared" si="6"/>
        <v>0</v>
      </c>
      <c r="H252" s="1115"/>
    </row>
    <row r="253" spans="1:8" ht="12.75" hidden="1">
      <c r="A253" s="1110"/>
      <c r="B253" s="1110" t="s">
        <v>1083</v>
      </c>
      <c r="C253" s="1093">
        <f>_xlfn.IFERROR(VLOOKUP(B253,'[1]ПО КОРИСНИЦИМА'!$C$3:$J$11609,5,FALSE),"")</f>
      </c>
      <c r="D253" s="1098"/>
      <c r="E253" s="1099">
        <f t="shared" si="7"/>
        <v>0</v>
      </c>
      <c r="F253" s="1100"/>
      <c r="G253" s="1094">
        <f t="shared" si="6"/>
        <v>0</v>
      </c>
      <c r="H253" s="1115"/>
    </row>
    <row r="254" spans="1:8" ht="12.75" hidden="1">
      <c r="A254" s="1110"/>
      <c r="B254" s="1110" t="s">
        <v>1084</v>
      </c>
      <c r="C254" s="1093">
        <f>_xlfn.IFERROR(VLOOKUP(B254,'[1]ПО КОРИСНИЦИМА'!$C$3:$J$11609,5,FALSE),"")</f>
      </c>
      <c r="D254" s="1098"/>
      <c r="E254" s="1099">
        <f t="shared" si="7"/>
        <v>0</v>
      </c>
      <c r="F254" s="1100"/>
      <c r="G254" s="1094">
        <f t="shared" si="6"/>
        <v>0</v>
      </c>
      <c r="H254" s="1115"/>
    </row>
    <row r="255" spans="1:8" ht="12.75" hidden="1">
      <c r="A255" s="1110"/>
      <c r="B255" s="1110" t="s">
        <v>1085</v>
      </c>
      <c r="C255" s="1093">
        <f>_xlfn.IFERROR(VLOOKUP(B255,'[1]ПО КОРИСНИЦИМА'!$C$3:$J$11609,5,FALSE),"")</f>
      </c>
      <c r="D255" s="1098"/>
      <c r="E255" s="1099">
        <f t="shared" si="7"/>
        <v>0</v>
      </c>
      <c r="F255" s="1100"/>
      <c r="G255" s="1094">
        <f t="shared" si="6"/>
        <v>0</v>
      </c>
      <c r="H255" s="1115"/>
    </row>
    <row r="256" spans="1:8" ht="12.75" hidden="1">
      <c r="A256" s="1110"/>
      <c r="B256" s="1110" t="s">
        <v>1086</v>
      </c>
      <c r="C256" s="1093">
        <f>_xlfn.IFERROR(VLOOKUP(B256,'[1]ПО КОРИСНИЦИМА'!$C$3:$J$11609,5,FALSE),"")</f>
      </c>
      <c r="D256" s="1098" t="e">
        <f>SUMIF('[1]ПО КОРИСНИЦИМА'!$G$3:$G$11609,"Свега за пројекат 2001-П8:",'[1]ПО КОРИСНИЦИМА'!$H$3:$H$11609)</f>
        <v>#VALUE!</v>
      </c>
      <c r="E256" s="1099" t="e">
        <f t="shared" si="7"/>
        <v>#VALUE!</v>
      </c>
      <c r="F256" s="1100" t="e">
        <f>SUMIF('[1]ПО КОРИСНИЦИМА'!$G$3:$G$11609,"Свега за пројекат 2001-П8:",'[1]ПО КОРИСНИЦИМА'!$I$3:$I$11609)</f>
        <v>#VALUE!</v>
      </c>
      <c r="G256" s="1094" t="e">
        <f t="shared" si="6"/>
        <v>#VALUE!</v>
      </c>
      <c r="H256" s="1115"/>
    </row>
    <row r="257" spans="1:8" ht="12.75" hidden="1">
      <c r="A257" s="1110"/>
      <c r="B257" s="1110" t="s">
        <v>1087</v>
      </c>
      <c r="C257" s="1093">
        <f>_xlfn.IFERROR(VLOOKUP(B257,'[1]ПО КОРИСНИЦИМА'!$C$3:$J$11609,5,FALSE),"")</f>
      </c>
      <c r="D257" s="1098" t="e">
        <f>SUMIF('[1]ПО КОРИСНИЦИМА'!$G$3:$G$11609,"Свега за пројекат 2001-П9:",'[1]ПО КОРИСНИЦИМА'!$H$3:$H$11609)</f>
        <v>#VALUE!</v>
      </c>
      <c r="E257" s="1099" t="e">
        <f t="shared" si="7"/>
        <v>#VALUE!</v>
      </c>
      <c r="F257" s="1100" t="e">
        <f>SUMIF('[1]ПО КОРИСНИЦИМА'!$G$3:$G$11609,"Свега за пројекат 2001-П9:",'[1]ПО КОРИСНИЦИМА'!$I$3:$I$11609)</f>
        <v>#VALUE!</v>
      </c>
      <c r="G257" s="1094" t="e">
        <f t="shared" si="6"/>
        <v>#VALUE!</v>
      </c>
      <c r="H257" s="1115"/>
    </row>
    <row r="258" spans="1:8" ht="12.75" hidden="1">
      <c r="A258" s="1110"/>
      <c r="B258" s="1110" t="s">
        <v>1088</v>
      </c>
      <c r="C258" s="1093">
        <f>_xlfn.IFERROR(VLOOKUP(B258,'[1]ПО КОРИСНИЦИМА'!$C$3:$J$11609,5,FALSE),"")</f>
      </c>
      <c r="D258" s="1098" t="e">
        <f>SUMIF('[1]ПО КОРИСНИЦИМА'!$G$3:$G$11609,"Свега за пројекат 2001-П10:",'[1]ПО КОРИСНИЦИМА'!$H$3:$H$11609)</f>
        <v>#VALUE!</v>
      </c>
      <c r="E258" s="1099" t="e">
        <f t="shared" si="7"/>
        <v>#VALUE!</v>
      </c>
      <c r="F258" s="1100" t="e">
        <f>SUMIF('[1]ПО КОРИСНИЦИМА'!$G$3:$G$11609,"Свега за пројекат 2001-П10:",'[1]ПО КОРИСНИЦИМА'!$I$3:$I$11609)</f>
        <v>#VALUE!</v>
      </c>
      <c r="G258" s="1094" t="e">
        <f t="shared" si="6"/>
        <v>#VALUE!</v>
      </c>
      <c r="H258" s="1115"/>
    </row>
    <row r="259" spans="1:8" ht="12.75" hidden="1">
      <c r="A259" s="1110"/>
      <c r="B259" s="1110" t="s">
        <v>1089</v>
      </c>
      <c r="C259" s="1093">
        <f>_xlfn.IFERROR(VLOOKUP(B259,'[1]ПО КОРИСНИЦИМА'!$C$3:$J$11609,5,FALSE),"")</f>
      </c>
      <c r="D259" s="1098" t="e">
        <f>SUMIF('[1]ПО КОРИСНИЦИМА'!$G$3:$G$11609,"Свега за пројекат 2001-П11:",'[1]ПО КОРИСНИЦИМА'!$H$3:$H$11609)</f>
        <v>#VALUE!</v>
      </c>
      <c r="E259" s="1099" t="e">
        <f t="shared" si="7"/>
        <v>#VALUE!</v>
      </c>
      <c r="F259" s="1100" t="e">
        <f>SUMIF('[1]ПО КОРИСНИЦИМА'!$G$3:$G$11609,"Свега за пројекат 2001-П11:",'[1]ПО КОРИСНИЦИМА'!$I$3:$I$11609)</f>
        <v>#VALUE!</v>
      </c>
      <c r="G259" s="1094" t="e">
        <f t="shared" si="6"/>
        <v>#VALUE!</v>
      </c>
      <c r="H259" s="1115"/>
    </row>
    <row r="260" spans="1:8" ht="12.75" hidden="1">
      <c r="A260" s="1110"/>
      <c r="B260" s="1110" t="s">
        <v>1090</v>
      </c>
      <c r="C260" s="1093">
        <f>_xlfn.IFERROR(VLOOKUP(B260,'[1]ПО КОРИСНИЦИМА'!$C$3:$J$11609,5,FALSE),"")</f>
      </c>
      <c r="D260" s="1098" t="e">
        <f>SUMIF('[1]ПО КОРИСНИЦИМА'!$G$3:$G$11609,"Свега за пројекат 2001-П12:",'[1]ПО КОРИСНИЦИМА'!$H$3:$H$11609)</f>
        <v>#VALUE!</v>
      </c>
      <c r="E260" s="1099" t="e">
        <f t="shared" si="7"/>
        <v>#VALUE!</v>
      </c>
      <c r="F260" s="1100" t="e">
        <f>SUMIF('[1]ПО КОРИСНИЦИМА'!$G$3:$G$11609,"Свега за пројекат 2001-П12:",'[1]ПО КОРИСНИЦИМА'!$I$3:$I$11609)</f>
        <v>#VALUE!</v>
      </c>
      <c r="G260" s="1094" t="e">
        <f t="shared" si="6"/>
        <v>#VALUE!</v>
      </c>
      <c r="H260" s="1115"/>
    </row>
    <row r="261" spans="1:8" ht="12.75" hidden="1">
      <c r="A261" s="1110"/>
      <c r="B261" s="1110" t="s">
        <v>1091</v>
      </c>
      <c r="C261" s="1093">
        <f>_xlfn.IFERROR(VLOOKUP(B261,'[1]ПО КОРИСНИЦИМА'!$C$3:$J$11609,5,FALSE),"")</f>
      </c>
      <c r="D261" s="1098" t="e">
        <f>SUMIF('[1]ПО КОРИСНИЦИМА'!$G$3:$G$11609,"Свега за пројекат 2001-П13:",'[1]ПО КОРИСНИЦИМА'!$H$3:$H$11609)</f>
        <v>#VALUE!</v>
      </c>
      <c r="E261" s="1099" t="e">
        <f t="shared" si="7"/>
        <v>#VALUE!</v>
      </c>
      <c r="F261" s="1100" t="e">
        <f>SUMIF('[1]ПО КОРИСНИЦИМА'!$G$3:$G$11609,"Свега за пројекат 2001-П13:",'[1]ПО КОРИСНИЦИМА'!$I$3:$I$11609)</f>
        <v>#VALUE!</v>
      </c>
      <c r="G261" s="1094" t="e">
        <f aca="true" t="shared" si="8" ref="G261:G324">D261+F261</f>
        <v>#VALUE!</v>
      </c>
      <c r="H261" s="1115"/>
    </row>
    <row r="262" spans="1:8" ht="12.75" hidden="1">
      <c r="A262" s="1110"/>
      <c r="B262" s="1110" t="s">
        <v>1092</v>
      </c>
      <c r="C262" s="1093">
        <f>_xlfn.IFERROR(VLOOKUP(B262,'[1]ПО КОРИСНИЦИМА'!$C$3:$J$11609,5,FALSE),"")</f>
      </c>
      <c r="D262" s="1098" t="e">
        <f>SUMIF('[1]ПО КОРИСНИЦИМА'!$G$3:$G$11609,"Свега за пројекат 2001-П14:",'[1]ПО КОРИСНИЦИМА'!$H$3:$H$11609)</f>
        <v>#VALUE!</v>
      </c>
      <c r="E262" s="1099" t="e">
        <f aca="true" t="shared" si="9" ref="E262:E325">D262/452948288</f>
        <v>#VALUE!</v>
      </c>
      <c r="F262" s="1100" t="e">
        <f>SUMIF('[1]ПО КОРИСНИЦИМА'!$G$3:$G$11609,"Свега за пројекат 2001-П14:",'[1]ПО КОРИСНИЦИМА'!$I$3:$I$11609)</f>
        <v>#VALUE!</v>
      </c>
      <c r="G262" s="1094" t="e">
        <f t="shared" si="8"/>
        <v>#VALUE!</v>
      </c>
      <c r="H262" s="1115"/>
    </row>
    <row r="263" spans="1:8" ht="12.75" hidden="1">
      <c r="A263" s="1110"/>
      <c r="B263" s="1110" t="s">
        <v>1093</v>
      </c>
      <c r="C263" s="1093">
        <f>_xlfn.IFERROR(VLOOKUP(B263,'[1]ПО КОРИСНИЦИМА'!$C$3:$J$11609,5,FALSE),"")</f>
      </c>
      <c r="D263" s="1098" t="e">
        <f>SUMIF('[1]ПО КОРИСНИЦИМА'!$G$3:$G$11609,"Свега за пројекат 2001-П15:",'[1]ПО КОРИСНИЦИМА'!$H$3:$H$11609)</f>
        <v>#VALUE!</v>
      </c>
      <c r="E263" s="1099" t="e">
        <f t="shared" si="9"/>
        <v>#VALUE!</v>
      </c>
      <c r="F263" s="1100" t="e">
        <f>SUMIF('[1]ПО КОРИСНИЦИМА'!$G$3:$G$11609,"Свега за пројекат 2001-П15:",'[1]ПО КОРИСНИЦИМА'!$I$3:$I$11609)</f>
        <v>#VALUE!</v>
      </c>
      <c r="G263" s="1094" t="e">
        <f t="shared" si="8"/>
        <v>#VALUE!</v>
      </c>
      <c r="H263" s="1115"/>
    </row>
    <row r="264" spans="1:8" ht="12.75" hidden="1">
      <c r="A264" s="1110"/>
      <c r="B264" s="1110" t="s">
        <v>1094</v>
      </c>
      <c r="C264" s="1093">
        <f>_xlfn.IFERROR(VLOOKUP(B264,'[1]ПО КОРИСНИЦИМА'!$C$3:$J$11609,5,FALSE),"")</f>
      </c>
      <c r="D264" s="1098" t="e">
        <f>SUMIF('[1]ПО КОРИСНИЦИМА'!$G$3:$G$11609,"Свега за пројекат 2001-П16:",'[1]ПО КОРИСНИЦИМА'!$H$3:$H$11609)</f>
        <v>#VALUE!</v>
      </c>
      <c r="E264" s="1099" t="e">
        <f t="shared" si="9"/>
        <v>#VALUE!</v>
      </c>
      <c r="F264" s="1100" t="e">
        <f>SUMIF('[1]ПО КОРИСНИЦИМА'!$G$3:$G$11609,"Свега за пројекат 2001-П16:",'[1]ПО КОРИСНИЦИМА'!$I$3:$I$11609)</f>
        <v>#VALUE!</v>
      </c>
      <c r="G264" s="1094" t="e">
        <f t="shared" si="8"/>
        <v>#VALUE!</v>
      </c>
      <c r="H264" s="1115"/>
    </row>
    <row r="265" spans="1:8" ht="12.75" hidden="1">
      <c r="A265" s="1110"/>
      <c r="B265" s="1110" t="s">
        <v>1095</v>
      </c>
      <c r="C265" s="1093">
        <f>_xlfn.IFERROR(VLOOKUP(B265,'[1]ПО КОРИСНИЦИМА'!$C$3:$J$11609,5,FALSE),"")</f>
      </c>
      <c r="D265" s="1098" t="e">
        <f>SUMIF('[1]ПО КОРИСНИЦИМА'!$G$3:$G$11609,"Свега за пројекат 2001-П17:",'[1]ПО КОРИСНИЦИМА'!$H$3:$H$11609)</f>
        <v>#VALUE!</v>
      </c>
      <c r="E265" s="1099" t="e">
        <f t="shared" si="9"/>
        <v>#VALUE!</v>
      </c>
      <c r="F265" s="1100" t="e">
        <f>SUMIF('[1]ПО КОРИСНИЦИМА'!$G$3:$G$11609,"Свега за пројекат 2001-П17:",'[1]ПО КОРИСНИЦИМА'!$I$3:$I$11609)</f>
        <v>#VALUE!</v>
      </c>
      <c r="G265" s="1094" t="e">
        <f t="shared" si="8"/>
        <v>#VALUE!</v>
      </c>
      <c r="H265" s="1115"/>
    </row>
    <row r="266" spans="1:8" ht="12.75" hidden="1">
      <c r="A266" s="1110"/>
      <c r="B266" s="1110" t="s">
        <v>1096</v>
      </c>
      <c r="C266" s="1093">
        <f>_xlfn.IFERROR(VLOOKUP(B266,'[1]ПО КОРИСНИЦИМА'!$C$3:$J$11609,5,FALSE),"")</f>
      </c>
      <c r="D266" s="1098" t="e">
        <f>SUMIF('[1]ПО КОРИСНИЦИМА'!$G$3:$G$11609,"Свега за пројекат 2001-П18:",'[1]ПО КОРИСНИЦИМА'!$H$3:$H$11609)</f>
        <v>#VALUE!</v>
      </c>
      <c r="E266" s="1099" t="e">
        <f t="shared" si="9"/>
        <v>#VALUE!</v>
      </c>
      <c r="F266" s="1100" t="e">
        <f>SUMIF('[1]ПО КОРИСНИЦИМА'!$G$3:$G$11609,"Свега за пројекат 2001-П18:",'[1]ПО КОРИСНИЦИМА'!$I$3:$I$11609)</f>
        <v>#VALUE!</v>
      </c>
      <c r="G266" s="1094" t="e">
        <f t="shared" si="8"/>
        <v>#VALUE!</v>
      </c>
      <c r="H266" s="1115"/>
    </row>
    <row r="267" spans="1:8" ht="12.75" hidden="1">
      <c r="A267" s="1110"/>
      <c r="B267" s="1110" t="s">
        <v>1097</v>
      </c>
      <c r="C267" s="1093">
        <f>_xlfn.IFERROR(VLOOKUP(B267,'[1]ПО КОРИСНИЦИМА'!$C$3:$J$11609,5,FALSE),"")</f>
      </c>
      <c r="D267" s="1098" t="e">
        <f>SUMIF('[1]ПО КОРИСНИЦИМА'!$G$3:$G$11609,"Свега за пројекат 2001-П19:",'[1]ПО КОРИСНИЦИМА'!$H$3:$H$11609)</f>
        <v>#VALUE!</v>
      </c>
      <c r="E267" s="1099" t="e">
        <f t="shared" si="9"/>
        <v>#VALUE!</v>
      </c>
      <c r="F267" s="1100" t="e">
        <f>SUMIF('[1]ПО КОРИСНИЦИМА'!$G$3:$G$11609,"Свега за пројекат 2001-П19:",'[1]ПО КОРИСНИЦИМА'!$I$3:$I$11609)</f>
        <v>#VALUE!</v>
      </c>
      <c r="G267" s="1094" t="e">
        <f t="shared" si="8"/>
        <v>#VALUE!</v>
      </c>
      <c r="H267" s="1115"/>
    </row>
    <row r="268" spans="1:8" ht="12.75" hidden="1">
      <c r="A268" s="1110"/>
      <c r="B268" s="1110" t="s">
        <v>1098</v>
      </c>
      <c r="C268" s="1093">
        <f>_xlfn.IFERROR(VLOOKUP(B268,'[1]ПО КОРИСНИЦИМА'!$C$3:$J$11609,5,FALSE),"")</f>
      </c>
      <c r="D268" s="1098" t="e">
        <f>SUMIF('[1]ПО КОРИСНИЦИМА'!$G$3:$G$11609,"Свега за пројекат 2001-П20:",'[1]ПО КОРИСНИЦИМА'!$H$3:$H$11609)</f>
        <v>#VALUE!</v>
      </c>
      <c r="E268" s="1099" t="e">
        <f t="shared" si="9"/>
        <v>#VALUE!</v>
      </c>
      <c r="F268" s="1100" t="e">
        <f>SUMIF('[1]ПО КОРИСНИЦИМА'!$G$3:$G$11609,"Свега за пројекат 2001-П20:",'[1]ПО КОРИСНИЦИМА'!$I$3:$I$11609)</f>
        <v>#VALUE!</v>
      </c>
      <c r="G268" s="1094" t="e">
        <f t="shared" si="8"/>
        <v>#VALUE!</v>
      </c>
      <c r="H268" s="1115"/>
    </row>
    <row r="269" spans="1:8" ht="12.75" hidden="1">
      <c r="A269" s="1110"/>
      <c r="B269" s="1110" t="s">
        <v>1099</v>
      </c>
      <c r="C269" s="1093">
        <f>_xlfn.IFERROR(VLOOKUP(B269,'[1]ПО КОРИСНИЦИМА'!$C$3:$J$11609,5,FALSE),"")</f>
      </c>
      <c r="D269" s="1098" t="e">
        <f>SUMIF('[1]ПО КОРИСНИЦИМА'!$G$3:$G$11609,"Свега за пројекат 2001-П21:",'[1]ПО КОРИСНИЦИМА'!$H$3:$H$11609)</f>
        <v>#VALUE!</v>
      </c>
      <c r="E269" s="1099" t="e">
        <f t="shared" si="9"/>
        <v>#VALUE!</v>
      </c>
      <c r="F269" s="1100" t="e">
        <f>SUMIF('[1]ПО КОРИСНИЦИМА'!$G$3:$G$11609,"Свега за пројекат 2001-П21:",'[1]ПО КОРИСНИЦИМА'!$I$3:$I$11609)</f>
        <v>#VALUE!</v>
      </c>
      <c r="G269" s="1094" t="e">
        <f t="shared" si="8"/>
        <v>#VALUE!</v>
      </c>
      <c r="H269" s="1115"/>
    </row>
    <row r="270" spans="1:8" ht="12.75" hidden="1">
      <c r="A270" s="1110"/>
      <c r="B270" s="1110" t="s">
        <v>1100</v>
      </c>
      <c r="C270" s="1093">
        <f>_xlfn.IFERROR(VLOOKUP(B270,'[1]ПО КОРИСНИЦИМА'!$C$3:$J$11609,5,FALSE),"")</f>
      </c>
      <c r="D270" s="1098" t="e">
        <f>SUMIF('[1]ПО КОРИСНИЦИМА'!$G$3:$G$11609,"Свега за пројекат 2001-П22:",'[1]ПО КОРИСНИЦИМА'!$H$3:$H$11609)</f>
        <v>#VALUE!</v>
      </c>
      <c r="E270" s="1099" t="e">
        <f t="shared" si="9"/>
        <v>#VALUE!</v>
      </c>
      <c r="F270" s="1100" t="e">
        <f>SUMIF('[1]ПО КОРИСНИЦИМА'!$G$3:$G$11609,"Свега за пројекат 2001-П22:",'[1]ПО КОРИСНИЦИМА'!$I$3:$I$11609)</f>
        <v>#VALUE!</v>
      </c>
      <c r="G270" s="1094" t="e">
        <f t="shared" si="8"/>
        <v>#VALUE!</v>
      </c>
      <c r="H270" s="1115"/>
    </row>
    <row r="271" spans="1:8" ht="12.75" hidden="1">
      <c r="A271" s="1110"/>
      <c r="B271" s="1110" t="s">
        <v>1101</v>
      </c>
      <c r="C271" s="1093">
        <f>_xlfn.IFERROR(VLOOKUP(B271,'[1]ПО КОРИСНИЦИМА'!$C$3:$J$11609,5,FALSE),"")</f>
      </c>
      <c r="D271" s="1098" t="e">
        <f>SUMIF('[1]ПО КОРИСНИЦИМА'!$G$3:$G$11609,"Свега за пројекат 2001-П23:",'[1]ПО КОРИСНИЦИМА'!$H$3:$H$11609)</f>
        <v>#VALUE!</v>
      </c>
      <c r="E271" s="1099" t="e">
        <f t="shared" si="9"/>
        <v>#VALUE!</v>
      </c>
      <c r="F271" s="1100" t="e">
        <f>SUMIF('[1]ПО КОРИСНИЦИМА'!$G$3:$G$11609,"Свега за пројекат 2001-П23:",'[1]ПО КОРИСНИЦИМА'!$I$3:$I$11609)</f>
        <v>#VALUE!</v>
      </c>
      <c r="G271" s="1094" t="e">
        <f t="shared" si="8"/>
        <v>#VALUE!</v>
      </c>
      <c r="H271" s="1115"/>
    </row>
    <row r="272" spans="1:8" ht="12.75" hidden="1">
      <c r="A272" s="1110"/>
      <c r="B272" s="1110" t="s">
        <v>1102</v>
      </c>
      <c r="C272" s="1093">
        <f>_xlfn.IFERROR(VLOOKUP(B272,'[1]ПО КОРИСНИЦИМА'!$C$3:$J$11609,5,FALSE),"")</f>
      </c>
      <c r="D272" s="1098" t="e">
        <f>SUMIF('[1]ПО КОРИСНИЦИМА'!$G$3:$G$11609,"Свега за пројекат 2001-П24:",'[1]ПО КОРИСНИЦИМА'!$H$3:$H$11609)</f>
        <v>#VALUE!</v>
      </c>
      <c r="E272" s="1099" t="e">
        <f t="shared" si="9"/>
        <v>#VALUE!</v>
      </c>
      <c r="F272" s="1100" t="e">
        <f>SUMIF('[1]ПО КОРИСНИЦИМА'!$G$3:$G$11609,"Свега за пројекат 2001-П24:",'[1]ПО КОРИСНИЦИМА'!$I$3:$I$11609)</f>
        <v>#VALUE!</v>
      </c>
      <c r="G272" s="1094" t="e">
        <f t="shared" si="8"/>
        <v>#VALUE!</v>
      </c>
      <c r="H272" s="1115"/>
    </row>
    <row r="273" spans="1:8" ht="12.75" hidden="1">
      <c r="A273" s="1110"/>
      <c r="B273" s="1110" t="s">
        <v>1103</v>
      </c>
      <c r="C273" s="1093">
        <f>_xlfn.IFERROR(VLOOKUP(B273,'[1]ПО КОРИСНИЦИМА'!$C$3:$J$11609,5,FALSE),"")</f>
      </c>
      <c r="D273" s="1098" t="e">
        <f>SUMIF('[1]ПО КОРИСНИЦИМА'!$G$3:$G$11609,"Свега за пројекат 2001-П25:",'[1]ПО КОРИСНИЦИМА'!$H$3:$H$11609)</f>
        <v>#VALUE!</v>
      </c>
      <c r="E273" s="1099" t="e">
        <f t="shared" si="9"/>
        <v>#VALUE!</v>
      </c>
      <c r="F273" s="1100" t="e">
        <f>SUMIF('[1]ПО КОРИСНИЦИМА'!$G$3:$G$11609,"Свега за пројекат 2001-П25:",'[1]ПО КОРИСНИЦИМА'!$I$3:$I$11609)</f>
        <v>#VALUE!</v>
      </c>
      <c r="G273" s="1094" t="e">
        <f t="shared" si="8"/>
        <v>#VALUE!</v>
      </c>
      <c r="H273" s="1115"/>
    </row>
    <row r="274" spans="1:8" ht="12.75" hidden="1">
      <c r="A274" s="1110"/>
      <c r="B274" s="1110" t="s">
        <v>1104</v>
      </c>
      <c r="C274" s="1093">
        <f>_xlfn.IFERROR(VLOOKUP(B274,'[1]ПО КОРИСНИЦИМА'!$C$3:$J$11609,5,FALSE),"")</f>
      </c>
      <c r="D274" s="1098" t="e">
        <f>SUMIF('[1]ПО КОРИСНИЦИМА'!$G$3:$G$11609,"Свега за пројекат 2001-П26:",'[1]ПО КОРИСНИЦИМА'!$H$3:$H$11609)</f>
        <v>#VALUE!</v>
      </c>
      <c r="E274" s="1099" t="e">
        <f t="shared" si="9"/>
        <v>#VALUE!</v>
      </c>
      <c r="F274" s="1100" t="e">
        <f>SUMIF('[1]ПО КОРИСНИЦИМА'!$G$3:$G$11609,"Свега за пројекат 2001-П26:",'[1]ПО КОРИСНИЦИМА'!$I$3:$I$11609)</f>
        <v>#VALUE!</v>
      </c>
      <c r="G274" s="1094" t="e">
        <f t="shared" si="8"/>
        <v>#VALUE!</v>
      </c>
      <c r="H274" s="1115"/>
    </row>
    <row r="275" spans="1:8" ht="12.75" hidden="1">
      <c r="A275" s="1110"/>
      <c r="B275" s="1110" t="s">
        <v>1105</v>
      </c>
      <c r="C275" s="1093">
        <f>_xlfn.IFERROR(VLOOKUP(B275,'[1]ПО КОРИСНИЦИМА'!$C$3:$J$11609,5,FALSE),"")</f>
      </c>
      <c r="D275" s="1098" t="e">
        <f>SUMIF('[1]ПО КОРИСНИЦИМА'!$G$3:$G$11609,"Свега за пројекат 2001-П27:",'[1]ПО КОРИСНИЦИМА'!$H$3:$H$11609)</f>
        <v>#VALUE!</v>
      </c>
      <c r="E275" s="1099" t="e">
        <f t="shared" si="9"/>
        <v>#VALUE!</v>
      </c>
      <c r="F275" s="1100" t="e">
        <f>SUMIF('[1]ПО КОРИСНИЦИМА'!$G$3:$G$11609,"Свега за пројекат 2001-П27:",'[1]ПО КОРИСНИЦИМА'!$I$3:$I$11609)</f>
        <v>#VALUE!</v>
      </c>
      <c r="G275" s="1094" t="e">
        <f t="shared" si="8"/>
        <v>#VALUE!</v>
      </c>
      <c r="H275" s="1115"/>
    </row>
    <row r="276" spans="1:8" ht="12.75" hidden="1">
      <c r="A276" s="1110"/>
      <c r="B276" s="1110" t="s">
        <v>1106</v>
      </c>
      <c r="C276" s="1093">
        <f>_xlfn.IFERROR(VLOOKUP(B276,'[1]ПО КОРИСНИЦИМА'!$C$3:$J$11609,5,FALSE),"")</f>
      </c>
      <c r="D276" s="1098" t="e">
        <f>SUMIF('[1]ПО КОРИСНИЦИМА'!$G$3:$G$11609,"Свега за пројекат 2001-П28:",'[1]ПО КОРИСНИЦИМА'!$H$3:$H$11609)</f>
        <v>#VALUE!</v>
      </c>
      <c r="E276" s="1099" t="e">
        <f t="shared" si="9"/>
        <v>#VALUE!</v>
      </c>
      <c r="F276" s="1100" t="e">
        <f>SUMIF('[1]ПО КОРИСНИЦИМА'!$G$3:$G$11609,"Свега за пројекат 2001-П28:",'[1]ПО КОРИСНИЦИМА'!$I$3:$I$11609)</f>
        <v>#VALUE!</v>
      </c>
      <c r="G276" s="1094" t="e">
        <f t="shared" si="8"/>
        <v>#VALUE!</v>
      </c>
      <c r="H276" s="1114"/>
    </row>
    <row r="277" spans="1:8" ht="12.75" hidden="1">
      <c r="A277" s="1110"/>
      <c r="B277" s="1110" t="s">
        <v>1107</v>
      </c>
      <c r="C277" s="1093">
        <f>_xlfn.IFERROR(VLOOKUP(B277,'[1]ПО КОРИСНИЦИМА'!$C$3:$J$11609,5,FALSE),"")</f>
      </c>
      <c r="D277" s="1098" t="e">
        <f>SUMIF('[1]ПО КОРИСНИЦИМА'!$G$3:$G$11609,"Свега за пројекат 2001-П29:",'[1]ПО КОРИСНИЦИМА'!$H$3:$H$11609)</f>
        <v>#VALUE!</v>
      </c>
      <c r="E277" s="1099" t="e">
        <f t="shared" si="9"/>
        <v>#VALUE!</v>
      </c>
      <c r="F277" s="1100" t="e">
        <f>SUMIF('[1]ПО КОРИСНИЦИМА'!$G$3:$G$11609,"Свега за пројекат 2001-П29:",'[1]ПО КОРИСНИЦИМА'!$I$3:$I$11609)</f>
        <v>#VALUE!</v>
      </c>
      <c r="G277" s="1094" t="e">
        <f t="shared" si="8"/>
        <v>#VALUE!</v>
      </c>
      <c r="H277" s="1114"/>
    </row>
    <row r="278" spans="1:8" ht="12.75" hidden="1">
      <c r="A278" s="1110"/>
      <c r="B278" s="1110" t="s">
        <v>600</v>
      </c>
      <c r="C278" s="1093">
        <f>_xlfn.IFERROR(VLOOKUP(B278,'[1]ПО КОРИСНИЦИМА'!$C$3:$J$11609,5,FALSE),"")</f>
      </c>
      <c r="D278" s="1098" t="e">
        <f>SUMIF('[1]ПО КОРИСНИЦИМА'!$G$3:$G$11609,"Свега за пројекат 2001-П30:",'[1]ПО КОРИСНИЦИМА'!$H$3:$H$11609)</f>
        <v>#VALUE!</v>
      </c>
      <c r="E278" s="1099" t="e">
        <f t="shared" si="9"/>
        <v>#VALUE!</v>
      </c>
      <c r="F278" s="1100" t="e">
        <f>SUMIF('[1]ПО КОРИСНИЦИМА'!$G$3:$G$11609,"Свега за пројекат 2001-П30:",'[1]ПО КОРИСНИЦИМА'!$I$3:$I$11609)</f>
        <v>#VALUE!</v>
      </c>
      <c r="G278" s="1094" t="e">
        <f t="shared" si="8"/>
        <v>#VALUE!</v>
      </c>
      <c r="H278" s="1096"/>
    </row>
    <row r="279" spans="1:8" s="326" customFormat="1" ht="12.75">
      <c r="A279" s="1087" t="s">
        <v>297</v>
      </c>
      <c r="B279" s="1088"/>
      <c r="C279" s="1089" t="s">
        <v>1290</v>
      </c>
      <c r="D279" s="1090">
        <f>SUM(D280:D287)</f>
        <v>33132772</v>
      </c>
      <c r="E279" s="1091">
        <f t="shared" si="9"/>
        <v>0.0731491273458572</v>
      </c>
      <c r="F279" s="1090">
        <f>SUM(F280:F287)</f>
        <v>0</v>
      </c>
      <c r="G279" s="1090">
        <f t="shared" si="8"/>
        <v>33132772</v>
      </c>
      <c r="H279" s="1107"/>
    </row>
    <row r="280" spans="1:8" ht="42" customHeight="1">
      <c r="A280" s="1116"/>
      <c r="B280" s="1108" t="s">
        <v>295</v>
      </c>
      <c r="C280" s="1117" t="s">
        <v>328</v>
      </c>
      <c r="D280" s="1094">
        <f>'Rashodi-2020'!N148+'Rashodi-2020'!N163+'Rashodi-2020'!N178</f>
        <v>33132772</v>
      </c>
      <c r="E280" s="1095">
        <f t="shared" si="9"/>
        <v>0.0731491273458572</v>
      </c>
      <c r="F280" s="1094">
        <f>'Rashodi-2020'!U148+'Rashodi-2020'!U163+'Rashodi-2020'!U178</f>
        <v>0</v>
      </c>
      <c r="G280" s="1094">
        <f t="shared" si="8"/>
        <v>33132772</v>
      </c>
      <c r="H280" s="1118" t="s">
        <v>1300</v>
      </c>
    </row>
    <row r="281" spans="1:8" ht="12.75" hidden="1">
      <c r="A281" s="1086"/>
      <c r="B281" s="1110" t="s">
        <v>1108</v>
      </c>
      <c r="C281" s="1093">
        <f>_xlfn.IFERROR(VLOOKUP(B281,'[1]ПО КОРИСНИЦИМА'!$C$3:$J$11609,5,FALSE),"")</f>
      </c>
      <c r="D281" s="1098"/>
      <c r="E281" s="1099">
        <f t="shared" si="9"/>
        <v>0</v>
      </c>
      <c r="F281" s="1100"/>
      <c r="G281" s="1094">
        <f t="shared" si="8"/>
        <v>0</v>
      </c>
      <c r="H281" s="1096"/>
    </row>
    <row r="282" spans="1:8" ht="12.75" hidden="1">
      <c r="A282" s="1086"/>
      <c r="B282" s="1110" t="s">
        <v>1109</v>
      </c>
      <c r="C282" s="1093">
        <f>_xlfn.IFERROR(VLOOKUP(B282,'[1]ПО КОРИСНИЦИМА'!$C$3:$J$11609,5,FALSE),"")</f>
      </c>
      <c r="D282" s="1098"/>
      <c r="E282" s="1099">
        <f t="shared" si="9"/>
        <v>0</v>
      </c>
      <c r="F282" s="1100"/>
      <c r="G282" s="1094">
        <f t="shared" si="8"/>
        <v>0</v>
      </c>
      <c r="H282" s="1096"/>
    </row>
    <row r="283" spans="1:8" ht="12.75" hidden="1">
      <c r="A283" s="1086"/>
      <c r="B283" s="1110" t="s">
        <v>1110</v>
      </c>
      <c r="C283" s="1093">
        <f>_xlfn.IFERROR(VLOOKUP(B283,'[1]ПО КОРИСНИЦИМА'!$C$3:$J$11609,5,FALSE),"")</f>
      </c>
      <c r="D283" s="1098"/>
      <c r="E283" s="1099">
        <f t="shared" si="9"/>
        <v>0</v>
      </c>
      <c r="F283" s="1100"/>
      <c r="G283" s="1094">
        <f t="shared" si="8"/>
        <v>0</v>
      </c>
      <c r="H283" s="1096"/>
    </row>
    <row r="284" spans="1:8" ht="12.75" hidden="1">
      <c r="A284" s="1086"/>
      <c r="B284" s="1110" t="s">
        <v>1111</v>
      </c>
      <c r="C284" s="1093">
        <f>_xlfn.IFERROR(VLOOKUP(B284,'[1]ПО КОРИСНИЦИМА'!$C$3:$J$11609,5,FALSE),"")</f>
      </c>
      <c r="D284" s="1098"/>
      <c r="E284" s="1099">
        <f t="shared" si="9"/>
        <v>0</v>
      </c>
      <c r="F284" s="1100"/>
      <c r="G284" s="1094">
        <f t="shared" si="8"/>
        <v>0</v>
      </c>
      <c r="H284" s="1096"/>
    </row>
    <row r="285" spans="1:8" ht="12.75" hidden="1">
      <c r="A285" s="1086"/>
      <c r="B285" s="1110" t="s">
        <v>1112</v>
      </c>
      <c r="C285" s="1093">
        <f>_xlfn.IFERROR(VLOOKUP(B285,'[1]ПО КОРИСНИЦИМА'!$C$3:$J$11609,5,FALSE),"")</f>
      </c>
      <c r="D285" s="1098"/>
      <c r="E285" s="1099">
        <f t="shared" si="9"/>
        <v>0</v>
      </c>
      <c r="F285" s="1100"/>
      <c r="G285" s="1094">
        <f t="shared" si="8"/>
        <v>0</v>
      </c>
      <c r="H285" s="1096"/>
    </row>
    <row r="286" spans="1:8" ht="12.75" hidden="1">
      <c r="A286" s="1086"/>
      <c r="B286" s="1110" t="s">
        <v>1113</v>
      </c>
      <c r="C286" s="1093">
        <f>_xlfn.IFERROR(VLOOKUP(B286,'[1]ПО КОРИСНИЦИМА'!$C$3:$J$11609,5,FALSE),"")</f>
      </c>
      <c r="D286" s="1098"/>
      <c r="E286" s="1099">
        <f t="shared" si="9"/>
        <v>0</v>
      </c>
      <c r="F286" s="1100"/>
      <c r="G286" s="1094">
        <f t="shared" si="8"/>
        <v>0</v>
      </c>
      <c r="H286" s="1096"/>
    </row>
    <row r="287" spans="1:8" ht="12.75" hidden="1">
      <c r="A287" s="1086"/>
      <c r="B287" s="1110" t="s">
        <v>1114</v>
      </c>
      <c r="C287" s="1093">
        <f>_xlfn.IFERROR(VLOOKUP(B287,'[1]ПО КОРИСНИЦИМА'!$C$3:$J$11609,5,FALSE),"")</f>
      </c>
      <c r="D287" s="1098"/>
      <c r="E287" s="1099">
        <f t="shared" si="9"/>
        <v>0</v>
      </c>
      <c r="F287" s="1100"/>
      <c r="G287" s="1094">
        <f t="shared" si="8"/>
        <v>0</v>
      </c>
      <c r="H287" s="1096"/>
    </row>
    <row r="288" spans="1:8" ht="12.75" hidden="1">
      <c r="A288" s="1086"/>
      <c r="B288" s="1110" t="s">
        <v>1115</v>
      </c>
      <c r="C288" s="1093">
        <f>_xlfn.IFERROR(VLOOKUP(B288,'[1]ПО КОРИСНИЦИМА'!$C$3:$J$11609,5,FALSE),"")</f>
      </c>
      <c r="D288" s="1098" t="e">
        <f>SUMIF('[1]ПО КОРИСНИЦИМА'!$G$3:$G$11609,"Свега за пројекат 2002-П8:",'[1]ПО КОРИСНИЦИМА'!$H$3:$H$11609)</f>
        <v>#VALUE!</v>
      </c>
      <c r="E288" s="1099" t="e">
        <f t="shared" si="9"/>
        <v>#VALUE!</v>
      </c>
      <c r="F288" s="1100" t="e">
        <f>SUMIF('[1]ПО КОРИСНИЦИМА'!$G$3:$G$11609,"Свега за пројекат 2002-П8:",'[1]ПО КОРИСНИЦИМА'!$I$3:$I$11609)</f>
        <v>#VALUE!</v>
      </c>
      <c r="G288" s="1094" t="e">
        <f t="shared" si="8"/>
        <v>#VALUE!</v>
      </c>
      <c r="H288" s="1096"/>
    </row>
    <row r="289" spans="1:8" ht="12.75" hidden="1">
      <c r="A289" s="1086"/>
      <c r="B289" s="1110" t="s">
        <v>1116</v>
      </c>
      <c r="C289" s="1093">
        <f>_xlfn.IFERROR(VLOOKUP(B289,'[1]ПО КОРИСНИЦИМА'!$C$3:$J$11609,5,FALSE),"")</f>
      </c>
      <c r="D289" s="1098" t="e">
        <f>SUMIF('[1]ПО КОРИСНИЦИМА'!$G$3:$G$11609,"Свега за пројекат 2002-П9:",'[1]ПО КОРИСНИЦИМА'!$H$3:$H$11609)</f>
        <v>#VALUE!</v>
      </c>
      <c r="E289" s="1099" t="e">
        <f t="shared" si="9"/>
        <v>#VALUE!</v>
      </c>
      <c r="F289" s="1100" t="e">
        <f>SUMIF('[1]ПО КОРИСНИЦИМА'!$G$3:$G$11609,"Свега за пројекат 2002-П9:",'[1]ПО КОРИСНИЦИМА'!$I$3:$I$11609)</f>
        <v>#VALUE!</v>
      </c>
      <c r="G289" s="1094" t="e">
        <f t="shared" si="8"/>
        <v>#VALUE!</v>
      </c>
      <c r="H289" s="1096"/>
    </row>
    <row r="290" spans="1:8" ht="12.75" hidden="1">
      <c r="A290" s="1086"/>
      <c r="B290" s="1110" t="s">
        <v>1117</v>
      </c>
      <c r="C290" s="1093">
        <f>_xlfn.IFERROR(VLOOKUP(B290,'[1]ПО КОРИСНИЦИМА'!$C$3:$J$11609,5,FALSE),"")</f>
      </c>
      <c r="D290" s="1098" t="e">
        <f>SUMIF('[1]ПО КОРИСНИЦИМА'!$G$3:$G$11609,"Свега за пројекат 2002-П10:",'[1]ПО КОРИСНИЦИМА'!$H$3:$H$11609)</f>
        <v>#VALUE!</v>
      </c>
      <c r="E290" s="1099" t="e">
        <f t="shared" si="9"/>
        <v>#VALUE!</v>
      </c>
      <c r="F290" s="1100" t="e">
        <f>SUMIF('[1]ПО КОРИСНИЦИМА'!$G$3:$G$11609,"Свега за пројекат 2002-П10:",'[1]ПО КОРИСНИЦИМА'!$I$3:$I$11609)</f>
        <v>#VALUE!</v>
      </c>
      <c r="G290" s="1094" t="e">
        <f t="shared" si="8"/>
        <v>#VALUE!</v>
      </c>
      <c r="H290" s="1096"/>
    </row>
    <row r="291" spans="1:8" ht="12.75" hidden="1">
      <c r="A291" s="1086"/>
      <c r="B291" s="1110" t="s">
        <v>1118</v>
      </c>
      <c r="C291" s="1093">
        <f>_xlfn.IFERROR(VLOOKUP(B291,'[1]ПО КОРИСНИЦИМА'!$C$3:$J$11609,5,FALSE),"")</f>
      </c>
      <c r="D291" s="1098" t="e">
        <f>SUMIF('[1]ПО КОРИСНИЦИМА'!$G$3:$G$11609,"Свега за пројекат 2002-П11:",'[1]ПО КОРИСНИЦИМА'!$H$3:$H$11609)</f>
        <v>#VALUE!</v>
      </c>
      <c r="E291" s="1099" t="e">
        <f t="shared" si="9"/>
        <v>#VALUE!</v>
      </c>
      <c r="F291" s="1100" t="e">
        <f>SUMIF('[1]ПО КОРИСНИЦИМА'!$G$3:$G$11609,"Свега за пројекат 2002-П11:",'[1]ПО КОРИСНИЦИМА'!$I$3:$I$11609)</f>
        <v>#VALUE!</v>
      </c>
      <c r="G291" s="1094" t="e">
        <f t="shared" si="8"/>
        <v>#VALUE!</v>
      </c>
      <c r="H291" s="1096"/>
    </row>
    <row r="292" spans="1:8" ht="12.75" hidden="1">
      <c r="A292" s="1086"/>
      <c r="B292" s="1110" t="s">
        <v>1119</v>
      </c>
      <c r="C292" s="1093">
        <f>_xlfn.IFERROR(VLOOKUP(B292,'[1]ПО КОРИСНИЦИМА'!$C$3:$J$11609,5,FALSE),"")</f>
      </c>
      <c r="D292" s="1098" t="e">
        <f>SUMIF('[1]ПО КОРИСНИЦИМА'!$G$3:$G$11609,"Свега за пројекат 2002-П12:",'[1]ПО КОРИСНИЦИМА'!$H$3:$H$11609)</f>
        <v>#VALUE!</v>
      </c>
      <c r="E292" s="1099" t="e">
        <f t="shared" si="9"/>
        <v>#VALUE!</v>
      </c>
      <c r="F292" s="1100" t="e">
        <f>SUMIF('[1]ПО КОРИСНИЦИМА'!$G$3:$G$11609,"Свега за пројекат 2002-П12:",'[1]ПО КОРИСНИЦИМА'!$I$3:$I$11609)</f>
        <v>#VALUE!</v>
      </c>
      <c r="G292" s="1094" t="e">
        <f t="shared" si="8"/>
        <v>#VALUE!</v>
      </c>
      <c r="H292" s="1096"/>
    </row>
    <row r="293" spans="1:8" ht="12.75" hidden="1">
      <c r="A293" s="1086"/>
      <c r="B293" s="1110" t="s">
        <v>1120</v>
      </c>
      <c r="C293" s="1093">
        <f>_xlfn.IFERROR(VLOOKUP(B293,'[1]ПО КОРИСНИЦИМА'!$C$3:$J$11609,5,FALSE),"")</f>
      </c>
      <c r="D293" s="1098" t="e">
        <f>SUMIF('[1]ПО КОРИСНИЦИМА'!$G$3:$G$11609,"Свега за пројекат 2002-П13:",'[1]ПО КОРИСНИЦИМА'!$H$3:$H$11609)</f>
        <v>#VALUE!</v>
      </c>
      <c r="E293" s="1099" t="e">
        <f t="shared" si="9"/>
        <v>#VALUE!</v>
      </c>
      <c r="F293" s="1100" t="e">
        <f>SUMIF('[1]ПО КОРИСНИЦИМА'!$G$3:$G$11609,"Свега за пројекат 2002-П13:",'[1]ПО КОРИСНИЦИМА'!$I$3:$I$11609)</f>
        <v>#VALUE!</v>
      </c>
      <c r="G293" s="1094" t="e">
        <f t="shared" si="8"/>
        <v>#VALUE!</v>
      </c>
      <c r="H293" s="1096"/>
    </row>
    <row r="294" spans="1:8" ht="12.75" hidden="1">
      <c r="A294" s="1086"/>
      <c r="B294" s="1110" t="s">
        <v>1121</v>
      </c>
      <c r="C294" s="1093">
        <f>_xlfn.IFERROR(VLOOKUP(B294,'[1]ПО КОРИСНИЦИМА'!$C$3:$J$11609,5,FALSE),"")</f>
      </c>
      <c r="D294" s="1098" t="e">
        <f>SUMIF('[1]ПО КОРИСНИЦИМА'!$G$3:$G$11609,"Свега за пројекат 2002-П14:",'[1]ПО КОРИСНИЦИМА'!$H$3:$H$11609)</f>
        <v>#VALUE!</v>
      </c>
      <c r="E294" s="1099" t="e">
        <f t="shared" si="9"/>
        <v>#VALUE!</v>
      </c>
      <c r="F294" s="1100" t="e">
        <f>SUMIF('[1]ПО КОРИСНИЦИМА'!$G$3:$G$11609,"Свега за пројекат 2002-П14:",'[1]ПО КОРИСНИЦИМА'!$I$3:$I$11609)</f>
        <v>#VALUE!</v>
      </c>
      <c r="G294" s="1094" t="e">
        <f t="shared" si="8"/>
        <v>#VALUE!</v>
      </c>
      <c r="H294" s="1096"/>
    </row>
    <row r="295" spans="1:8" ht="12.75" hidden="1">
      <c r="A295" s="1086"/>
      <c r="B295" s="1110" t="s">
        <v>1122</v>
      </c>
      <c r="C295" s="1093">
        <f>_xlfn.IFERROR(VLOOKUP(B295,'[1]ПО КОРИСНИЦИМА'!$C$3:$J$11609,5,FALSE),"")</f>
      </c>
      <c r="D295" s="1098" t="e">
        <f>SUMIF('[1]ПО КОРИСНИЦИМА'!$G$3:$G$11609,"Свега за пројекат 2002-П15:",'[1]ПО КОРИСНИЦИМА'!$H$3:$H$11609)</f>
        <v>#VALUE!</v>
      </c>
      <c r="E295" s="1099" t="e">
        <f t="shared" si="9"/>
        <v>#VALUE!</v>
      </c>
      <c r="F295" s="1100" t="e">
        <f>SUMIF('[1]ПО КОРИСНИЦИМА'!$G$3:$G$11609,"Свега за пројекат 2002-П15:",'[1]ПО КОРИСНИЦИМА'!$I$3:$I$11609)</f>
        <v>#VALUE!</v>
      </c>
      <c r="G295" s="1094" t="e">
        <f t="shared" si="8"/>
        <v>#VALUE!</v>
      </c>
      <c r="H295" s="1096"/>
    </row>
    <row r="296" spans="1:8" ht="12.75" hidden="1">
      <c r="A296" s="1086"/>
      <c r="B296" s="1110" t="s">
        <v>1123</v>
      </c>
      <c r="C296" s="1093">
        <f>_xlfn.IFERROR(VLOOKUP(B296,'[1]ПО КОРИСНИЦИМА'!$C$3:$J$11609,5,FALSE),"")</f>
      </c>
      <c r="D296" s="1098" t="e">
        <f>SUMIF('[1]ПО КОРИСНИЦИМА'!$G$3:$G$11609,"Свега за пројекат 2002-П16:",'[1]ПО КОРИСНИЦИМА'!$H$3:$H$11609)</f>
        <v>#VALUE!</v>
      </c>
      <c r="E296" s="1099" t="e">
        <f t="shared" si="9"/>
        <v>#VALUE!</v>
      </c>
      <c r="F296" s="1100" t="e">
        <f>SUMIF('[1]ПО КОРИСНИЦИМА'!$G$3:$G$11609,"Свега за пројекат 2002-П16:",'[1]ПО КОРИСНИЦИМА'!$I$3:$I$11609)</f>
        <v>#VALUE!</v>
      </c>
      <c r="G296" s="1094" t="e">
        <f t="shared" si="8"/>
        <v>#VALUE!</v>
      </c>
      <c r="H296" s="1096"/>
    </row>
    <row r="297" spans="1:8" ht="12.75" hidden="1">
      <c r="A297" s="1086"/>
      <c r="B297" s="1110" t="s">
        <v>1124</v>
      </c>
      <c r="C297" s="1093">
        <f>_xlfn.IFERROR(VLOOKUP(B297,'[1]ПО КОРИСНИЦИМА'!$C$3:$J$11609,5,FALSE),"")</f>
      </c>
      <c r="D297" s="1098" t="e">
        <f>SUMIF('[1]ПО КОРИСНИЦИМА'!$G$3:$G$11609,"Свега за пројекат 2002-П17:",'[1]ПО КОРИСНИЦИМА'!$H$3:$H$11609)</f>
        <v>#VALUE!</v>
      </c>
      <c r="E297" s="1099" t="e">
        <f t="shared" si="9"/>
        <v>#VALUE!</v>
      </c>
      <c r="F297" s="1100" t="e">
        <f>SUMIF('[1]ПО КОРИСНИЦИМА'!$G$3:$G$11609,"Свега за пројекат 2002-П17:",'[1]ПО КОРИСНИЦИМА'!$I$3:$I$11609)</f>
        <v>#VALUE!</v>
      </c>
      <c r="G297" s="1094" t="e">
        <f t="shared" si="8"/>
        <v>#VALUE!</v>
      </c>
      <c r="H297" s="1096"/>
    </row>
    <row r="298" spans="1:8" ht="12.75" hidden="1">
      <c r="A298" s="1086"/>
      <c r="B298" s="1110" t="s">
        <v>1125</v>
      </c>
      <c r="C298" s="1093">
        <f>_xlfn.IFERROR(VLOOKUP(B298,'[1]ПО КОРИСНИЦИМА'!$C$3:$J$11609,5,FALSE),"")</f>
      </c>
      <c r="D298" s="1098" t="e">
        <f>SUMIF('[1]ПО КОРИСНИЦИМА'!$G$3:$G$11609,"Свега за пројекат 2002-П18:",'[1]ПО КОРИСНИЦИМА'!$H$3:$H$11609)</f>
        <v>#VALUE!</v>
      </c>
      <c r="E298" s="1099" t="e">
        <f t="shared" si="9"/>
        <v>#VALUE!</v>
      </c>
      <c r="F298" s="1100" t="e">
        <f>SUMIF('[1]ПО КОРИСНИЦИМА'!$G$3:$G$11609,"Свега за пројекат 2002-П18:",'[1]ПО КОРИСНИЦИМА'!$I$3:$I$11609)</f>
        <v>#VALUE!</v>
      </c>
      <c r="G298" s="1094" t="e">
        <f t="shared" si="8"/>
        <v>#VALUE!</v>
      </c>
      <c r="H298" s="1096"/>
    </row>
    <row r="299" spans="1:8" ht="12.75" hidden="1">
      <c r="A299" s="1086"/>
      <c r="B299" s="1110" t="s">
        <v>1126</v>
      </c>
      <c r="C299" s="1093">
        <f>_xlfn.IFERROR(VLOOKUP(B299,'[1]ПО КОРИСНИЦИМА'!$C$3:$J$11609,5,FALSE),"")</f>
      </c>
      <c r="D299" s="1098" t="e">
        <f>SUMIF('[1]ПО КОРИСНИЦИМА'!$G$3:$G$11609,"Свега за пројекат 2002-П19:",'[1]ПО КОРИСНИЦИМА'!$H$3:$H$11609)</f>
        <v>#VALUE!</v>
      </c>
      <c r="E299" s="1099" t="e">
        <f t="shared" si="9"/>
        <v>#VALUE!</v>
      </c>
      <c r="F299" s="1100" t="e">
        <f>SUMIF('[1]ПО КОРИСНИЦИМА'!$G$3:$G$11609,"Свега за пројекат 2002-П19:",'[1]ПО КОРИСНИЦИМА'!$I$3:$I$11609)</f>
        <v>#VALUE!</v>
      </c>
      <c r="G299" s="1094" t="e">
        <f t="shared" si="8"/>
        <v>#VALUE!</v>
      </c>
      <c r="H299" s="1096"/>
    </row>
    <row r="300" spans="1:8" ht="12.75" hidden="1">
      <c r="A300" s="1086"/>
      <c r="B300" s="1110" t="s">
        <v>1127</v>
      </c>
      <c r="C300" s="1093">
        <f>_xlfn.IFERROR(VLOOKUP(B300,'[1]ПО КОРИСНИЦИМА'!$C$3:$J$11609,5,FALSE),"")</f>
      </c>
      <c r="D300" s="1098" t="e">
        <f>SUMIF('[1]ПО КОРИСНИЦИМА'!$G$3:$G$11609,"Свега за пројекат 2002-П20:",'[1]ПО КОРИСНИЦИМА'!$H$3:$H$11609)</f>
        <v>#VALUE!</v>
      </c>
      <c r="E300" s="1099" t="e">
        <f t="shared" si="9"/>
        <v>#VALUE!</v>
      </c>
      <c r="F300" s="1100" t="e">
        <f>SUMIF('[1]ПО КОРИСНИЦИМА'!$G$3:$G$11609,"Свега за пројекат 2002-П20:",'[1]ПО КОРИСНИЦИМА'!$I$3:$I$11609)</f>
        <v>#VALUE!</v>
      </c>
      <c r="G300" s="1094" t="e">
        <f t="shared" si="8"/>
        <v>#VALUE!</v>
      </c>
      <c r="H300" s="1096"/>
    </row>
    <row r="301" spans="1:8" ht="12.75" hidden="1">
      <c r="A301" s="1086"/>
      <c r="B301" s="1110" t="s">
        <v>1128</v>
      </c>
      <c r="C301" s="1093">
        <f>_xlfn.IFERROR(VLOOKUP(B301,'[1]ПО КОРИСНИЦИМА'!$C$3:$J$11609,5,FALSE),"")</f>
      </c>
      <c r="D301" s="1098" t="e">
        <f>SUMIF('[1]ПО КОРИСНИЦИМА'!$G$3:$G$11609,"Свега за пројекат 2002-П21:",'[1]ПО КОРИСНИЦИМА'!$H$3:$H$11609)</f>
        <v>#VALUE!</v>
      </c>
      <c r="E301" s="1099" t="e">
        <f t="shared" si="9"/>
        <v>#VALUE!</v>
      </c>
      <c r="F301" s="1100" t="e">
        <f>SUMIF('[1]ПО КОРИСНИЦИМА'!$G$3:$G$11609,"Свега за пројекат 2002-П21:",'[1]ПО КОРИСНИЦИМА'!$I$3:$I$11609)</f>
        <v>#VALUE!</v>
      </c>
      <c r="G301" s="1094" t="e">
        <f t="shared" si="8"/>
        <v>#VALUE!</v>
      </c>
      <c r="H301" s="1096"/>
    </row>
    <row r="302" spans="1:8" ht="12.75" hidden="1">
      <c r="A302" s="1086"/>
      <c r="B302" s="1110" t="s">
        <v>1129</v>
      </c>
      <c r="C302" s="1093">
        <f>_xlfn.IFERROR(VLOOKUP(B302,'[1]ПО КОРИСНИЦИМА'!$C$3:$J$11609,5,FALSE),"")</f>
      </c>
      <c r="D302" s="1098" t="e">
        <f>SUMIF('[1]ПО КОРИСНИЦИМА'!$G$3:$G$11609,"Свега за пројекат 2002-П22:",'[1]ПО КОРИСНИЦИМА'!$H$3:$H$11609)</f>
        <v>#VALUE!</v>
      </c>
      <c r="E302" s="1099" t="e">
        <f t="shared" si="9"/>
        <v>#VALUE!</v>
      </c>
      <c r="F302" s="1100" t="e">
        <f>SUMIF('[1]ПО КОРИСНИЦИМА'!$G$3:$G$11609,"Свега за пројекат 2002-П22:",'[1]ПО КОРИСНИЦИМА'!$I$3:$I$11609)</f>
        <v>#VALUE!</v>
      </c>
      <c r="G302" s="1094" t="e">
        <f t="shared" si="8"/>
        <v>#VALUE!</v>
      </c>
      <c r="H302" s="1096"/>
    </row>
    <row r="303" spans="1:8" ht="12.75" hidden="1">
      <c r="A303" s="1086"/>
      <c r="B303" s="1110" t="s">
        <v>1130</v>
      </c>
      <c r="C303" s="1093">
        <f>_xlfn.IFERROR(VLOOKUP(B303,'[1]ПО КОРИСНИЦИМА'!$C$3:$J$11609,5,FALSE),"")</f>
      </c>
      <c r="D303" s="1098" t="e">
        <f>SUMIF('[1]ПО КОРИСНИЦИМА'!$G$3:$G$11609,"Свега за пројекат 2002-П23:",'[1]ПО КОРИСНИЦИМА'!$H$3:$H$11609)</f>
        <v>#VALUE!</v>
      </c>
      <c r="E303" s="1099" t="e">
        <f t="shared" si="9"/>
        <v>#VALUE!</v>
      </c>
      <c r="F303" s="1100" t="e">
        <f>SUMIF('[1]ПО КОРИСНИЦИМА'!$G$3:$G$11609,"Свега за пројекат 2002-П23:",'[1]ПО КОРИСНИЦИМА'!$I$3:$I$11609)</f>
        <v>#VALUE!</v>
      </c>
      <c r="G303" s="1094" t="e">
        <f t="shared" si="8"/>
        <v>#VALUE!</v>
      </c>
      <c r="H303" s="1096"/>
    </row>
    <row r="304" spans="1:8" ht="12.75" hidden="1">
      <c r="A304" s="1086"/>
      <c r="B304" s="1110" t="s">
        <v>1131</v>
      </c>
      <c r="C304" s="1093">
        <f>_xlfn.IFERROR(VLOOKUP(B304,'[1]ПО КОРИСНИЦИМА'!$C$3:$J$11609,5,FALSE),"")</f>
      </c>
      <c r="D304" s="1098" t="e">
        <f>SUMIF('[1]ПО КОРИСНИЦИМА'!$G$3:$G$11609,"Свега за пројекат 2002-П24:",'[1]ПО КОРИСНИЦИМА'!$H$3:$H$11609)</f>
        <v>#VALUE!</v>
      </c>
      <c r="E304" s="1099" t="e">
        <f t="shared" si="9"/>
        <v>#VALUE!</v>
      </c>
      <c r="F304" s="1100" t="e">
        <f>SUMIF('[1]ПО КОРИСНИЦИМА'!$G$3:$G$11609,"Свега за пројекат 2002-П24:",'[1]ПО КОРИСНИЦИМА'!$I$3:$I$11609)</f>
        <v>#VALUE!</v>
      </c>
      <c r="G304" s="1094" t="e">
        <f t="shared" si="8"/>
        <v>#VALUE!</v>
      </c>
      <c r="H304" s="1096"/>
    </row>
    <row r="305" spans="1:8" ht="12.75" hidden="1">
      <c r="A305" s="1086"/>
      <c r="B305" s="1110" t="s">
        <v>1132</v>
      </c>
      <c r="C305" s="1093">
        <f>_xlfn.IFERROR(VLOOKUP(B305,'[1]ПО КОРИСНИЦИМА'!$C$3:$J$11609,5,FALSE),"")</f>
      </c>
      <c r="D305" s="1098" t="e">
        <f>SUMIF('[1]ПО КОРИСНИЦИМА'!$G$3:$G$11609,"Свега за пројекат 2002-П25:",'[1]ПО КОРИСНИЦИМА'!$H$3:$H$11609)</f>
        <v>#VALUE!</v>
      </c>
      <c r="E305" s="1099" t="e">
        <f t="shared" si="9"/>
        <v>#VALUE!</v>
      </c>
      <c r="F305" s="1100" t="e">
        <f>SUMIF('[1]ПО КОРИСНИЦИМА'!$G$3:$G$11609,"Свега за пројекат 2002-П25:",'[1]ПО КОРИСНИЦИМА'!$I$3:$I$11609)</f>
        <v>#VALUE!</v>
      </c>
      <c r="G305" s="1094" t="e">
        <f t="shared" si="8"/>
        <v>#VALUE!</v>
      </c>
      <c r="H305" s="1096"/>
    </row>
    <row r="306" spans="1:8" ht="12.75" hidden="1">
      <c r="A306" s="1110"/>
      <c r="B306" s="1110" t="s">
        <v>1133</v>
      </c>
      <c r="C306" s="1093">
        <f>_xlfn.IFERROR(VLOOKUP(B306,'[1]ПО КОРИСНИЦИМА'!$C$3:$J$11609,5,FALSE),"")</f>
      </c>
      <c r="D306" s="1098" t="e">
        <f>SUMIF('[1]ПО КОРИСНИЦИМА'!$G$3:$G$11609,"Свега за пројекат 2002-П26:",'[1]ПО КОРИСНИЦИМА'!$H$3:$H$11609)</f>
        <v>#VALUE!</v>
      </c>
      <c r="E306" s="1099" t="e">
        <f t="shared" si="9"/>
        <v>#VALUE!</v>
      </c>
      <c r="F306" s="1100" t="e">
        <f>SUMIF('[1]ПО КОРИСНИЦИМА'!$G$3:$G$11609,"Свега за пројекат 2002-П26:",'[1]ПО КОРИСНИЦИМА'!$I$3:$I$11609)</f>
        <v>#VALUE!</v>
      </c>
      <c r="G306" s="1094" t="e">
        <f t="shared" si="8"/>
        <v>#VALUE!</v>
      </c>
      <c r="H306" s="1096"/>
    </row>
    <row r="307" spans="1:8" ht="12.75" hidden="1">
      <c r="A307" s="1110"/>
      <c r="B307" s="1110" t="s">
        <v>1134</v>
      </c>
      <c r="C307" s="1093">
        <f>_xlfn.IFERROR(VLOOKUP(B307,'[1]ПО КОРИСНИЦИМА'!$C$3:$J$11609,5,FALSE),"")</f>
      </c>
      <c r="D307" s="1098" t="e">
        <f>SUMIF('[1]ПО КОРИСНИЦИМА'!$G$3:$G$11609,"Свега за пројекат 2002-П27:",'[1]ПО КОРИСНИЦИМА'!$H$3:$H$11609)</f>
        <v>#VALUE!</v>
      </c>
      <c r="E307" s="1099" t="e">
        <f t="shared" si="9"/>
        <v>#VALUE!</v>
      </c>
      <c r="F307" s="1100" t="e">
        <f>SUMIF('[1]ПО КОРИСНИЦИМА'!$G$3:$G$11609,"Свега за пројекат 2002-П27:",'[1]ПО КОРИСНИЦИМА'!$I$3:$I$11609)</f>
        <v>#VALUE!</v>
      </c>
      <c r="G307" s="1094" t="e">
        <f t="shared" si="8"/>
        <v>#VALUE!</v>
      </c>
      <c r="H307" s="1096"/>
    </row>
    <row r="308" spans="1:8" ht="12.75" hidden="1">
      <c r="A308" s="1110"/>
      <c r="B308" s="1110" t="s">
        <v>1135</v>
      </c>
      <c r="C308" s="1093">
        <f>_xlfn.IFERROR(VLOOKUP(B308,'[1]ПО КОРИСНИЦИМА'!$C$3:$J$11609,5,FALSE),"")</f>
      </c>
      <c r="D308" s="1098" t="e">
        <f>SUMIF('[1]ПО КОРИСНИЦИМА'!$G$3:$G$11609,"Свега за пројекат 2002-П28:",'[1]ПО КОРИСНИЦИМА'!$H$3:$H$11609)</f>
        <v>#VALUE!</v>
      </c>
      <c r="E308" s="1099" t="e">
        <f t="shared" si="9"/>
        <v>#VALUE!</v>
      </c>
      <c r="F308" s="1100" t="e">
        <f>SUMIF('[1]ПО КОРИСНИЦИМА'!$G$3:$G$11609,"Свега за пројекат 2002-П28:",'[1]ПО КОРИСНИЦИМА'!$I$3:$I$11609)</f>
        <v>#VALUE!</v>
      </c>
      <c r="G308" s="1094" t="e">
        <f t="shared" si="8"/>
        <v>#VALUE!</v>
      </c>
      <c r="H308" s="1096"/>
    </row>
    <row r="309" spans="1:8" ht="12.75" hidden="1">
      <c r="A309" s="1110"/>
      <c r="B309" s="1110" t="s">
        <v>1136</v>
      </c>
      <c r="C309" s="1093">
        <f>_xlfn.IFERROR(VLOOKUP(B309,'[1]ПО КОРИСНИЦИМА'!$C$3:$J$11609,5,FALSE),"")</f>
      </c>
      <c r="D309" s="1098" t="e">
        <f>SUMIF('[1]ПО КОРИСНИЦИМА'!$G$3:$G$11609,"Свега за пројекат 2002-П29:",'[1]ПО КОРИСНИЦИМА'!$H$3:$H$11609)</f>
        <v>#VALUE!</v>
      </c>
      <c r="E309" s="1099" t="e">
        <f t="shared" si="9"/>
        <v>#VALUE!</v>
      </c>
      <c r="F309" s="1100" t="e">
        <f>SUMIF('[1]ПО КОРИСНИЦИМА'!$G$3:$G$11609,"Свега за пројекат 2002-П29:",'[1]ПО КОРИСНИЦИМА'!$I$3:$I$11609)</f>
        <v>#VALUE!</v>
      </c>
      <c r="G309" s="1094" t="e">
        <f t="shared" si="8"/>
        <v>#VALUE!</v>
      </c>
      <c r="H309" s="1096"/>
    </row>
    <row r="310" spans="1:8" ht="12.75" hidden="1">
      <c r="A310" s="1110"/>
      <c r="B310" s="1110" t="s">
        <v>1137</v>
      </c>
      <c r="C310" s="1093">
        <f>_xlfn.IFERROR(VLOOKUP(B310,'[1]ПО КОРИСНИЦИМА'!$C$3:$J$11609,5,FALSE),"")</f>
      </c>
      <c r="D310" s="1098" t="e">
        <f>SUMIF('[1]ПО КОРИСНИЦИМА'!$G$3:$G$11609,"Свега за пројекат 2002-П30:",'[1]ПО КОРИСНИЦИМА'!$H$3:$H$11609)</f>
        <v>#VALUE!</v>
      </c>
      <c r="E310" s="1099" t="e">
        <f t="shared" si="9"/>
        <v>#VALUE!</v>
      </c>
      <c r="F310" s="1100" t="e">
        <f>SUMIF('[1]ПО КОРИСНИЦИМА'!$G$3:$G$11609,"Свега за пројекат 2002-П30:",'[1]ПО КОРИСНИЦИМА'!$I$3:$I$11609)</f>
        <v>#VALUE!</v>
      </c>
      <c r="G310" s="1094" t="e">
        <f t="shared" si="8"/>
        <v>#VALUE!</v>
      </c>
      <c r="H310" s="1096"/>
    </row>
    <row r="311" spans="1:8" s="326" customFormat="1" ht="12.75">
      <c r="A311" s="1087" t="s">
        <v>296</v>
      </c>
      <c r="B311" s="1088"/>
      <c r="C311" s="1089" t="s">
        <v>1291</v>
      </c>
      <c r="D311" s="1090">
        <f>SUM(D312:D322)</f>
        <v>5437550</v>
      </c>
      <c r="E311" s="1091">
        <f t="shared" si="9"/>
        <v>0.01200479203489119</v>
      </c>
      <c r="F311" s="1090">
        <f>SUM(F312:F322)</f>
        <v>0</v>
      </c>
      <c r="G311" s="1090">
        <f t="shared" si="8"/>
        <v>5437550</v>
      </c>
      <c r="H311" s="1107"/>
    </row>
    <row r="312" spans="1:8" ht="12.75">
      <c r="A312" s="1119"/>
      <c r="B312" s="1110" t="s">
        <v>299</v>
      </c>
      <c r="C312" s="1109" t="s">
        <v>329</v>
      </c>
      <c r="D312" s="1094">
        <f>'Rashodi-2020'!N194</f>
        <v>5437550</v>
      </c>
      <c r="E312" s="1095">
        <f t="shared" si="9"/>
        <v>0.01200479203489119</v>
      </c>
      <c r="F312" s="1097">
        <f>'Rashodi-2020'!U194</f>
        <v>0</v>
      </c>
      <c r="G312" s="1094">
        <f t="shared" si="8"/>
        <v>5437550</v>
      </c>
      <c r="H312" s="1096" t="s">
        <v>1314</v>
      </c>
    </row>
    <row r="313" spans="1:8" ht="12.75" hidden="1">
      <c r="A313" s="1110"/>
      <c r="B313" s="1110" t="s">
        <v>1138</v>
      </c>
      <c r="C313" s="1093">
        <f>_xlfn.IFERROR(VLOOKUP(B313,'[1]ПО КОРИСНИЦИМА'!$C$3:$J$11609,5,FALSE),"")</f>
      </c>
      <c r="D313" s="1098"/>
      <c r="E313" s="1099">
        <f t="shared" si="9"/>
        <v>0</v>
      </c>
      <c r="F313" s="1100"/>
      <c r="G313" s="1094">
        <f t="shared" si="8"/>
        <v>0</v>
      </c>
      <c r="H313" s="1096"/>
    </row>
    <row r="314" spans="1:8" ht="12.75" hidden="1">
      <c r="A314" s="1110"/>
      <c r="B314" s="1110" t="s">
        <v>1139</v>
      </c>
      <c r="C314" s="1093">
        <f>_xlfn.IFERROR(VLOOKUP(B314,'[1]ПО КОРИСНИЦИМА'!$C$3:$J$11609,5,FALSE),"")</f>
      </c>
      <c r="D314" s="1098"/>
      <c r="E314" s="1099">
        <f t="shared" si="9"/>
        <v>0</v>
      </c>
      <c r="F314" s="1100"/>
      <c r="G314" s="1094">
        <f t="shared" si="8"/>
        <v>0</v>
      </c>
      <c r="H314" s="1096"/>
    </row>
    <row r="315" spans="1:8" ht="12.75" hidden="1">
      <c r="A315" s="1110"/>
      <c r="B315" s="1110" t="s">
        <v>1140</v>
      </c>
      <c r="C315" s="1093">
        <f>_xlfn.IFERROR(VLOOKUP(B315,'[1]ПО КОРИСНИЦИМА'!$C$3:$J$11609,5,FALSE),"")</f>
      </c>
      <c r="D315" s="1098"/>
      <c r="E315" s="1099">
        <f t="shared" si="9"/>
        <v>0</v>
      </c>
      <c r="F315" s="1100"/>
      <c r="G315" s="1094">
        <f t="shared" si="8"/>
        <v>0</v>
      </c>
      <c r="H315" s="1096"/>
    </row>
    <row r="316" spans="1:8" ht="12.75" hidden="1">
      <c r="A316" s="1110"/>
      <c r="B316" s="1110" t="s">
        <v>1141</v>
      </c>
      <c r="C316" s="1093">
        <f>_xlfn.IFERROR(VLOOKUP(B316,'[1]ПО КОРИСНИЦИМА'!$C$3:$J$11609,5,FALSE),"")</f>
      </c>
      <c r="D316" s="1098"/>
      <c r="E316" s="1099">
        <f t="shared" si="9"/>
        <v>0</v>
      </c>
      <c r="F316" s="1100"/>
      <c r="G316" s="1094">
        <f t="shared" si="8"/>
        <v>0</v>
      </c>
      <c r="H316" s="1096"/>
    </row>
    <row r="317" spans="1:8" ht="12.75" hidden="1">
      <c r="A317" s="1110"/>
      <c r="B317" s="1110" t="s">
        <v>1142</v>
      </c>
      <c r="C317" s="1093">
        <f>_xlfn.IFERROR(VLOOKUP(B317,'[1]ПО КОРИСНИЦИМА'!$C$3:$J$11609,5,FALSE),"")</f>
      </c>
      <c r="D317" s="1098"/>
      <c r="E317" s="1099">
        <f t="shared" si="9"/>
        <v>0</v>
      </c>
      <c r="F317" s="1100"/>
      <c r="G317" s="1094">
        <f t="shared" si="8"/>
        <v>0</v>
      </c>
      <c r="H317" s="1096"/>
    </row>
    <row r="318" spans="1:8" ht="12.75" hidden="1">
      <c r="A318" s="1110"/>
      <c r="B318" s="1110" t="s">
        <v>1143</v>
      </c>
      <c r="C318" s="1093">
        <f>_xlfn.IFERROR(VLOOKUP(B318,'[1]ПО КОРИСНИЦИМА'!$C$3:$J$11609,5,FALSE),"")</f>
      </c>
      <c r="D318" s="1098"/>
      <c r="E318" s="1099">
        <f t="shared" si="9"/>
        <v>0</v>
      </c>
      <c r="F318" s="1100"/>
      <c r="G318" s="1094">
        <f t="shared" si="8"/>
        <v>0</v>
      </c>
      <c r="H318" s="1096"/>
    </row>
    <row r="319" spans="1:8" ht="12.75" hidden="1">
      <c r="A319" s="1110"/>
      <c r="B319" s="1110" t="s">
        <v>1144</v>
      </c>
      <c r="C319" s="1093">
        <f>_xlfn.IFERROR(VLOOKUP(B319,'[1]ПО КОРИСНИЦИМА'!$C$3:$J$11609,5,FALSE),"")</f>
      </c>
      <c r="D319" s="1098"/>
      <c r="E319" s="1099">
        <f t="shared" si="9"/>
        <v>0</v>
      </c>
      <c r="F319" s="1100"/>
      <c r="G319" s="1094">
        <f t="shared" si="8"/>
        <v>0</v>
      </c>
      <c r="H319" s="1096"/>
    </row>
    <row r="320" spans="1:8" ht="12.75" hidden="1">
      <c r="A320" s="1110"/>
      <c r="B320" s="1110" t="s">
        <v>1145</v>
      </c>
      <c r="C320" s="1093">
        <f>_xlfn.IFERROR(VLOOKUP(B320,'[1]ПО КОРИСНИЦИМА'!$C$3:$J$11609,5,FALSE),"")</f>
      </c>
      <c r="D320" s="1098"/>
      <c r="E320" s="1099">
        <f t="shared" si="9"/>
        <v>0</v>
      </c>
      <c r="F320" s="1100"/>
      <c r="G320" s="1094">
        <f t="shared" si="8"/>
        <v>0</v>
      </c>
      <c r="H320" s="1096"/>
    </row>
    <row r="321" spans="1:8" ht="12.75" hidden="1">
      <c r="A321" s="1110"/>
      <c r="B321" s="1110" t="s">
        <v>1146</v>
      </c>
      <c r="C321" s="1093">
        <f>_xlfn.IFERROR(VLOOKUP(B321,'[1]ПО КОРИСНИЦИМА'!$C$3:$J$11609,5,FALSE),"")</f>
      </c>
      <c r="D321" s="1098"/>
      <c r="E321" s="1099">
        <f t="shared" si="9"/>
        <v>0</v>
      </c>
      <c r="F321" s="1100"/>
      <c r="G321" s="1094">
        <f t="shared" si="8"/>
        <v>0</v>
      </c>
      <c r="H321" s="1096"/>
    </row>
    <row r="322" spans="1:8" ht="12.75" hidden="1">
      <c r="A322" s="1110"/>
      <c r="B322" s="1110" t="s">
        <v>1147</v>
      </c>
      <c r="C322" s="1093">
        <f>_xlfn.IFERROR(VLOOKUP(B322,'[1]ПО КОРИСНИЦИМА'!$C$3:$J$11609,5,FALSE),"")</f>
      </c>
      <c r="D322" s="1098"/>
      <c r="E322" s="1099">
        <f t="shared" si="9"/>
        <v>0</v>
      </c>
      <c r="F322" s="1100"/>
      <c r="G322" s="1094">
        <f t="shared" si="8"/>
        <v>0</v>
      </c>
      <c r="H322" s="1096"/>
    </row>
    <row r="323" spans="1:8" ht="12.75" hidden="1">
      <c r="A323" s="1110"/>
      <c r="B323" s="1110" t="s">
        <v>1148</v>
      </c>
      <c r="C323" s="1093">
        <f>_xlfn.IFERROR(VLOOKUP(B323,'[1]ПО КОРИСНИЦИМА'!$C$3:$J$11609,5,FALSE),"")</f>
      </c>
      <c r="D323" s="1098" t="e">
        <f>SUMIF('[1]ПО КОРИСНИЦИМА'!$G$3:$G$11609,"Свега за пројекат 2003-П11:",'[1]ПО КОРИСНИЦИМА'!$H$3:$H$11609)</f>
        <v>#VALUE!</v>
      </c>
      <c r="E323" s="1099" t="e">
        <f t="shared" si="9"/>
        <v>#VALUE!</v>
      </c>
      <c r="F323" s="1100" t="e">
        <f>SUMIF('[1]ПО КОРИСНИЦИМА'!$G$3:$G$11609,"Свега за пројекат 2003-П11:",'[1]ПО КОРИСНИЦИМА'!$I$3:$I$11609)</f>
        <v>#VALUE!</v>
      </c>
      <c r="G323" s="1094" t="e">
        <f t="shared" si="8"/>
        <v>#VALUE!</v>
      </c>
      <c r="H323" s="1096"/>
    </row>
    <row r="324" spans="1:8" ht="12.75" hidden="1">
      <c r="A324" s="1110"/>
      <c r="B324" s="1110" t="s">
        <v>1149</v>
      </c>
      <c r="C324" s="1093">
        <f>_xlfn.IFERROR(VLOOKUP(B324,'[1]ПО КОРИСНИЦИМА'!$C$3:$J$11609,5,FALSE),"")</f>
      </c>
      <c r="D324" s="1098" t="e">
        <f>SUMIF('[1]ПО КОРИСНИЦИМА'!$G$3:$G$11609,"Свега за пројекат 2003-П12:",'[1]ПО КОРИСНИЦИМА'!$H$3:$H$11609)</f>
        <v>#VALUE!</v>
      </c>
      <c r="E324" s="1099" t="e">
        <f t="shared" si="9"/>
        <v>#VALUE!</v>
      </c>
      <c r="F324" s="1100" t="e">
        <f>SUMIF('[1]ПО КОРИСНИЦИМА'!$G$3:$G$11609,"Свега за пројекат 2003-П12:",'[1]ПО КОРИСНИЦИМА'!$I$3:$I$11609)</f>
        <v>#VALUE!</v>
      </c>
      <c r="G324" s="1094" t="e">
        <f t="shared" si="8"/>
        <v>#VALUE!</v>
      </c>
      <c r="H324" s="1096"/>
    </row>
    <row r="325" spans="1:8" ht="12.75" hidden="1">
      <c r="A325" s="1110"/>
      <c r="B325" s="1110" t="s">
        <v>1150</v>
      </c>
      <c r="C325" s="1093">
        <f>_xlfn.IFERROR(VLOOKUP(B325,'[1]ПО КОРИСНИЦИМА'!$C$3:$J$11609,5,FALSE),"")</f>
      </c>
      <c r="D325" s="1098" t="e">
        <f>SUMIF('[1]ПО КОРИСНИЦИМА'!$G$3:$G$11609,"Свега за пројекат 2003-П13:",'[1]ПО КОРИСНИЦИМА'!$H$3:$H$11609)</f>
        <v>#VALUE!</v>
      </c>
      <c r="E325" s="1099" t="e">
        <f t="shared" si="9"/>
        <v>#VALUE!</v>
      </c>
      <c r="F325" s="1100" t="e">
        <f>SUMIF('[1]ПО КОРИСНИЦИМА'!$G$3:$G$11609,"Свега за пројекат 2003-П13:",'[1]ПО КОРИСНИЦИМА'!$I$3:$I$11609)</f>
        <v>#VALUE!</v>
      </c>
      <c r="G325" s="1094" t="e">
        <f aca="true" t="shared" si="10" ref="G325:G389">D325+F325</f>
        <v>#VALUE!</v>
      </c>
      <c r="H325" s="1096"/>
    </row>
    <row r="326" spans="1:8" ht="12.75" hidden="1">
      <c r="A326" s="1110"/>
      <c r="B326" s="1110" t="s">
        <v>1151</v>
      </c>
      <c r="C326" s="1093">
        <f>_xlfn.IFERROR(VLOOKUP(B326,'[1]ПО КОРИСНИЦИМА'!$C$3:$J$11609,5,FALSE),"")</f>
      </c>
      <c r="D326" s="1098" t="e">
        <f>SUMIF('[1]ПО КОРИСНИЦИМА'!$G$3:$G$11609,"Свега за пројекат 2003-П14:",'[1]ПО КОРИСНИЦИМА'!$H$3:$H$11609)</f>
        <v>#VALUE!</v>
      </c>
      <c r="E326" s="1099" t="e">
        <f aca="true" t="shared" si="11" ref="E326:E390">D326/452948288</f>
        <v>#VALUE!</v>
      </c>
      <c r="F326" s="1100" t="e">
        <f>SUMIF('[1]ПО КОРИСНИЦИМА'!$G$3:$G$11609,"Свега за пројекат 2003-П14:",'[1]ПО КОРИСНИЦИМА'!$I$3:$I$11609)</f>
        <v>#VALUE!</v>
      </c>
      <c r="G326" s="1094" t="e">
        <f t="shared" si="10"/>
        <v>#VALUE!</v>
      </c>
      <c r="H326" s="1096"/>
    </row>
    <row r="327" spans="1:8" ht="12.75" hidden="1">
      <c r="A327" s="1110"/>
      <c r="B327" s="1110" t="s">
        <v>1152</v>
      </c>
      <c r="C327" s="1093">
        <f>_xlfn.IFERROR(VLOOKUP(B327,'[1]ПО КОРИСНИЦИМА'!$C$3:$J$11609,5,FALSE),"")</f>
      </c>
      <c r="D327" s="1098" t="e">
        <f>SUMIF('[1]ПО КОРИСНИЦИМА'!$G$3:$G$11609,"Свега за пројекат 2003-П15:",'[1]ПО КОРИСНИЦИМА'!$H$3:$H$11609)</f>
        <v>#VALUE!</v>
      </c>
      <c r="E327" s="1099" t="e">
        <f t="shared" si="11"/>
        <v>#VALUE!</v>
      </c>
      <c r="F327" s="1100" t="e">
        <f>SUMIF('[1]ПО КОРИСНИЦИМА'!$G$3:$G$11609,"Свега за пројекат 2003-П15:",'[1]ПО КОРИСНИЦИМА'!$I$3:$I$11609)</f>
        <v>#VALUE!</v>
      </c>
      <c r="G327" s="1094" t="e">
        <f t="shared" si="10"/>
        <v>#VALUE!</v>
      </c>
      <c r="H327" s="1096"/>
    </row>
    <row r="328" spans="1:8" ht="12.75" hidden="1">
      <c r="A328" s="1110"/>
      <c r="B328" s="1110" t="s">
        <v>1153</v>
      </c>
      <c r="C328" s="1093">
        <f>_xlfn.IFERROR(VLOOKUP(B328,'[1]ПО КОРИСНИЦИМА'!$C$3:$J$11609,5,FALSE),"")</f>
      </c>
      <c r="D328" s="1098" t="e">
        <f>SUMIF('[1]ПО КОРИСНИЦИМА'!$G$3:$G$11609,"Свега за пројекат 2003-П16:",'[1]ПО КОРИСНИЦИМА'!$H$3:$H$11609)</f>
        <v>#VALUE!</v>
      </c>
      <c r="E328" s="1099" t="e">
        <f t="shared" si="11"/>
        <v>#VALUE!</v>
      </c>
      <c r="F328" s="1100" t="e">
        <f>SUMIF('[1]ПО КОРИСНИЦИМА'!$G$3:$G$11609,"Свега за пројекат 2003-П16:",'[1]ПО КОРИСНИЦИМА'!$I$3:$I$11609)</f>
        <v>#VALUE!</v>
      </c>
      <c r="G328" s="1094" t="e">
        <f t="shared" si="10"/>
        <v>#VALUE!</v>
      </c>
      <c r="H328" s="1096"/>
    </row>
    <row r="329" spans="1:8" ht="12.75" hidden="1">
      <c r="A329" s="1110"/>
      <c r="B329" s="1110" t="s">
        <v>1154</v>
      </c>
      <c r="C329" s="1093">
        <f>_xlfn.IFERROR(VLOOKUP(B329,'[1]ПО КОРИСНИЦИМА'!$C$3:$J$11609,5,FALSE),"")</f>
      </c>
      <c r="D329" s="1098" t="e">
        <f>SUMIF('[1]ПО КОРИСНИЦИМА'!$G$3:$G$11609,"Свега за пројекат 2003-П17:",'[1]ПО КОРИСНИЦИМА'!$H$3:$H$11609)</f>
        <v>#VALUE!</v>
      </c>
      <c r="E329" s="1099" t="e">
        <f t="shared" si="11"/>
        <v>#VALUE!</v>
      </c>
      <c r="F329" s="1100" t="e">
        <f>SUMIF('[1]ПО КОРИСНИЦИМА'!$G$3:$G$11609,"Свега за пројекат 2003-П17:",'[1]ПО КОРИСНИЦИМА'!$I$3:$I$11609)</f>
        <v>#VALUE!</v>
      </c>
      <c r="G329" s="1094" t="e">
        <f t="shared" si="10"/>
        <v>#VALUE!</v>
      </c>
      <c r="H329" s="1096"/>
    </row>
    <row r="330" spans="1:8" ht="12.75" hidden="1">
      <c r="A330" s="1110"/>
      <c r="B330" s="1110" t="s">
        <v>1155</v>
      </c>
      <c r="C330" s="1093">
        <f>_xlfn.IFERROR(VLOOKUP(B330,'[1]ПО КОРИСНИЦИМА'!$C$3:$J$11609,5,FALSE),"")</f>
      </c>
      <c r="D330" s="1098" t="e">
        <f>SUMIF('[1]ПО КОРИСНИЦИМА'!$G$3:$G$11609,"Свега за пројекат 2003-П18:",'[1]ПО КОРИСНИЦИМА'!$H$3:$H$11609)</f>
        <v>#VALUE!</v>
      </c>
      <c r="E330" s="1099" t="e">
        <f t="shared" si="11"/>
        <v>#VALUE!</v>
      </c>
      <c r="F330" s="1100" t="e">
        <f>SUMIF('[1]ПО КОРИСНИЦИМА'!$G$3:$G$11609,"Свега за пројекат 2003-П18:",'[1]ПО КОРИСНИЦИМА'!$I$3:$I$11609)</f>
        <v>#VALUE!</v>
      </c>
      <c r="G330" s="1094" t="e">
        <f t="shared" si="10"/>
        <v>#VALUE!</v>
      </c>
      <c r="H330" s="1096"/>
    </row>
    <row r="331" spans="1:8" ht="12.75" hidden="1">
      <c r="A331" s="1110"/>
      <c r="B331" s="1110" t="s">
        <v>1156</v>
      </c>
      <c r="C331" s="1093">
        <f>_xlfn.IFERROR(VLOOKUP(B331,'[1]ПО КОРИСНИЦИМА'!$C$3:$J$11609,5,FALSE),"")</f>
      </c>
      <c r="D331" s="1098" t="e">
        <f>SUMIF('[1]ПО КОРИСНИЦИМА'!$G$3:$G$11609,"Свега за пројекат 2003-П19:",'[1]ПО КОРИСНИЦИМА'!$H$3:$H$11609)</f>
        <v>#VALUE!</v>
      </c>
      <c r="E331" s="1099" t="e">
        <f t="shared" si="11"/>
        <v>#VALUE!</v>
      </c>
      <c r="F331" s="1100" t="e">
        <f>SUMIF('[1]ПО КОРИСНИЦИМА'!$G$3:$G$11609,"Свега за пројекат 2003-П19:",'[1]ПО КОРИСНИЦИМА'!$I$3:$I$11609)</f>
        <v>#VALUE!</v>
      </c>
      <c r="G331" s="1094" t="e">
        <f t="shared" si="10"/>
        <v>#VALUE!</v>
      </c>
      <c r="H331" s="1096"/>
    </row>
    <row r="332" spans="1:8" ht="12.75" hidden="1">
      <c r="A332" s="1110"/>
      <c r="B332" s="1110" t="s">
        <v>1157</v>
      </c>
      <c r="C332" s="1093">
        <f>_xlfn.IFERROR(VLOOKUP(B332,'[1]ПО КОРИСНИЦИМА'!$C$3:$J$11609,5,FALSE),"")</f>
      </c>
      <c r="D332" s="1098" t="e">
        <f>SUMIF('[1]ПО КОРИСНИЦИМА'!$G$3:$G$11609,"Свега за пројекат 2003-П20:",'[1]ПО КОРИСНИЦИМА'!$H$3:$H$11609)</f>
        <v>#VALUE!</v>
      </c>
      <c r="E332" s="1099" t="e">
        <f t="shared" si="11"/>
        <v>#VALUE!</v>
      </c>
      <c r="F332" s="1100" t="e">
        <f>SUMIF('[1]ПО КОРИСНИЦИМА'!$G$3:$G$11609,"Свега за пројекат 2003-П20:",'[1]ПО КОРИСНИЦИМА'!$I$3:$I$11609)</f>
        <v>#VALUE!</v>
      </c>
      <c r="G332" s="1094" t="e">
        <f t="shared" si="10"/>
        <v>#VALUE!</v>
      </c>
      <c r="H332" s="1096"/>
    </row>
    <row r="333" spans="1:8" ht="12.75" hidden="1">
      <c r="A333" s="1110"/>
      <c r="B333" s="1110" t="s">
        <v>1158</v>
      </c>
      <c r="C333" s="1093">
        <f>_xlfn.IFERROR(VLOOKUP(B333,'[1]ПО КОРИСНИЦИМА'!$C$3:$J$11609,5,FALSE),"")</f>
      </c>
      <c r="D333" s="1098" t="e">
        <f>SUMIF('[1]ПО КОРИСНИЦИМА'!$G$3:$G$11609,"Свега за пројекат 2003-П21:",'[1]ПО КОРИСНИЦИМА'!$H$3:$H$11609)</f>
        <v>#VALUE!</v>
      </c>
      <c r="E333" s="1099" t="e">
        <f t="shared" si="11"/>
        <v>#VALUE!</v>
      </c>
      <c r="F333" s="1100" t="e">
        <f>SUMIF('[1]ПО КОРИСНИЦИМА'!$G$3:$G$11609,"Свега за пројекат 2003-П21:",'[1]ПО КОРИСНИЦИМА'!$I$3:$I$11609)</f>
        <v>#VALUE!</v>
      </c>
      <c r="G333" s="1094" t="e">
        <f t="shared" si="10"/>
        <v>#VALUE!</v>
      </c>
      <c r="H333" s="1096"/>
    </row>
    <row r="334" spans="1:8" ht="12.75" hidden="1">
      <c r="A334" s="1110"/>
      <c r="B334" s="1110" t="s">
        <v>1159</v>
      </c>
      <c r="C334" s="1093">
        <f>_xlfn.IFERROR(VLOOKUP(B334,'[1]ПО КОРИСНИЦИМА'!$C$3:$J$11609,5,FALSE),"")</f>
      </c>
      <c r="D334" s="1098" t="e">
        <f>SUMIF('[1]ПО КОРИСНИЦИМА'!$G$3:$G$11609,"Свега за пројекат 2003-П22:",'[1]ПО КОРИСНИЦИМА'!$H$3:$H$11609)</f>
        <v>#VALUE!</v>
      </c>
      <c r="E334" s="1099" t="e">
        <f t="shared" si="11"/>
        <v>#VALUE!</v>
      </c>
      <c r="F334" s="1100" t="e">
        <f>SUMIF('[1]ПО КОРИСНИЦИМА'!$G$3:$G$11609,"Свега за пројекат 2003-П22:",'[1]ПО КОРИСНИЦИМА'!$I$3:$I$11609)</f>
        <v>#VALUE!</v>
      </c>
      <c r="G334" s="1094" t="e">
        <f t="shared" si="10"/>
        <v>#VALUE!</v>
      </c>
      <c r="H334" s="1096"/>
    </row>
    <row r="335" spans="1:8" ht="12.75" hidden="1">
      <c r="A335" s="1110"/>
      <c r="B335" s="1110" t="s">
        <v>1160</v>
      </c>
      <c r="C335" s="1093">
        <f>_xlfn.IFERROR(VLOOKUP(B335,'[1]ПО КОРИСНИЦИМА'!$C$3:$J$11609,5,FALSE),"")</f>
      </c>
      <c r="D335" s="1098" t="e">
        <f>SUMIF('[1]ПО КОРИСНИЦИМА'!$G$3:$G$11609,"Свега за пројекат 2003-П23:",'[1]ПО КОРИСНИЦИМА'!$H$3:$H$11609)</f>
        <v>#VALUE!</v>
      </c>
      <c r="E335" s="1099" t="e">
        <f t="shared" si="11"/>
        <v>#VALUE!</v>
      </c>
      <c r="F335" s="1100" t="e">
        <f>SUMIF('[1]ПО КОРИСНИЦИМА'!$G$3:$G$11609,"Свега за пројекат 2003-П23:",'[1]ПО КОРИСНИЦИМА'!$I$3:$I$11609)</f>
        <v>#VALUE!</v>
      </c>
      <c r="G335" s="1094" t="e">
        <f t="shared" si="10"/>
        <v>#VALUE!</v>
      </c>
      <c r="H335" s="1096"/>
    </row>
    <row r="336" spans="1:8" ht="12.75" hidden="1">
      <c r="A336" s="1110"/>
      <c r="B336" s="1110" t="s">
        <v>1161</v>
      </c>
      <c r="C336" s="1093">
        <f>_xlfn.IFERROR(VLOOKUP(B336,'[1]ПО КОРИСНИЦИМА'!$C$3:$J$11609,5,FALSE),"")</f>
      </c>
      <c r="D336" s="1098" t="e">
        <f>SUMIF('[1]ПО КОРИСНИЦИМА'!$G$3:$G$11609,"Свега за пројекат 2003-П24:",'[1]ПО КОРИСНИЦИМА'!$H$3:$H$11609)</f>
        <v>#VALUE!</v>
      </c>
      <c r="E336" s="1099" t="e">
        <f t="shared" si="11"/>
        <v>#VALUE!</v>
      </c>
      <c r="F336" s="1100" t="e">
        <f>SUMIF('[1]ПО КОРИСНИЦИМА'!$G$3:$G$11609,"Свега за пројекат 2003-П24:",'[1]ПО КОРИСНИЦИМА'!$I$3:$I$11609)</f>
        <v>#VALUE!</v>
      </c>
      <c r="G336" s="1094" t="e">
        <f t="shared" si="10"/>
        <v>#VALUE!</v>
      </c>
      <c r="H336" s="1096"/>
    </row>
    <row r="337" spans="1:8" ht="12.75" hidden="1">
      <c r="A337" s="1110"/>
      <c r="B337" s="1110" t="s">
        <v>1162</v>
      </c>
      <c r="C337" s="1093">
        <f>_xlfn.IFERROR(VLOOKUP(B337,'[1]ПО КОРИСНИЦИМА'!$C$3:$J$11609,5,FALSE),"")</f>
      </c>
      <c r="D337" s="1098" t="e">
        <f>SUMIF('[1]ПО КОРИСНИЦИМА'!$G$3:$G$11609,"Свега за пројекат 2003-П25:",'[1]ПО КОРИСНИЦИМА'!$H$3:$H$11609)</f>
        <v>#VALUE!</v>
      </c>
      <c r="E337" s="1099" t="e">
        <f t="shared" si="11"/>
        <v>#VALUE!</v>
      </c>
      <c r="F337" s="1100" t="e">
        <f>SUMIF('[1]ПО КОРИСНИЦИМА'!$G$3:$G$11609,"Свега за пројекат 2003-П25:",'[1]ПО КОРИСНИЦИМА'!$I$3:$I$11609)</f>
        <v>#VALUE!</v>
      </c>
      <c r="G337" s="1094" t="e">
        <f t="shared" si="10"/>
        <v>#VALUE!</v>
      </c>
      <c r="H337" s="1096"/>
    </row>
    <row r="338" spans="1:8" ht="12.75" hidden="1">
      <c r="A338" s="1110"/>
      <c r="B338" s="1110" t="s">
        <v>1163</v>
      </c>
      <c r="C338" s="1093">
        <f>_xlfn.IFERROR(VLOOKUP(B338,'[1]ПО КОРИСНИЦИМА'!$C$3:$J$11609,5,FALSE),"")</f>
      </c>
      <c r="D338" s="1098" t="e">
        <f>SUMIF('[1]ПО КОРИСНИЦИМА'!$G$3:$G$11609,"Свега за пројекат 2003-П26:",'[1]ПО КОРИСНИЦИМА'!$H$3:$H$11609)</f>
        <v>#VALUE!</v>
      </c>
      <c r="E338" s="1099" t="e">
        <f t="shared" si="11"/>
        <v>#VALUE!</v>
      </c>
      <c r="F338" s="1100" t="e">
        <f>SUMIF('[1]ПО КОРИСНИЦИМА'!$G$3:$G$11609,"Свега за пројекат 2003-П26:",'[1]ПО КОРИСНИЦИМА'!$I$3:$I$11609)</f>
        <v>#VALUE!</v>
      </c>
      <c r="G338" s="1094" t="e">
        <f t="shared" si="10"/>
        <v>#VALUE!</v>
      </c>
      <c r="H338" s="1096"/>
    </row>
    <row r="339" spans="1:8" ht="12.75" hidden="1">
      <c r="A339" s="1110"/>
      <c r="B339" s="1110" t="s">
        <v>1164</v>
      </c>
      <c r="C339" s="1093">
        <f>_xlfn.IFERROR(VLOOKUP(B339,'[1]ПО КОРИСНИЦИМА'!$C$3:$J$11609,5,FALSE),"")</f>
      </c>
      <c r="D339" s="1098" t="e">
        <f>SUMIF('[1]ПО КОРИСНИЦИМА'!$G$3:$G$11609,"Свега за пројекат 2003-П27:",'[1]ПО КОРИСНИЦИМА'!$H$3:$H$11609)</f>
        <v>#VALUE!</v>
      </c>
      <c r="E339" s="1099" t="e">
        <f t="shared" si="11"/>
        <v>#VALUE!</v>
      </c>
      <c r="F339" s="1100" t="e">
        <f>SUMIF('[1]ПО КОРИСНИЦИМА'!$G$3:$G$11609,"Свега за пројекат 2003-П27:",'[1]ПО КОРИСНИЦИМА'!$I$3:$I$11609)</f>
        <v>#VALUE!</v>
      </c>
      <c r="G339" s="1094" t="e">
        <f t="shared" si="10"/>
        <v>#VALUE!</v>
      </c>
      <c r="H339" s="1096"/>
    </row>
    <row r="340" spans="1:8" ht="12.75" hidden="1">
      <c r="A340" s="1110"/>
      <c r="B340" s="1110" t="s">
        <v>597</v>
      </c>
      <c r="C340" s="1093">
        <f>_xlfn.IFERROR(VLOOKUP(B340,'[1]ПО КОРИСНИЦИМА'!$C$3:$J$11609,5,FALSE),"")</f>
      </c>
      <c r="D340" s="1098" t="e">
        <f>SUMIF('[1]ПО КОРИСНИЦИМА'!$G$3:$G$11609,"Свега за пројекат 2003-П28:",'[1]ПО КОРИСНИЦИМА'!$H$3:$H$11609)</f>
        <v>#VALUE!</v>
      </c>
      <c r="E340" s="1099" t="e">
        <f t="shared" si="11"/>
        <v>#VALUE!</v>
      </c>
      <c r="F340" s="1100" t="e">
        <f>SUMIF('[1]ПО КОРИСНИЦИМА'!$G$3:$G$11609,"Свега за пројекат 2003-П28:",'[1]ПО КОРИСНИЦИМА'!$I$3:$I$11609)</f>
        <v>#VALUE!</v>
      </c>
      <c r="G340" s="1094" t="e">
        <f t="shared" si="10"/>
        <v>#VALUE!</v>
      </c>
      <c r="H340" s="1096"/>
    </row>
    <row r="341" spans="1:8" ht="12.75" hidden="1">
      <c r="A341" s="1110"/>
      <c r="B341" s="1110" t="s">
        <v>598</v>
      </c>
      <c r="C341" s="1093">
        <f>_xlfn.IFERROR(VLOOKUP(B341,'[1]ПО КОРИСНИЦИМА'!$C$3:$J$11609,5,FALSE),"")</f>
      </c>
      <c r="D341" s="1098" t="e">
        <f>SUMIF('[1]ПО КОРИСНИЦИМА'!$G$3:$G$11609,"Свега за пројекат 2003-П29:",'[1]ПО КОРИСНИЦИМА'!$H$3:$H$11609)</f>
        <v>#VALUE!</v>
      </c>
      <c r="E341" s="1099" t="e">
        <f t="shared" si="11"/>
        <v>#VALUE!</v>
      </c>
      <c r="F341" s="1100" t="e">
        <f>SUMIF('[1]ПО КОРИСНИЦИМА'!$G$3:$G$11609,"Свега за пројекат 2003-П29:",'[1]ПО КОРИСНИЦИМА'!$I$3:$I$11609)</f>
        <v>#VALUE!</v>
      </c>
      <c r="G341" s="1094" t="e">
        <f t="shared" si="10"/>
        <v>#VALUE!</v>
      </c>
      <c r="H341" s="1096"/>
    </row>
    <row r="342" spans="1:8" ht="12.75" hidden="1">
      <c r="A342" s="1110"/>
      <c r="B342" s="1110" t="s">
        <v>599</v>
      </c>
      <c r="C342" s="1093">
        <f>_xlfn.IFERROR(VLOOKUP(B342,'[1]ПО КОРИСНИЦИМА'!$C$3:$J$11609,5,FALSE),"")</f>
      </c>
      <c r="D342" s="1098" t="e">
        <f>SUMIF('[1]ПО КОРИСНИЦИМА'!$G$3:$G$11609,"Свега за пројекат 2003-П30:",'[1]ПО КОРИСНИЦИМА'!$H$3:$H$11609)</f>
        <v>#VALUE!</v>
      </c>
      <c r="E342" s="1099" t="e">
        <f t="shared" si="11"/>
        <v>#VALUE!</v>
      </c>
      <c r="F342" s="1100" t="e">
        <f>SUMIF('[1]ПО КОРИСНИЦИМА'!$G$3:$G$11609,"Свега за пројекат 2003-П30:",'[1]ПО КОРИСНИЦИМА'!$I$3:$I$11609)</f>
        <v>#VALUE!</v>
      </c>
      <c r="G342" s="1094" t="e">
        <f t="shared" si="10"/>
        <v>#VALUE!</v>
      </c>
      <c r="H342" s="1096"/>
    </row>
    <row r="343" spans="1:8" s="326" customFormat="1" ht="12.75">
      <c r="A343" s="1087" t="s">
        <v>302</v>
      </c>
      <c r="B343" s="1088"/>
      <c r="C343" s="1089" t="s">
        <v>6</v>
      </c>
      <c r="D343" s="1090">
        <f>SUM(D344:D349)</f>
        <v>41536000</v>
      </c>
      <c r="E343" s="1091">
        <f t="shared" si="11"/>
        <v>0.09170141735914895</v>
      </c>
      <c r="F343" s="1090">
        <f>SUM(F344:F349)</f>
        <v>0</v>
      </c>
      <c r="G343" s="1090">
        <f t="shared" si="10"/>
        <v>41536000</v>
      </c>
      <c r="H343" s="1107"/>
    </row>
    <row r="344" spans="1:8" ht="12.75">
      <c r="A344" s="1119"/>
      <c r="B344" s="1108" t="s">
        <v>303</v>
      </c>
      <c r="C344" s="1120" t="s">
        <v>1347</v>
      </c>
      <c r="D344" s="1094">
        <f>'Rashodi-2020'!N208</f>
        <v>6689000</v>
      </c>
      <c r="E344" s="1095">
        <f t="shared" si="11"/>
        <v>0.014767690213678433</v>
      </c>
      <c r="F344" s="1094">
        <f>'Rashodi-2020'!U208</f>
        <v>0</v>
      </c>
      <c r="G344" s="1121">
        <f t="shared" si="10"/>
        <v>6689000</v>
      </c>
      <c r="H344" s="1096" t="s">
        <v>1299</v>
      </c>
    </row>
    <row r="345" spans="1:8" ht="12.75" hidden="1">
      <c r="A345" s="1119"/>
      <c r="B345" s="1108" t="s">
        <v>858</v>
      </c>
      <c r="C345" s="1120" t="s">
        <v>859</v>
      </c>
      <c r="D345" s="1094"/>
      <c r="E345" s="1095">
        <f t="shared" si="11"/>
        <v>0</v>
      </c>
      <c r="F345" s="1094"/>
      <c r="G345" s="1121">
        <f t="shared" si="10"/>
        <v>0</v>
      </c>
      <c r="H345" s="1096"/>
    </row>
    <row r="346" spans="1:8" ht="12.75" hidden="1">
      <c r="A346" s="1119"/>
      <c r="B346" s="1108" t="s">
        <v>860</v>
      </c>
      <c r="C346" s="1120" t="s">
        <v>861</v>
      </c>
      <c r="D346" s="1094"/>
      <c r="E346" s="1095">
        <f t="shared" si="11"/>
        <v>0</v>
      </c>
      <c r="F346" s="1094"/>
      <c r="G346" s="1121">
        <f t="shared" si="10"/>
        <v>0</v>
      </c>
      <c r="H346" s="1096"/>
    </row>
    <row r="347" spans="1:8" ht="12.75">
      <c r="A347" s="1119"/>
      <c r="B347" s="1108" t="s">
        <v>860</v>
      </c>
      <c r="C347" s="1102" t="s">
        <v>1348</v>
      </c>
      <c r="D347" s="1103">
        <f>'Rashodi-2020'!N225</f>
        <v>17877000</v>
      </c>
      <c r="E347" s="1095">
        <f t="shared" si="11"/>
        <v>0.03946808161906553</v>
      </c>
      <c r="F347" s="1094">
        <f>'Rashodi-2020'!U225</f>
        <v>0</v>
      </c>
      <c r="G347" s="1121">
        <f t="shared" si="10"/>
        <v>17877000</v>
      </c>
      <c r="H347" s="1096" t="s">
        <v>1299</v>
      </c>
    </row>
    <row r="348" spans="1:8" ht="12.75">
      <c r="A348" s="1119"/>
      <c r="B348" s="1108" t="s">
        <v>310</v>
      </c>
      <c r="C348" s="1120" t="s">
        <v>1240</v>
      </c>
      <c r="D348" s="1094">
        <f>'Rashodi-2020'!N242</f>
        <v>2020000</v>
      </c>
      <c r="E348" s="1095">
        <f t="shared" si="11"/>
        <v>0.004459670239442433</v>
      </c>
      <c r="F348" s="1094">
        <f>'Rashodi-2020'!U242</f>
        <v>0</v>
      </c>
      <c r="G348" s="1121">
        <f t="shared" si="10"/>
        <v>2020000</v>
      </c>
      <c r="H348" s="1096" t="s">
        <v>1173</v>
      </c>
    </row>
    <row r="349" spans="1:8" ht="12.75">
      <c r="A349" s="1119"/>
      <c r="B349" s="1108" t="s">
        <v>312</v>
      </c>
      <c r="C349" s="1102" t="s">
        <v>1239</v>
      </c>
      <c r="D349" s="1103">
        <f>'Rashodi-2020'!N234</f>
        <v>14950000</v>
      </c>
      <c r="E349" s="1095">
        <f t="shared" si="11"/>
        <v>0.03300597528696256</v>
      </c>
      <c r="F349" s="1094">
        <f>'Rashodi-2020'!U234</f>
        <v>0</v>
      </c>
      <c r="G349" s="1121">
        <f t="shared" si="10"/>
        <v>14950000</v>
      </c>
      <c r="H349" s="1096" t="s">
        <v>1173</v>
      </c>
    </row>
    <row r="350" spans="1:8" ht="12.75" hidden="1">
      <c r="A350" s="1119"/>
      <c r="B350" s="1108" t="s">
        <v>601</v>
      </c>
      <c r="C350" s="1093">
        <f>_xlfn.IFERROR(VLOOKUP(B350,'[1]ПО КОРИСНИЦИМА'!$C$3:$J$11609,5,FALSE),"")</f>
      </c>
      <c r="D350" s="1098"/>
      <c r="E350" s="1099">
        <f t="shared" si="11"/>
        <v>0</v>
      </c>
      <c r="F350" s="1100"/>
      <c r="G350" s="1121">
        <f t="shared" si="10"/>
        <v>0</v>
      </c>
      <c r="H350" s="1096"/>
    </row>
    <row r="351" spans="1:8" ht="12.75" hidden="1">
      <c r="A351" s="1119"/>
      <c r="B351" s="1108" t="s">
        <v>602</v>
      </c>
      <c r="C351" s="1093">
        <f>_xlfn.IFERROR(VLOOKUP(B351,'[1]ПО КОРИСНИЦИМА'!$C$3:$J$11609,5,FALSE),"")</f>
      </c>
      <c r="D351" s="1098"/>
      <c r="E351" s="1099">
        <f t="shared" si="11"/>
        <v>0</v>
      </c>
      <c r="F351" s="1100"/>
      <c r="G351" s="1121">
        <f t="shared" si="10"/>
        <v>0</v>
      </c>
      <c r="H351" s="1096"/>
    </row>
    <row r="352" spans="1:8" ht="12.75" hidden="1">
      <c r="A352" s="1119"/>
      <c r="B352" s="1108" t="s">
        <v>603</v>
      </c>
      <c r="C352" s="1093">
        <f>_xlfn.IFERROR(VLOOKUP(B352,'[1]ПО КОРИСНИЦИМА'!$C$3:$J$11609,5,FALSE),"")</f>
      </c>
      <c r="D352" s="1098"/>
      <c r="E352" s="1099">
        <f t="shared" si="11"/>
        <v>0</v>
      </c>
      <c r="F352" s="1100"/>
      <c r="G352" s="1121">
        <f t="shared" si="10"/>
        <v>0</v>
      </c>
      <c r="H352" s="1096"/>
    </row>
    <row r="353" spans="1:8" ht="12.75" hidden="1">
      <c r="A353" s="1119"/>
      <c r="B353" s="1108" t="s">
        <v>604</v>
      </c>
      <c r="C353" s="1093">
        <f>_xlfn.IFERROR(VLOOKUP(B353,'[1]ПО КОРИСНИЦИМА'!$C$3:$J$11609,5,FALSE),"")</f>
      </c>
      <c r="D353" s="1098"/>
      <c r="E353" s="1099">
        <f t="shared" si="11"/>
        <v>0</v>
      </c>
      <c r="F353" s="1100"/>
      <c r="G353" s="1121">
        <f t="shared" si="10"/>
        <v>0</v>
      </c>
      <c r="H353" s="1096"/>
    </row>
    <row r="354" spans="1:8" ht="12.75" hidden="1">
      <c r="A354" s="1119"/>
      <c r="B354" s="1108" t="s">
        <v>605</v>
      </c>
      <c r="C354" s="1093">
        <f>_xlfn.IFERROR(VLOOKUP(B354,'[1]ПО КОРИСНИЦИМА'!$C$3:$J$11609,5,FALSE),"")</f>
      </c>
      <c r="D354" s="1098" t="e">
        <f>SUMIF('[1]ПО КОРИСНИЦИМА'!$G$3:$G$11609,"Свега за пројекат 0901-П5:",'[1]ПО КОРИСНИЦИМА'!$H$3:$H$11609)</f>
        <v>#VALUE!</v>
      </c>
      <c r="E354" s="1099" t="e">
        <f t="shared" si="11"/>
        <v>#VALUE!</v>
      </c>
      <c r="F354" s="1100" t="e">
        <f>SUMIF('[1]ПО КОРИСНИЦИМА'!$G$3:$G$11609,"Свега за пројекат 0901-П5:",'[1]ПО КОРИСНИЦИМА'!$I$3:$I$11609)</f>
        <v>#VALUE!</v>
      </c>
      <c r="G354" s="1121" t="e">
        <f t="shared" si="10"/>
        <v>#VALUE!</v>
      </c>
      <c r="H354" s="1096"/>
    </row>
    <row r="355" spans="1:8" ht="12.75" hidden="1">
      <c r="A355" s="1119"/>
      <c r="B355" s="1108" t="s">
        <v>606</v>
      </c>
      <c r="C355" s="1093">
        <f>_xlfn.IFERROR(VLOOKUP(B355,'[1]ПО КОРИСНИЦИМА'!$C$3:$J$11609,5,FALSE),"")</f>
      </c>
      <c r="D355" s="1098" t="e">
        <f>SUMIF('[1]ПО КОРИСНИЦИМА'!$G$3:$G$11609,"Свега за пројекат 0901-П6:",'[1]ПО КОРИСНИЦИМА'!$H$3:$H$11609)</f>
        <v>#VALUE!</v>
      </c>
      <c r="E355" s="1099" t="e">
        <f t="shared" si="11"/>
        <v>#VALUE!</v>
      </c>
      <c r="F355" s="1100" t="e">
        <f>SUMIF('[1]ПО КОРИСНИЦИМА'!$G$3:$G$11609,"Свега за пројекат 0901-П6:",'[1]ПО КОРИСНИЦИМА'!$I$3:$I$11609)</f>
        <v>#VALUE!</v>
      </c>
      <c r="G355" s="1121" t="e">
        <f t="shared" si="10"/>
        <v>#VALUE!</v>
      </c>
      <c r="H355" s="1096"/>
    </row>
    <row r="356" spans="1:8" ht="12.75" hidden="1">
      <c r="A356" s="1119"/>
      <c r="B356" s="1108" t="s">
        <v>607</v>
      </c>
      <c r="C356" s="1093">
        <f>_xlfn.IFERROR(VLOOKUP(B356,'[1]ПО КОРИСНИЦИМА'!$C$3:$J$11609,5,FALSE),"")</f>
      </c>
      <c r="D356" s="1098" t="e">
        <f>SUMIF('[1]ПО КОРИСНИЦИМА'!$G$3:$G$11609,"Свега за пројекат 0901-П7:",'[1]ПО КОРИСНИЦИМА'!$H$3:$H$11609)</f>
        <v>#VALUE!</v>
      </c>
      <c r="E356" s="1099" t="e">
        <f t="shared" si="11"/>
        <v>#VALUE!</v>
      </c>
      <c r="F356" s="1100" t="e">
        <f>SUMIF('[1]ПО КОРИСНИЦИМА'!$G$3:$G$11609,"Свега за пројекат 0901-П7:",'[1]ПО КОРИСНИЦИМА'!$I$3:$I$11609)</f>
        <v>#VALUE!</v>
      </c>
      <c r="G356" s="1121" t="e">
        <f t="shared" si="10"/>
        <v>#VALUE!</v>
      </c>
      <c r="H356" s="1096"/>
    </row>
    <row r="357" spans="1:8" ht="12.75" hidden="1">
      <c r="A357" s="1119"/>
      <c r="B357" s="1108" t="s">
        <v>608</v>
      </c>
      <c r="C357" s="1093">
        <f>_xlfn.IFERROR(VLOOKUP(B357,'[1]ПО КОРИСНИЦИМА'!$C$3:$J$11609,5,FALSE),"")</f>
      </c>
      <c r="D357" s="1098" t="e">
        <f>SUMIF('[1]ПО КОРИСНИЦИМА'!$G$3:$G$11609,"Свега за пројекат 0901-П8:",'[1]ПО КОРИСНИЦИМА'!$H$3:$H$11609)</f>
        <v>#VALUE!</v>
      </c>
      <c r="E357" s="1099" t="e">
        <f t="shared" si="11"/>
        <v>#VALUE!</v>
      </c>
      <c r="F357" s="1100" t="e">
        <f>SUMIF('[1]ПО КОРИСНИЦИМА'!$G$3:$G$11609,"Свега за пројекат 0901-П8:",'[1]ПО КОРИСНИЦИМА'!$I$3:$I$11609)</f>
        <v>#VALUE!</v>
      </c>
      <c r="G357" s="1121" t="e">
        <f t="shared" si="10"/>
        <v>#VALUE!</v>
      </c>
      <c r="H357" s="1096"/>
    </row>
    <row r="358" spans="1:8" ht="12.75" hidden="1">
      <c r="A358" s="1119"/>
      <c r="B358" s="1108" t="s">
        <v>609</v>
      </c>
      <c r="C358" s="1093">
        <f>_xlfn.IFERROR(VLOOKUP(B358,'[1]ПО КОРИСНИЦИМА'!$C$3:$J$11609,5,FALSE),"")</f>
      </c>
      <c r="D358" s="1098" t="e">
        <f>SUMIF('[1]ПО КОРИСНИЦИМА'!$G$3:$G$11609,"Свега за пројекат 0901-П9:",'[1]ПО КОРИСНИЦИМА'!$H$3:$H$11609)</f>
        <v>#VALUE!</v>
      </c>
      <c r="E358" s="1099" t="e">
        <f t="shared" si="11"/>
        <v>#VALUE!</v>
      </c>
      <c r="F358" s="1100" t="e">
        <f>SUMIF('[1]ПО КОРИСНИЦИМА'!$G$3:$G$11609,"Свега за пројекат 0901-П9:",'[1]ПО КОРИСНИЦИМА'!$I$3:$I$11609)</f>
        <v>#VALUE!</v>
      </c>
      <c r="G358" s="1121" t="e">
        <f t="shared" si="10"/>
        <v>#VALUE!</v>
      </c>
      <c r="H358" s="1096"/>
    </row>
    <row r="359" spans="1:8" ht="12.75" hidden="1">
      <c r="A359" s="1119"/>
      <c r="B359" s="1108" t="s">
        <v>610</v>
      </c>
      <c r="C359" s="1093">
        <f>_xlfn.IFERROR(VLOOKUP(B359,'[1]ПО КОРИСНИЦИМА'!$C$3:$J$11609,5,FALSE),"")</f>
      </c>
      <c r="D359" s="1098" t="e">
        <f>SUMIF('[1]ПО КОРИСНИЦИМА'!$G$3:$G$11609,"Свега за пројекат 0901-П10:",'[1]ПО КОРИСНИЦИМА'!$H$3:$H$11609)</f>
        <v>#VALUE!</v>
      </c>
      <c r="E359" s="1099" t="e">
        <f t="shared" si="11"/>
        <v>#VALUE!</v>
      </c>
      <c r="F359" s="1100" t="e">
        <f>SUMIF('[1]ПО КОРИСНИЦИМА'!$G$3:$G$11609,"Свега за пројекат 0901-П10:",'[1]ПО КОРИСНИЦИМА'!$I$3:$I$11609)</f>
        <v>#VALUE!</v>
      </c>
      <c r="G359" s="1121" t="e">
        <f t="shared" si="10"/>
        <v>#VALUE!</v>
      </c>
      <c r="H359" s="1096"/>
    </row>
    <row r="360" spans="1:8" ht="12.75" hidden="1">
      <c r="A360" s="1119"/>
      <c r="B360" s="1108" t="s">
        <v>611</v>
      </c>
      <c r="C360" s="1093">
        <f>_xlfn.IFERROR(VLOOKUP(B360,'[1]ПО КОРИСНИЦИМА'!$C$3:$J$11609,5,FALSE),"")</f>
      </c>
      <c r="D360" s="1098" t="e">
        <f>SUMIF('[1]ПО КОРИСНИЦИМА'!$G$3:$G$11609,"Свега за пројекат 0901-П11:",'[1]ПО КОРИСНИЦИМА'!$H$3:$H$11609)</f>
        <v>#VALUE!</v>
      </c>
      <c r="E360" s="1099" t="e">
        <f t="shared" si="11"/>
        <v>#VALUE!</v>
      </c>
      <c r="F360" s="1100" t="e">
        <f>SUMIF('[1]ПО КОРИСНИЦИМА'!$G$3:$G$11609,"Свега за пројекат 0901-П11:",'[1]ПО КОРИСНИЦИМА'!$I$3:$I$11609)</f>
        <v>#VALUE!</v>
      </c>
      <c r="G360" s="1121" t="e">
        <f t="shared" si="10"/>
        <v>#VALUE!</v>
      </c>
      <c r="H360" s="1096"/>
    </row>
    <row r="361" spans="1:8" ht="12.75" hidden="1">
      <c r="A361" s="1119"/>
      <c r="B361" s="1108" t="s">
        <v>612</v>
      </c>
      <c r="C361" s="1093">
        <f>_xlfn.IFERROR(VLOOKUP(B361,'[1]ПО КОРИСНИЦИМА'!$C$3:$J$11609,5,FALSE),"")</f>
      </c>
      <c r="D361" s="1098" t="e">
        <f>SUMIF('[1]ПО КОРИСНИЦИМА'!$G$3:$G$11609,"Свега за пројекат 0901-П12:",'[1]ПО КОРИСНИЦИМА'!$H$3:$H$11609)</f>
        <v>#VALUE!</v>
      </c>
      <c r="E361" s="1099" t="e">
        <f t="shared" si="11"/>
        <v>#VALUE!</v>
      </c>
      <c r="F361" s="1100" t="e">
        <f>SUMIF('[1]ПО КОРИСНИЦИМА'!$G$3:$G$11609,"Свега за пројекат 0901-П12:",'[1]ПО КОРИСНИЦИМА'!$I$3:$I$11609)</f>
        <v>#VALUE!</v>
      </c>
      <c r="G361" s="1121" t="e">
        <f t="shared" si="10"/>
        <v>#VALUE!</v>
      </c>
      <c r="H361" s="1096"/>
    </row>
    <row r="362" spans="1:8" ht="12.75" hidden="1">
      <c r="A362" s="1119"/>
      <c r="B362" s="1108" t="s">
        <v>613</v>
      </c>
      <c r="C362" s="1093">
        <f>_xlfn.IFERROR(VLOOKUP(B362,'[1]ПО КОРИСНИЦИМА'!$C$3:$J$11609,5,FALSE),"")</f>
      </c>
      <c r="D362" s="1098" t="e">
        <f>SUMIF('[1]ПО КОРИСНИЦИМА'!$G$3:$G$11609,"Свега за пројекат 0901-П13:",'[1]ПО КОРИСНИЦИМА'!$H$3:$H$11609)</f>
        <v>#VALUE!</v>
      </c>
      <c r="E362" s="1099" t="e">
        <f t="shared" si="11"/>
        <v>#VALUE!</v>
      </c>
      <c r="F362" s="1100" t="e">
        <f>SUMIF('[1]ПО КОРИСНИЦИМА'!$G$3:$G$11609,"Свега за пројекат 0901-П13:",'[1]ПО КОРИСНИЦИМА'!$I$3:$I$11609)</f>
        <v>#VALUE!</v>
      </c>
      <c r="G362" s="1121" t="e">
        <f t="shared" si="10"/>
        <v>#VALUE!</v>
      </c>
      <c r="H362" s="1096"/>
    </row>
    <row r="363" spans="1:8" ht="12.75" hidden="1">
      <c r="A363" s="1119"/>
      <c r="B363" s="1108" t="s">
        <v>614</v>
      </c>
      <c r="C363" s="1093">
        <f>_xlfn.IFERROR(VLOOKUP(B363,'[1]ПО КОРИСНИЦИМА'!$C$3:$J$11609,5,FALSE),"")</f>
      </c>
      <c r="D363" s="1098" t="e">
        <f>SUMIF('[1]ПО КОРИСНИЦИМА'!$G$3:$G$11609,"Свега за пројекат 0901-П14:",'[1]ПО КОРИСНИЦИМА'!$H$3:$H$11609)</f>
        <v>#VALUE!</v>
      </c>
      <c r="E363" s="1099" t="e">
        <f t="shared" si="11"/>
        <v>#VALUE!</v>
      </c>
      <c r="F363" s="1100" t="e">
        <f>SUMIF('[1]ПО КОРИСНИЦИМА'!$G$3:$G$11609,"Свега за пројекат 0901-П14:",'[1]ПО КОРИСНИЦИМА'!$I$3:$I$11609)</f>
        <v>#VALUE!</v>
      </c>
      <c r="G363" s="1121" t="e">
        <f t="shared" si="10"/>
        <v>#VALUE!</v>
      </c>
      <c r="H363" s="1096"/>
    </row>
    <row r="364" spans="1:8" ht="12.75" hidden="1">
      <c r="A364" s="1119"/>
      <c r="B364" s="1108" t="s">
        <v>615</v>
      </c>
      <c r="C364" s="1093">
        <f>_xlfn.IFERROR(VLOOKUP(B364,'[1]ПО КОРИСНИЦИМА'!$C$3:$J$11609,5,FALSE),"")</f>
      </c>
      <c r="D364" s="1098" t="e">
        <f>SUMIF('[1]ПО КОРИСНИЦИМА'!$G$3:$G$11609,"Свега за пројекат 0901-П15:",'[1]ПО КОРИСНИЦИМА'!$H$3:$H$11609)</f>
        <v>#VALUE!</v>
      </c>
      <c r="E364" s="1099" t="e">
        <f t="shared" si="11"/>
        <v>#VALUE!</v>
      </c>
      <c r="F364" s="1100" t="e">
        <f>SUMIF('[1]ПО КОРИСНИЦИМА'!$G$3:$G$11609,"Свега за пројекат 0901-П15:",'[1]ПО КОРИСНИЦИМА'!$I$3:$I$11609)</f>
        <v>#VALUE!</v>
      </c>
      <c r="G364" s="1121" t="e">
        <f t="shared" si="10"/>
        <v>#VALUE!</v>
      </c>
      <c r="H364" s="1096"/>
    </row>
    <row r="365" spans="1:8" ht="12.75" hidden="1">
      <c r="A365" s="1119"/>
      <c r="B365" s="1108" t="s">
        <v>616</v>
      </c>
      <c r="C365" s="1093">
        <f>_xlfn.IFERROR(VLOOKUP(B365,'[1]ПО КОРИСНИЦИМА'!$C$3:$J$11609,5,FALSE),"")</f>
      </c>
      <c r="D365" s="1098" t="e">
        <f>SUMIF('[1]ПО КОРИСНИЦИМА'!$G$3:$G$11609,"Свега за пројекат 0901-П16:",'[1]ПО КОРИСНИЦИМА'!$H$3:$H$11609)</f>
        <v>#VALUE!</v>
      </c>
      <c r="E365" s="1099" t="e">
        <f t="shared" si="11"/>
        <v>#VALUE!</v>
      </c>
      <c r="F365" s="1100" t="e">
        <f>SUMIF('[1]ПО КОРИСНИЦИМА'!$G$3:$G$11609,"Свега за пројекат 0901-П16:",'[1]ПО КОРИСНИЦИМА'!$I$3:$I$11609)</f>
        <v>#VALUE!</v>
      </c>
      <c r="G365" s="1121" t="e">
        <f t="shared" si="10"/>
        <v>#VALUE!</v>
      </c>
      <c r="H365" s="1096"/>
    </row>
    <row r="366" spans="1:8" ht="12.75" hidden="1">
      <c r="A366" s="1119"/>
      <c r="B366" s="1108" t="s">
        <v>617</v>
      </c>
      <c r="C366" s="1093">
        <f>_xlfn.IFERROR(VLOOKUP(B366,'[1]ПО КОРИСНИЦИМА'!$C$3:$J$11609,5,FALSE),"")</f>
      </c>
      <c r="D366" s="1098" t="e">
        <f>SUMIF('[1]ПО КОРИСНИЦИМА'!$G$3:$G$11609,"Свега за пројекат 0901-П17:",'[1]ПО КОРИСНИЦИМА'!$H$3:$H$11609)</f>
        <v>#VALUE!</v>
      </c>
      <c r="E366" s="1099" t="e">
        <f t="shared" si="11"/>
        <v>#VALUE!</v>
      </c>
      <c r="F366" s="1100" t="e">
        <f>SUMIF('[1]ПО КОРИСНИЦИМА'!$G$3:$G$11609,"Свега за пројекат 0901-П17:",'[1]ПО КОРИСНИЦИМА'!$I$3:$I$11609)</f>
        <v>#VALUE!</v>
      </c>
      <c r="G366" s="1121" t="e">
        <f t="shared" si="10"/>
        <v>#VALUE!</v>
      </c>
      <c r="H366" s="1096"/>
    </row>
    <row r="367" spans="1:8" ht="12.75" hidden="1">
      <c r="A367" s="1119"/>
      <c r="B367" s="1108" t="s">
        <v>618</v>
      </c>
      <c r="C367" s="1093">
        <f>_xlfn.IFERROR(VLOOKUP(B367,'[1]ПО КОРИСНИЦИМА'!$C$3:$J$11609,5,FALSE),"")</f>
      </c>
      <c r="D367" s="1098" t="e">
        <f>SUMIF('[1]ПО КОРИСНИЦИМА'!$G$3:$G$11609,"Свега за пројекат 0901-П18:",'[1]ПО КОРИСНИЦИМА'!$H$3:$H$11609)</f>
        <v>#VALUE!</v>
      </c>
      <c r="E367" s="1099" t="e">
        <f t="shared" si="11"/>
        <v>#VALUE!</v>
      </c>
      <c r="F367" s="1100" t="e">
        <f>SUMIF('[1]ПО КОРИСНИЦИМА'!$G$3:$G$11609,"Свега за пројекат 0901-П18:",'[1]ПО КОРИСНИЦИМА'!$I$3:$I$11609)</f>
        <v>#VALUE!</v>
      </c>
      <c r="G367" s="1121" t="e">
        <f t="shared" si="10"/>
        <v>#VALUE!</v>
      </c>
      <c r="H367" s="1096"/>
    </row>
    <row r="368" spans="1:8" ht="12.75" hidden="1">
      <c r="A368" s="1119"/>
      <c r="B368" s="1108" t="s">
        <v>619</v>
      </c>
      <c r="C368" s="1093">
        <f>_xlfn.IFERROR(VLOOKUP(B368,'[1]ПО КОРИСНИЦИМА'!$C$3:$J$11609,5,FALSE),"")</f>
      </c>
      <c r="D368" s="1098" t="e">
        <f>SUMIF('[1]ПО КОРИСНИЦИМА'!$G$3:$G$11609,"Свега за пројекат 0901-П19:",'[1]ПО КОРИСНИЦИМА'!$H$3:$H$11609)</f>
        <v>#VALUE!</v>
      </c>
      <c r="E368" s="1099" t="e">
        <f t="shared" si="11"/>
        <v>#VALUE!</v>
      </c>
      <c r="F368" s="1100" t="e">
        <f>SUMIF('[1]ПО КОРИСНИЦИМА'!$G$3:$G$11609,"Свега за пројекат 0901-П19:",'[1]ПО КОРИСНИЦИМА'!$I$3:$I$11609)</f>
        <v>#VALUE!</v>
      </c>
      <c r="G368" s="1121" t="e">
        <f t="shared" si="10"/>
        <v>#VALUE!</v>
      </c>
      <c r="H368" s="1096"/>
    </row>
    <row r="369" spans="1:8" ht="12.75" hidden="1">
      <c r="A369" s="1119"/>
      <c r="B369" s="1108" t="s">
        <v>620</v>
      </c>
      <c r="C369" s="1093">
        <f>_xlfn.IFERROR(VLOOKUP(B369,'[1]ПО КОРИСНИЦИМА'!$C$3:$J$11609,5,FALSE),"")</f>
      </c>
      <c r="D369" s="1098" t="e">
        <f>SUMIF('[1]ПО КОРИСНИЦИМА'!$G$3:$G$11609,"Свега за пројекат 0901-П20:",'[1]ПО КОРИСНИЦИМА'!$H$3:$H$11609)</f>
        <v>#VALUE!</v>
      </c>
      <c r="E369" s="1099" t="e">
        <f t="shared" si="11"/>
        <v>#VALUE!</v>
      </c>
      <c r="F369" s="1100" t="e">
        <f>SUMIF('[1]ПО КОРИСНИЦИМА'!$G$3:$G$11609,"Свега за пројекат 0901-П20:",'[1]ПО КОРИСНИЦИМА'!$I$3:$I$11609)</f>
        <v>#VALUE!</v>
      </c>
      <c r="G369" s="1121" t="e">
        <f t="shared" si="10"/>
        <v>#VALUE!</v>
      </c>
      <c r="H369" s="1096"/>
    </row>
    <row r="370" spans="1:8" ht="12.75" hidden="1">
      <c r="A370" s="1119"/>
      <c r="B370" s="1108" t="s">
        <v>621</v>
      </c>
      <c r="C370" s="1093">
        <f>_xlfn.IFERROR(VLOOKUP(B370,'[1]ПО КОРИСНИЦИМА'!$C$3:$J$11609,5,FALSE),"")</f>
      </c>
      <c r="D370" s="1098" t="e">
        <f>SUMIF('[1]ПО КОРИСНИЦИМА'!$G$3:$G$11609,"Свега за пројекат 0901-П21:",'[1]ПО КОРИСНИЦИМА'!$H$3:$H$11609)</f>
        <v>#VALUE!</v>
      </c>
      <c r="E370" s="1099" t="e">
        <f t="shared" si="11"/>
        <v>#VALUE!</v>
      </c>
      <c r="F370" s="1100" t="e">
        <f>SUMIF('[1]ПО КОРИСНИЦИМА'!$G$3:$G$11609,"Свега за пројекат 0901-П21:",'[1]ПО КОРИСНИЦИМА'!$I$3:$I$11609)</f>
        <v>#VALUE!</v>
      </c>
      <c r="G370" s="1121" t="e">
        <f t="shared" si="10"/>
        <v>#VALUE!</v>
      </c>
      <c r="H370" s="1096"/>
    </row>
    <row r="371" spans="1:8" ht="12.75" hidden="1">
      <c r="A371" s="1119"/>
      <c r="B371" s="1108" t="s">
        <v>622</v>
      </c>
      <c r="C371" s="1093">
        <f>_xlfn.IFERROR(VLOOKUP(B371,'[1]ПО КОРИСНИЦИМА'!$C$3:$J$11609,5,FALSE),"")</f>
      </c>
      <c r="D371" s="1098" t="e">
        <f>SUMIF('[1]ПО КОРИСНИЦИМА'!$G$3:$G$11609,"Свега за пројекат 0901-П22:",'[1]ПО КОРИСНИЦИМА'!$H$3:$H$11609)</f>
        <v>#VALUE!</v>
      </c>
      <c r="E371" s="1099" t="e">
        <f t="shared" si="11"/>
        <v>#VALUE!</v>
      </c>
      <c r="F371" s="1100" t="e">
        <f>SUMIF('[1]ПО КОРИСНИЦИМА'!$G$3:$G$11609,"Свега за пројекат 0901-П22:",'[1]ПО КОРИСНИЦИМА'!$I$3:$I$11609)</f>
        <v>#VALUE!</v>
      </c>
      <c r="G371" s="1121" t="e">
        <f t="shared" si="10"/>
        <v>#VALUE!</v>
      </c>
      <c r="H371" s="1096"/>
    </row>
    <row r="372" spans="1:8" ht="12.75" hidden="1">
      <c r="A372" s="1119"/>
      <c r="B372" s="1108" t="s">
        <v>623</v>
      </c>
      <c r="C372" s="1093">
        <f>_xlfn.IFERROR(VLOOKUP(B372,'[1]ПО КОРИСНИЦИМА'!$C$3:$J$11609,5,FALSE),"")</f>
      </c>
      <c r="D372" s="1098" t="e">
        <f>SUMIF('[1]ПО КОРИСНИЦИМА'!$G$3:$G$11609,"Свега за пројекат 0901-П23:",'[1]ПО КОРИСНИЦИМА'!$H$3:$H$11609)</f>
        <v>#VALUE!</v>
      </c>
      <c r="E372" s="1099" t="e">
        <f t="shared" si="11"/>
        <v>#VALUE!</v>
      </c>
      <c r="F372" s="1100" t="e">
        <f>SUMIF('[1]ПО КОРИСНИЦИМА'!$G$3:$G$11609,"Свега за пројекат 0901-П23:",'[1]ПО КОРИСНИЦИМА'!$I$3:$I$11609)</f>
        <v>#VALUE!</v>
      </c>
      <c r="G372" s="1121" t="e">
        <f t="shared" si="10"/>
        <v>#VALUE!</v>
      </c>
      <c r="H372" s="1096"/>
    </row>
    <row r="373" spans="1:8" ht="12.75" hidden="1">
      <c r="A373" s="1119"/>
      <c r="B373" s="1108" t="s">
        <v>624</v>
      </c>
      <c r="C373" s="1093">
        <f>_xlfn.IFERROR(VLOOKUP(B373,'[1]ПО КОРИСНИЦИМА'!$C$3:$J$11609,5,FALSE),"")</f>
      </c>
      <c r="D373" s="1098" t="e">
        <f>SUMIF('[1]ПО КОРИСНИЦИМА'!$G$3:$G$11609,"Свега за пројекат 0901-П24:",'[1]ПО КОРИСНИЦИМА'!$H$3:$H$11609)</f>
        <v>#VALUE!</v>
      </c>
      <c r="E373" s="1099" t="e">
        <f t="shared" si="11"/>
        <v>#VALUE!</v>
      </c>
      <c r="F373" s="1100" t="e">
        <f>SUMIF('[1]ПО КОРИСНИЦИМА'!$G$3:$G$11609,"Свега за пројекат 0901-П24:",'[1]ПО КОРИСНИЦИМА'!$I$3:$I$11609)</f>
        <v>#VALUE!</v>
      </c>
      <c r="G373" s="1121" t="e">
        <f t="shared" si="10"/>
        <v>#VALUE!</v>
      </c>
      <c r="H373" s="1096"/>
    </row>
    <row r="374" spans="1:8" ht="12.75" hidden="1">
      <c r="A374" s="1119"/>
      <c r="B374" s="1108" t="s">
        <v>625</v>
      </c>
      <c r="C374" s="1093">
        <f>_xlfn.IFERROR(VLOOKUP(B374,'[1]ПО КОРИСНИЦИМА'!$C$3:$J$11609,5,FALSE),"")</f>
      </c>
      <c r="D374" s="1098" t="e">
        <f>SUMIF('[1]ПО КОРИСНИЦИМА'!$G$3:$G$11609,"Свега за пројекат 0901-П25:",'[1]ПО КОРИСНИЦИМА'!$H$3:$H$11609)</f>
        <v>#VALUE!</v>
      </c>
      <c r="E374" s="1099" t="e">
        <f t="shared" si="11"/>
        <v>#VALUE!</v>
      </c>
      <c r="F374" s="1100" t="e">
        <f>SUMIF('[1]ПО КОРИСНИЦИМА'!$G$3:$G$11609,"Свега за пројекат 0901-П25:",'[1]ПО КОРИСНИЦИМА'!$I$3:$I$11609)</f>
        <v>#VALUE!</v>
      </c>
      <c r="G374" s="1121" t="e">
        <f t="shared" si="10"/>
        <v>#VALUE!</v>
      </c>
      <c r="H374" s="1096"/>
    </row>
    <row r="375" spans="1:8" ht="12.75" hidden="1">
      <c r="A375" s="1119"/>
      <c r="B375" s="1108" t="s">
        <v>626</v>
      </c>
      <c r="C375" s="1093">
        <f>_xlfn.IFERROR(VLOOKUP(B375,'[1]ПО КОРИСНИЦИМА'!$C$3:$J$11609,5,FALSE),"")</f>
      </c>
      <c r="D375" s="1098" t="e">
        <f>SUMIF('[1]ПО КОРИСНИЦИМА'!$G$3:$G$11609,"Свега за пројекат 0901-П26:",'[1]ПО КОРИСНИЦИМА'!$H$3:$H$11609)</f>
        <v>#VALUE!</v>
      </c>
      <c r="E375" s="1099" t="e">
        <f t="shared" si="11"/>
        <v>#VALUE!</v>
      </c>
      <c r="F375" s="1100" t="e">
        <f>SUMIF('[1]ПО КОРИСНИЦИМА'!$G$3:$G$11609,"Свега за пројекат 0901-П26:",'[1]ПО КОРИСНИЦИМА'!$I$3:$I$11609)</f>
        <v>#VALUE!</v>
      </c>
      <c r="G375" s="1121" t="e">
        <f t="shared" si="10"/>
        <v>#VALUE!</v>
      </c>
      <c r="H375" s="1096"/>
    </row>
    <row r="376" spans="1:8" ht="12.75" hidden="1">
      <c r="A376" s="1119"/>
      <c r="B376" s="1108" t="s">
        <v>627</v>
      </c>
      <c r="C376" s="1093">
        <f>_xlfn.IFERROR(VLOOKUP(B376,'[1]ПО КОРИСНИЦИМА'!$C$3:$J$11609,5,FALSE),"")</f>
      </c>
      <c r="D376" s="1098" t="e">
        <f>SUMIF('[1]ПО КОРИСНИЦИМА'!$G$3:$G$11609,"Свега за пројекат 0901-П27:",'[1]ПО КОРИСНИЦИМА'!$H$3:$H$11609)</f>
        <v>#VALUE!</v>
      </c>
      <c r="E376" s="1099" t="e">
        <f t="shared" si="11"/>
        <v>#VALUE!</v>
      </c>
      <c r="F376" s="1100" t="e">
        <f>SUMIF('[1]ПО КОРИСНИЦИМА'!$G$3:$G$11609,"Свега за пројекат 0901-П27:",'[1]ПО КОРИСНИЦИМА'!$I$3:$I$11609)</f>
        <v>#VALUE!</v>
      </c>
      <c r="G376" s="1121" t="e">
        <f t="shared" si="10"/>
        <v>#VALUE!</v>
      </c>
      <c r="H376" s="1096"/>
    </row>
    <row r="377" spans="1:8" ht="12.75" hidden="1">
      <c r="A377" s="1119"/>
      <c r="B377" s="1108" t="s">
        <v>628</v>
      </c>
      <c r="C377" s="1093">
        <f>_xlfn.IFERROR(VLOOKUP(B377,'[1]ПО КОРИСНИЦИМА'!$C$3:$J$11609,5,FALSE),"")</f>
      </c>
      <c r="D377" s="1098" t="e">
        <f>SUMIF('[1]ПО КОРИСНИЦИМА'!$G$3:$G$11609,"Свега за пројекат 0901-П28:",'[1]ПО КОРИСНИЦИМА'!$H$3:$H$11609)</f>
        <v>#VALUE!</v>
      </c>
      <c r="E377" s="1099" t="e">
        <f t="shared" si="11"/>
        <v>#VALUE!</v>
      </c>
      <c r="F377" s="1100" t="e">
        <f>SUMIF('[1]ПО КОРИСНИЦИМА'!$G$3:$G$11609,"Свега за пројекат 0901-П28:",'[1]ПО КОРИСНИЦИМА'!$I$3:$I$11609)</f>
        <v>#VALUE!</v>
      </c>
      <c r="G377" s="1121" t="e">
        <f t="shared" si="10"/>
        <v>#VALUE!</v>
      </c>
      <c r="H377" s="1096"/>
    </row>
    <row r="378" spans="1:8" ht="12.75" hidden="1">
      <c r="A378" s="1119"/>
      <c r="B378" s="1108" t="s">
        <v>629</v>
      </c>
      <c r="C378" s="1093">
        <f>_xlfn.IFERROR(VLOOKUP(B378,'[1]ПО КОРИСНИЦИМА'!$C$3:$J$11609,5,FALSE),"")</f>
      </c>
      <c r="D378" s="1098" t="e">
        <f>SUMIF('[1]ПО КОРИСНИЦИМА'!$G$3:$G$11609,"Свега за пројекат 0901-П29:",'[1]ПО КОРИСНИЦИМА'!$H$3:$H$11609)</f>
        <v>#VALUE!</v>
      </c>
      <c r="E378" s="1099" t="e">
        <f t="shared" si="11"/>
        <v>#VALUE!</v>
      </c>
      <c r="F378" s="1100" t="e">
        <f>SUMIF('[1]ПО КОРИСНИЦИМА'!$G$3:$G$11609,"Свега за пројекат 0901-П29:",'[1]ПО КОРИСНИЦИМА'!$I$3:$I$11609)</f>
        <v>#VALUE!</v>
      </c>
      <c r="G378" s="1121" t="e">
        <f t="shared" si="10"/>
        <v>#VALUE!</v>
      </c>
      <c r="H378" s="1096"/>
    </row>
    <row r="379" spans="1:8" ht="12.75" hidden="1">
      <c r="A379" s="1119"/>
      <c r="B379" s="1108" t="s">
        <v>630</v>
      </c>
      <c r="C379" s="1093">
        <f>_xlfn.IFERROR(VLOOKUP(B379,'[1]ПО КОРИСНИЦИМА'!$C$3:$J$11609,5,FALSE),"")</f>
      </c>
      <c r="D379" s="1098" t="e">
        <f>SUMIF('[1]ПО КОРИСНИЦИМА'!$G$3:$G$11609,"Свега за пројекат 0901-П30:",'[1]ПО КОРИСНИЦИМА'!$H$3:$H$11609)</f>
        <v>#VALUE!</v>
      </c>
      <c r="E379" s="1099" t="e">
        <f t="shared" si="11"/>
        <v>#VALUE!</v>
      </c>
      <c r="F379" s="1100" t="e">
        <f>SUMIF('[1]ПО КОРИСНИЦИМА'!$G$3:$G$11609,"Свега за пројекат 0901-П30:",'[1]ПО КОРИСНИЦИМА'!$I$3:$I$11609)</f>
        <v>#VALUE!</v>
      </c>
      <c r="G379" s="1121" t="e">
        <f t="shared" si="10"/>
        <v>#VALUE!</v>
      </c>
      <c r="H379" s="1096"/>
    </row>
    <row r="380" spans="1:8" s="326" customFormat="1" ht="12.75">
      <c r="A380" s="1087" t="s">
        <v>305</v>
      </c>
      <c r="B380" s="1088"/>
      <c r="C380" s="1089" t="s">
        <v>1242</v>
      </c>
      <c r="D380" s="1090">
        <f>SUM(D381:D390)</f>
        <v>23260897</v>
      </c>
      <c r="E380" s="1091">
        <f t="shared" si="11"/>
        <v>0.05135442083843355</v>
      </c>
      <c r="F380" s="1090">
        <f>SUM(F381:F390)</f>
        <v>0</v>
      </c>
      <c r="G380" s="1090">
        <f t="shared" si="10"/>
        <v>23260897</v>
      </c>
      <c r="H380" s="1107"/>
    </row>
    <row r="381" spans="1:8" ht="24">
      <c r="A381" s="1119"/>
      <c r="B381" s="1108" t="s">
        <v>306</v>
      </c>
      <c r="C381" s="1122" t="s">
        <v>332</v>
      </c>
      <c r="D381" s="1094">
        <f>'Rashodi-2020'!N247</f>
        <v>16100897</v>
      </c>
      <c r="E381" s="1095">
        <f t="shared" si="11"/>
        <v>0.035546876821399974</v>
      </c>
      <c r="F381" s="1094">
        <f>'Rashodi-2020'!U247</f>
        <v>0</v>
      </c>
      <c r="G381" s="1094">
        <f t="shared" si="10"/>
        <v>16100897</v>
      </c>
      <c r="H381" s="1096" t="s">
        <v>1309</v>
      </c>
    </row>
    <row r="382" spans="1:8" ht="12.75">
      <c r="A382" s="1119"/>
      <c r="B382" s="1155" t="s">
        <v>1544</v>
      </c>
      <c r="C382" s="1122" t="s">
        <v>1546</v>
      </c>
      <c r="D382" s="1094">
        <f>'Rashodi-2020'!V259</f>
        <v>6960000</v>
      </c>
      <c r="E382" s="1095">
        <f>D382/452948288</f>
        <v>0.015365992508177887</v>
      </c>
      <c r="F382" s="1094">
        <v>0</v>
      </c>
      <c r="G382" s="1094">
        <f>D382+F382</f>
        <v>6960000</v>
      </c>
      <c r="H382" s="1096" t="s">
        <v>1173</v>
      </c>
    </row>
    <row r="383" spans="1:8" ht="12.75">
      <c r="A383" s="1110"/>
      <c r="B383" s="1110" t="s">
        <v>1243</v>
      </c>
      <c r="C383" s="1093" t="s">
        <v>1244</v>
      </c>
      <c r="D383" s="1098">
        <f>'Rashodi-2020'!N260</f>
        <v>200000</v>
      </c>
      <c r="E383" s="1095">
        <f t="shared" si="11"/>
        <v>0.0004415515088556864</v>
      </c>
      <c r="F383" s="1100">
        <f>'Rashodi-2020'!U260</f>
        <v>0</v>
      </c>
      <c r="G383" s="1094">
        <f t="shared" si="10"/>
        <v>200000</v>
      </c>
      <c r="H383" s="1096" t="s">
        <v>1173</v>
      </c>
    </row>
    <row r="384" spans="1:8" ht="12.75" hidden="1">
      <c r="A384" s="1110"/>
      <c r="B384" s="1110" t="s">
        <v>631</v>
      </c>
      <c r="C384" s="1093">
        <f>_xlfn.IFERROR(VLOOKUP(B384,'[1]ПО КОРИСНИЦИМА'!$C$3:$J$11609,5,FALSE),"")</f>
      </c>
      <c r="D384" s="1098"/>
      <c r="E384" s="1099">
        <f t="shared" si="11"/>
        <v>0</v>
      </c>
      <c r="F384" s="1100"/>
      <c r="G384" s="1094">
        <f t="shared" si="10"/>
        <v>0</v>
      </c>
      <c r="H384" s="1096"/>
    </row>
    <row r="385" spans="1:8" ht="12.75" hidden="1">
      <c r="A385" s="1110"/>
      <c r="B385" s="1110" t="s">
        <v>632</v>
      </c>
      <c r="C385" s="1093">
        <f>_xlfn.IFERROR(VLOOKUP(B385,'[1]ПО КОРИСНИЦИМА'!$C$3:$J$11609,5,FALSE),"")</f>
      </c>
      <c r="D385" s="1098"/>
      <c r="E385" s="1099">
        <f t="shared" si="11"/>
        <v>0</v>
      </c>
      <c r="F385" s="1100"/>
      <c r="G385" s="1094">
        <f t="shared" si="10"/>
        <v>0</v>
      </c>
      <c r="H385" s="1096"/>
    </row>
    <row r="386" spans="1:8" ht="12.75" hidden="1">
      <c r="A386" s="1110"/>
      <c r="B386" s="1110" t="s">
        <v>633</v>
      </c>
      <c r="C386" s="1093">
        <f>_xlfn.IFERROR(VLOOKUP(B386,'[1]ПО КОРИСНИЦИМА'!$C$3:$J$11609,5,FALSE),"")</f>
      </c>
      <c r="D386" s="1098"/>
      <c r="E386" s="1099">
        <f t="shared" si="11"/>
        <v>0</v>
      </c>
      <c r="F386" s="1100"/>
      <c r="G386" s="1094">
        <f t="shared" si="10"/>
        <v>0</v>
      </c>
      <c r="H386" s="1096"/>
    </row>
    <row r="387" spans="1:8" ht="12.75" hidden="1">
      <c r="A387" s="1110"/>
      <c r="B387" s="1110" t="s">
        <v>634</v>
      </c>
      <c r="C387" s="1093">
        <f>_xlfn.IFERROR(VLOOKUP(B387,'[1]ПО КОРИСНИЦИМА'!$C$3:$J$11609,5,FALSE),"")</f>
      </c>
      <c r="D387" s="1098"/>
      <c r="E387" s="1099">
        <f t="shared" si="11"/>
        <v>0</v>
      </c>
      <c r="F387" s="1100"/>
      <c r="G387" s="1094">
        <f t="shared" si="10"/>
        <v>0</v>
      </c>
      <c r="H387" s="1096"/>
    </row>
    <row r="388" spans="1:8" ht="12.75" hidden="1">
      <c r="A388" s="1110"/>
      <c r="B388" s="1110" t="s">
        <v>635</v>
      </c>
      <c r="C388" s="1093">
        <f>_xlfn.IFERROR(VLOOKUP(B388,'[1]ПО КОРИСНИЦИМА'!$C$3:$J$11609,5,FALSE),"")</f>
      </c>
      <c r="D388" s="1098"/>
      <c r="E388" s="1099">
        <f t="shared" si="11"/>
        <v>0</v>
      </c>
      <c r="F388" s="1100"/>
      <c r="G388" s="1094">
        <f t="shared" si="10"/>
        <v>0</v>
      </c>
      <c r="H388" s="1096"/>
    </row>
    <row r="389" spans="1:8" ht="12.75" hidden="1">
      <c r="A389" s="1110"/>
      <c r="B389" s="1110" t="s">
        <v>636</v>
      </c>
      <c r="C389" s="1093">
        <f>_xlfn.IFERROR(VLOOKUP(B389,'[1]ПО КОРИСНИЦИМА'!$C$3:$J$11609,5,FALSE),"")</f>
      </c>
      <c r="D389" s="1098"/>
      <c r="E389" s="1099">
        <f t="shared" si="11"/>
        <v>0</v>
      </c>
      <c r="F389" s="1100"/>
      <c r="G389" s="1094">
        <f t="shared" si="10"/>
        <v>0</v>
      </c>
      <c r="H389" s="1096"/>
    </row>
    <row r="390" spans="1:8" ht="12.75" hidden="1">
      <c r="A390" s="1110"/>
      <c r="B390" s="1110" t="s">
        <v>637</v>
      </c>
      <c r="C390" s="1093">
        <f>_xlfn.IFERROR(VLOOKUP(B390,'[1]ПО КОРИСНИЦИМА'!$C$3:$J$11609,5,FALSE),"")</f>
      </c>
      <c r="D390" s="1098"/>
      <c r="E390" s="1099">
        <f t="shared" si="11"/>
        <v>0</v>
      </c>
      <c r="F390" s="1100"/>
      <c r="G390" s="1094">
        <f aca="true" t="shared" si="12" ref="G390:G453">D390+F390</f>
        <v>0</v>
      </c>
      <c r="H390" s="1096"/>
    </row>
    <row r="391" spans="1:8" ht="12.75" hidden="1">
      <c r="A391" s="1110"/>
      <c r="B391" s="1110" t="s">
        <v>638</v>
      </c>
      <c r="C391" s="1093">
        <f>_xlfn.IFERROR(VLOOKUP(B391,'[1]ПО КОРИСНИЦИМА'!$C$3:$J$11609,5,FALSE),"")</f>
      </c>
      <c r="D391" s="1098"/>
      <c r="E391" s="1099">
        <f aca="true" t="shared" si="13" ref="E391:E454">D391/452948288</f>
        <v>0</v>
      </c>
      <c r="F391" s="1100"/>
      <c r="G391" s="1094">
        <f t="shared" si="12"/>
        <v>0</v>
      </c>
      <c r="H391" s="1096"/>
    </row>
    <row r="392" spans="1:8" ht="12.75" hidden="1">
      <c r="A392" s="1110"/>
      <c r="B392" s="1110" t="s">
        <v>639</v>
      </c>
      <c r="C392" s="1093">
        <f>_xlfn.IFERROR(VLOOKUP(B392,'[1]ПО КОРИСНИЦИМА'!$C$3:$J$11609,5,FALSE),"")</f>
      </c>
      <c r="D392" s="1098"/>
      <c r="E392" s="1099">
        <f t="shared" si="13"/>
        <v>0</v>
      </c>
      <c r="F392" s="1100"/>
      <c r="G392" s="1094">
        <f t="shared" si="12"/>
        <v>0</v>
      </c>
      <c r="H392" s="1096"/>
    </row>
    <row r="393" spans="1:8" ht="12.75" hidden="1">
      <c r="A393" s="1110"/>
      <c r="B393" s="1110" t="s">
        <v>640</v>
      </c>
      <c r="C393" s="1093">
        <f>_xlfn.IFERROR(VLOOKUP(B393,'[1]ПО КОРИСНИЦИМА'!$C$3:$J$11609,5,FALSE),"")</f>
      </c>
      <c r="D393" s="1098"/>
      <c r="E393" s="1099">
        <f t="shared" si="13"/>
        <v>0</v>
      </c>
      <c r="F393" s="1100"/>
      <c r="G393" s="1094">
        <f t="shared" si="12"/>
        <v>0</v>
      </c>
      <c r="H393" s="1096"/>
    </row>
    <row r="394" spans="1:8" ht="12.75" hidden="1">
      <c r="A394" s="1110"/>
      <c r="B394" s="1110" t="s">
        <v>641</v>
      </c>
      <c r="C394" s="1093">
        <f>_xlfn.IFERROR(VLOOKUP(B394,'[1]ПО КОРИСНИЦИМА'!$C$3:$J$11609,5,FALSE),"")</f>
      </c>
      <c r="D394" s="1098"/>
      <c r="E394" s="1099">
        <f t="shared" si="13"/>
        <v>0</v>
      </c>
      <c r="F394" s="1100"/>
      <c r="G394" s="1094">
        <f t="shared" si="12"/>
        <v>0</v>
      </c>
      <c r="H394" s="1096"/>
    </row>
    <row r="395" spans="1:8" ht="12.75" hidden="1">
      <c r="A395" s="1110"/>
      <c r="B395" s="1110" t="s">
        <v>642</v>
      </c>
      <c r="C395" s="1093">
        <f>_xlfn.IFERROR(VLOOKUP(B395,'[1]ПО КОРИСНИЦИМА'!$C$3:$J$11609,5,FALSE),"")</f>
      </c>
      <c r="D395" s="1098"/>
      <c r="E395" s="1099">
        <f t="shared" si="13"/>
        <v>0</v>
      </c>
      <c r="F395" s="1100"/>
      <c r="G395" s="1094">
        <f t="shared" si="12"/>
        <v>0</v>
      </c>
      <c r="H395" s="1096"/>
    </row>
    <row r="396" spans="1:8" ht="12.75" hidden="1">
      <c r="A396" s="1110"/>
      <c r="B396" s="1110" t="s">
        <v>643</v>
      </c>
      <c r="C396" s="1093">
        <f>_xlfn.IFERROR(VLOOKUP(B396,'[1]ПО КОРИСНИЦИМА'!$C$3:$J$11609,5,FALSE),"")</f>
      </c>
      <c r="D396" s="1098"/>
      <c r="E396" s="1099">
        <f t="shared" si="13"/>
        <v>0</v>
      </c>
      <c r="F396" s="1100"/>
      <c r="G396" s="1094">
        <f t="shared" si="12"/>
        <v>0</v>
      </c>
      <c r="H396" s="1096"/>
    </row>
    <row r="397" spans="1:8" ht="12.75" hidden="1">
      <c r="A397" s="1110"/>
      <c r="B397" s="1110" t="s">
        <v>644</v>
      </c>
      <c r="C397" s="1093">
        <f>_xlfn.IFERROR(VLOOKUP(B397,'[1]ПО КОРИСНИЦИМА'!$C$3:$J$11609,5,FALSE),"")</f>
      </c>
      <c r="D397" s="1098"/>
      <c r="E397" s="1099">
        <f t="shared" si="13"/>
        <v>0</v>
      </c>
      <c r="F397" s="1100"/>
      <c r="G397" s="1094">
        <f t="shared" si="12"/>
        <v>0</v>
      </c>
      <c r="H397" s="1096"/>
    </row>
    <row r="398" spans="1:8" ht="12.75" hidden="1">
      <c r="A398" s="1110"/>
      <c r="B398" s="1110" t="s">
        <v>645</v>
      </c>
      <c r="C398" s="1093">
        <f>_xlfn.IFERROR(VLOOKUP(B398,'[1]ПО КОРИСНИЦИМА'!$C$3:$J$11609,5,FALSE),"")</f>
      </c>
      <c r="D398" s="1098"/>
      <c r="E398" s="1099">
        <f t="shared" si="13"/>
        <v>0</v>
      </c>
      <c r="F398" s="1100"/>
      <c r="G398" s="1094">
        <f t="shared" si="12"/>
        <v>0</v>
      </c>
      <c r="H398" s="1096"/>
    </row>
    <row r="399" spans="1:8" ht="12.75" hidden="1">
      <c r="A399" s="1110"/>
      <c r="B399" s="1110" t="s">
        <v>646</v>
      </c>
      <c r="C399" s="1093">
        <f>_xlfn.IFERROR(VLOOKUP(B399,'[1]ПО КОРИСНИЦИМА'!$C$3:$J$11609,5,FALSE),"")</f>
      </c>
      <c r="D399" s="1098"/>
      <c r="E399" s="1099">
        <f t="shared" si="13"/>
        <v>0</v>
      </c>
      <c r="F399" s="1100"/>
      <c r="G399" s="1094">
        <f t="shared" si="12"/>
        <v>0</v>
      </c>
      <c r="H399" s="1096"/>
    </row>
    <row r="400" spans="1:8" ht="12.75" hidden="1">
      <c r="A400" s="1110"/>
      <c r="B400" s="1110" t="s">
        <v>647</v>
      </c>
      <c r="C400" s="1093">
        <f>_xlfn.IFERROR(VLOOKUP(B400,'[1]ПО КОРИСНИЦИМА'!$C$3:$J$11609,5,FALSE),"")</f>
      </c>
      <c r="D400" s="1098"/>
      <c r="E400" s="1099">
        <f t="shared" si="13"/>
        <v>0</v>
      </c>
      <c r="F400" s="1100"/>
      <c r="G400" s="1094">
        <f t="shared" si="12"/>
        <v>0</v>
      </c>
      <c r="H400" s="1096"/>
    </row>
    <row r="401" spans="1:8" ht="12.75" hidden="1">
      <c r="A401" s="1110"/>
      <c r="B401" s="1110" t="s">
        <v>648</v>
      </c>
      <c r="C401" s="1093">
        <f>_xlfn.IFERROR(VLOOKUP(B401,'[1]ПО КОРИСНИЦИМА'!$C$3:$J$11609,5,FALSE),"")</f>
      </c>
      <c r="D401" s="1098"/>
      <c r="E401" s="1099">
        <f t="shared" si="13"/>
        <v>0</v>
      </c>
      <c r="F401" s="1100"/>
      <c r="G401" s="1094">
        <f t="shared" si="12"/>
        <v>0</v>
      </c>
      <c r="H401" s="1096"/>
    </row>
    <row r="402" spans="1:8" ht="12.75" hidden="1">
      <c r="A402" s="1110"/>
      <c r="B402" s="1110" t="s">
        <v>649</v>
      </c>
      <c r="C402" s="1093">
        <f>_xlfn.IFERROR(VLOOKUP(B402,'[1]ПО КОРИСНИЦИМА'!$C$3:$J$11609,5,FALSE),"")</f>
      </c>
      <c r="D402" s="1098"/>
      <c r="E402" s="1099">
        <f t="shared" si="13"/>
        <v>0</v>
      </c>
      <c r="F402" s="1100"/>
      <c r="G402" s="1094">
        <f t="shared" si="12"/>
        <v>0</v>
      </c>
      <c r="H402" s="1096"/>
    </row>
    <row r="403" spans="1:8" ht="12.75" hidden="1">
      <c r="A403" s="1110"/>
      <c r="B403" s="1110" t="s">
        <v>650</v>
      </c>
      <c r="C403" s="1093">
        <f>_xlfn.IFERROR(VLOOKUP(B403,'[1]ПО КОРИСНИЦИМА'!$C$3:$J$11609,5,FALSE),"")</f>
      </c>
      <c r="D403" s="1098"/>
      <c r="E403" s="1099">
        <f t="shared" si="13"/>
        <v>0</v>
      </c>
      <c r="F403" s="1100"/>
      <c r="G403" s="1094">
        <f t="shared" si="12"/>
        <v>0</v>
      </c>
      <c r="H403" s="1096"/>
    </row>
    <row r="404" spans="1:8" ht="12.75" hidden="1">
      <c r="A404" s="1110"/>
      <c r="B404" s="1110" t="s">
        <v>651</v>
      </c>
      <c r="C404" s="1093">
        <f>_xlfn.IFERROR(VLOOKUP(B404,'[1]ПО КОРИСНИЦИМА'!$C$3:$J$11609,5,FALSE),"")</f>
      </c>
      <c r="D404" s="1098"/>
      <c r="E404" s="1099">
        <f t="shared" si="13"/>
        <v>0</v>
      </c>
      <c r="F404" s="1100"/>
      <c r="G404" s="1094">
        <f t="shared" si="12"/>
        <v>0</v>
      </c>
      <c r="H404" s="1096"/>
    </row>
    <row r="405" spans="1:8" ht="12.75" hidden="1">
      <c r="A405" s="1110"/>
      <c r="B405" s="1110" t="s">
        <v>652</v>
      </c>
      <c r="C405" s="1093">
        <f>_xlfn.IFERROR(VLOOKUP(B405,'[1]ПО КОРИСНИЦИМА'!$C$3:$J$11609,5,FALSE),"")</f>
      </c>
      <c r="D405" s="1098"/>
      <c r="E405" s="1099">
        <f t="shared" si="13"/>
        <v>0</v>
      </c>
      <c r="F405" s="1100"/>
      <c r="G405" s="1094">
        <f t="shared" si="12"/>
        <v>0</v>
      </c>
      <c r="H405" s="1096"/>
    </row>
    <row r="406" spans="1:8" ht="12.75" hidden="1">
      <c r="A406" s="1110"/>
      <c r="B406" s="1110" t="s">
        <v>653</v>
      </c>
      <c r="C406" s="1093">
        <f>_xlfn.IFERROR(VLOOKUP(B406,'[1]ПО КОРИСНИЦИМА'!$C$3:$J$11609,5,FALSE),"")</f>
      </c>
      <c r="D406" s="1098"/>
      <c r="E406" s="1099">
        <f t="shared" si="13"/>
        <v>0</v>
      </c>
      <c r="F406" s="1100"/>
      <c r="G406" s="1094">
        <f t="shared" si="12"/>
        <v>0</v>
      </c>
      <c r="H406" s="1096"/>
    </row>
    <row r="407" spans="1:8" ht="12.75" hidden="1">
      <c r="A407" s="1110"/>
      <c r="B407" s="1110" t="s">
        <v>654</v>
      </c>
      <c r="C407" s="1093">
        <f>_xlfn.IFERROR(VLOOKUP(B407,'[1]ПО КОРИСНИЦИМА'!$C$3:$J$11609,5,FALSE),"")</f>
      </c>
      <c r="D407" s="1098"/>
      <c r="E407" s="1099">
        <f t="shared" si="13"/>
        <v>0</v>
      </c>
      <c r="F407" s="1100"/>
      <c r="G407" s="1094">
        <f t="shared" si="12"/>
        <v>0</v>
      </c>
      <c r="H407" s="1096"/>
    </row>
    <row r="408" spans="1:8" ht="12.75" hidden="1">
      <c r="A408" s="1110"/>
      <c r="B408" s="1110" t="s">
        <v>655</v>
      </c>
      <c r="C408" s="1093">
        <f>_xlfn.IFERROR(VLOOKUP(B408,'[1]ПО КОРИСНИЦИМА'!$C$3:$J$11609,5,FALSE),"")</f>
      </c>
      <c r="D408" s="1098"/>
      <c r="E408" s="1099">
        <f t="shared" si="13"/>
        <v>0</v>
      </c>
      <c r="F408" s="1100"/>
      <c r="G408" s="1094">
        <f t="shared" si="12"/>
        <v>0</v>
      </c>
      <c r="H408" s="1096"/>
    </row>
    <row r="409" spans="1:8" ht="12.75" hidden="1">
      <c r="A409" s="1110"/>
      <c r="B409" s="1110" t="s">
        <v>656</v>
      </c>
      <c r="C409" s="1093">
        <f>_xlfn.IFERROR(VLOOKUP(B409,'[1]ПО КОРИСНИЦИМА'!$C$3:$J$11609,5,FALSE),"")</f>
      </c>
      <c r="D409" s="1098"/>
      <c r="E409" s="1099">
        <f t="shared" si="13"/>
        <v>0</v>
      </c>
      <c r="F409" s="1100"/>
      <c r="G409" s="1094">
        <f t="shared" si="12"/>
        <v>0</v>
      </c>
      <c r="H409" s="1096"/>
    </row>
    <row r="410" spans="1:8" ht="12.75" hidden="1">
      <c r="A410" s="1110"/>
      <c r="B410" s="1110" t="s">
        <v>657</v>
      </c>
      <c r="C410" s="1093">
        <f>_xlfn.IFERROR(VLOOKUP(B410,'[1]ПО КОРИСНИЦИМА'!$C$3:$J$11609,5,FALSE),"")</f>
      </c>
      <c r="D410" s="1098"/>
      <c r="E410" s="1099">
        <f t="shared" si="13"/>
        <v>0</v>
      </c>
      <c r="F410" s="1100"/>
      <c r="G410" s="1094">
        <f t="shared" si="12"/>
        <v>0</v>
      </c>
      <c r="H410" s="1096"/>
    </row>
    <row r="411" spans="1:8" ht="12.75" hidden="1">
      <c r="A411" s="1110"/>
      <c r="B411" s="1110" t="s">
        <v>658</v>
      </c>
      <c r="C411" s="1093">
        <f>_xlfn.IFERROR(VLOOKUP(B411,'[1]ПО КОРИСНИЦИМА'!$C$3:$J$11609,5,FALSE),"")</f>
      </c>
      <c r="D411" s="1098"/>
      <c r="E411" s="1099">
        <f t="shared" si="13"/>
        <v>0</v>
      </c>
      <c r="F411" s="1100"/>
      <c r="G411" s="1094">
        <f t="shared" si="12"/>
        <v>0</v>
      </c>
      <c r="H411" s="1096"/>
    </row>
    <row r="412" spans="1:8" ht="12.75" hidden="1">
      <c r="A412" s="1110"/>
      <c r="B412" s="1110" t="s">
        <v>659</v>
      </c>
      <c r="C412" s="1093">
        <f>_xlfn.IFERROR(VLOOKUP(B412,'[1]ПО КОРИСНИЦИМА'!$C$3:$J$11609,5,FALSE),"")</f>
      </c>
      <c r="D412" s="1098"/>
      <c r="E412" s="1099">
        <f t="shared" si="13"/>
        <v>0</v>
      </c>
      <c r="F412" s="1100"/>
      <c r="G412" s="1094">
        <f t="shared" si="12"/>
        <v>0</v>
      </c>
      <c r="H412" s="1096"/>
    </row>
    <row r="413" spans="1:8" s="326" customFormat="1" ht="12.75" hidden="1">
      <c r="A413" s="1087" t="s">
        <v>300</v>
      </c>
      <c r="B413" s="1088"/>
      <c r="C413" s="1089" t="s">
        <v>8</v>
      </c>
      <c r="D413" s="1090"/>
      <c r="E413" s="1099">
        <f t="shared" si="13"/>
        <v>0</v>
      </c>
      <c r="F413" s="1106"/>
      <c r="G413" s="1090">
        <f t="shared" si="12"/>
        <v>0</v>
      </c>
      <c r="H413" s="1107"/>
    </row>
    <row r="414" spans="1:8" ht="12.75" hidden="1">
      <c r="A414" s="1119"/>
      <c r="B414" s="1123"/>
      <c r="C414" s="1101"/>
      <c r="D414" s="1094"/>
      <c r="E414" s="1099">
        <f t="shared" si="13"/>
        <v>0</v>
      </c>
      <c r="F414" s="1094"/>
      <c r="G414" s="1094">
        <f t="shared" si="12"/>
        <v>0</v>
      </c>
      <c r="H414" s="1096"/>
    </row>
    <row r="415" spans="1:8" ht="12.75" hidden="1">
      <c r="A415" s="1119"/>
      <c r="B415" s="1123"/>
      <c r="C415" s="1120"/>
      <c r="D415" s="1094"/>
      <c r="E415" s="1099">
        <f t="shared" si="13"/>
        <v>0</v>
      </c>
      <c r="F415" s="1094"/>
      <c r="G415" s="1094">
        <f t="shared" si="12"/>
        <v>0</v>
      </c>
      <c r="H415" s="1096"/>
    </row>
    <row r="416" spans="1:8" ht="25.5" customHeight="1" hidden="1">
      <c r="A416" s="1119"/>
      <c r="B416" s="1123"/>
      <c r="C416" s="1102"/>
      <c r="D416" s="1124"/>
      <c r="E416" s="1099">
        <f t="shared" si="13"/>
        <v>0</v>
      </c>
      <c r="F416" s="1094"/>
      <c r="G416" s="1094">
        <f t="shared" si="12"/>
        <v>0</v>
      </c>
      <c r="H416" s="1096"/>
    </row>
    <row r="417" spans="1:8" s="326" customFormat="1" ht="12.75">
      <c r="A417" s="1087" t="s">
        <v>300</v>
      </c>
      <c r="B417" s="1088"/>
      <c r="C417" s="1089" t="s">
        <v>1288</v>
      </c>
      <c r="D417" s="1090">
        <f>SUM(D418:D421)</f>
        <v>29673935</v>
      </c>
      <c r="E417" s="1091">
        <f t="shared" si="13"/>
        <v>0.06551285386467781</v>
      </c>
      <c r="F417" s="1090">
        <f>SUM(F418:F421)</f>
        <v>1411590</v>
      </c>
      <c r="G417" s="1090">
        <f t="shared" si="12"/>
        <v>31085525</v>
      </c>
      <c r="H417" s="1107"/>
    </row>
    <row r="418" spans="1:8" s="296" customFormat="1" ht="12.75">
      <c r="A418" s="1125"/>
      <c r="B418" s="1125" t="s">
        <v>301</v>
      </c>
      <c r="C418" s="1109" t="s">
        <v>1296</v>
      </c>
      <c r="D418" s="1121">
        <f>'Rashodi-2020'!N393</f>
        <v>12177935</v>
      </c>
      <c r="E418" s="1095">
        <f t="shared" si="13"/>
        <v>0.026885927869982368</v>
      </c>
      <c r="F418" s="1121">
        <f>'Rashodi-2020'!U393</f>
        <v>912590</v>
      </c>
      <c r="G418" s="1121">
        <f t="shared" si="12"/>
        <v>13090525</v>
      </c>
      <c r="H418" s="1114" t="s">
        <v>1175</v>
      </c>
    </row>
    <row r="419" spans="1:8" ht="12.75">
      <c r="A419" s="1119"/>
      <c r="B419" s="1110" t="s">
        <v>316</v>
      </c>
      <c r="C419" s="1126" t="s">
        <v>1289</v>
      </c>
      <c r="D419" s="1094">
        <f>'Rashodi-2020'!N134+'Rashodi-2020'!N410</f>
        <v>13096000</v>
      </c>
      <c r="E419" s="1095">
        <f t="shared" si="13"/>
        <v>0.028912792799870347</v>
      </c>
      <c r="F419" s="1094">
        <f>'Rashodi-2020'!U134+'Rashodi-2020'!U410</f>
        <v>474000</v>
      </c>
      <c r="G419" s="1121">
        <f t="shared" si="12"/>
        <v>13570000</v>
      </c>
      <c r="H419" s="1096" t="s">
        <v>1174</v>
      </c>
    </row>
    <row r="420" spans="1:8" ht="24">
      <c r="A420" s="1119"/>
      <c r="B420" s="1110" t="s">
        <v>1235</v>
      </c>
      <c r="C420" s="1102" t="s">
        <v>1310</v>
      </c>
      <c r="D420" s="1103">
        <f>'Rashodi-2020'!N139</f>
        <v>4400000</v>
      </c>
      <c r="E420" s="1095">
        <f t="shared" si="13"/>
        <v>0.0097141331948251</v>
      </c>
      <c r="F420" s="1094">
        <f>'Rashodi-2020'!U139</f>
        <v>0</v>
      </c>
      <c r="G420" s="1121">
        <f t="shared" si="12"/>
        <v>4400000</v>
      </c>
      <c r="H420" s="1096" t="s">
        <v>1173</v>
      </c>
    </row>
    <row r="421" spans="1:8" ht="12.75">
      <c r="A421" s="1110"/>
      <c r="B421" s="1110" t="s">
        <v>663</v>
      </c>
      <c r="C421" s="1093" t="s">
        <v>1553</v>
      </c>
      <c r="D421" s="1098">
        <f>'Rashodi-2020'!N415</f>
        <v>0</v>
      </c>
      <c r="E421" s="1095">
        <f t="shared" si="13"/>
        <v>0</v>
      </c>
      <c r="F421" s="1100">
        <f>'Rashodi-2020'!U415</f>
        <v>25000</v>
      </c>
      <c r="G421" s="1094">
        <f t="shared" si="12"/>
        <v>25000</v>
      </c>
      <c r="H421" s="1096" t="s">
        <v>1175</v>
      </c>
    </row>
    <row r="422" spans="1:8" ht="12.75" hidden="1">
      <c r="A422" s="1110"/>
      <c r="B422" s="1110" t="s">
        <v>660</v>
      </c>
      <c r="C422" s="1093">
        <f>_xlfn.IFERROR(VLOOKUP(B422,'[1]ПО КОРИСНИЦИМА'!$C$3:$J$11609,5,FALSE),"")</f>
      </c>
      <c r="D422" s="1098"/>
      <c r="E422" s="1099">
        <f t="shared" si="13"/>
        <v>0</v>
      </c>
      <c r="F422" s="1100"/>
      <c r="G422" s="1094">
        <f t="shared" si="12"/>
        <v>0</v>
      </c>
      <c r="H422" s="1096"/>
    </row>
    <row r="423" spans="1:8" ht="12.75" hidden="1">
      <c r="A423" s="1110"/>
      <c r="B423" s="1110" t="s">
        <v>661</v>
      </c>
      <c r="C423" s="1093">
        <f>_xlfn.IFERROR(VLOOKUP(B423,'[1]ПО КОРИСНИЦИМА'!$C$3:$J$11609,5,FALSE),"")</f>
      </c>
      <c r="D423" s="1098"/>
      <c r="E423" s="1099">
        <f t="shared" si="13"/>
        <v>0</v>
      </c>
      <c r="F423" s="1100"/>
      <c r="G423" s="1094">
        <f t="shared" si="12"/>
        <v>0</v>
      </c>
      <c r="H423" s="1096"/>
    </row>
    <row r="424" spans="1:8" ht="12.75" hidden="1">
      <c r="A424" s="1110"/>
      <c r="B424" s="1110" t="s">
        <v>662</v>
      </c>
      <c r="C424" s="1093">
        <f>_xlfn.IFERROR(VLOOKUP(B424,'[1]ПО КОРИСНИЦИМА'!$C$3:$J$11609,5,FALSE),"")</f>
      </c>
      <c r="D424" s="1098"/>
      <c r="E424" s="1099">
        <f t="shared" si="13"/>
        <v>0</v>
      </c>
      <c r="F424" s="1100"/>
      <c r="G424" s="1094">
        <f t="shared" si="12"/>
        <v>0</v>
      </c>
      <c r="H424" s="1096"/>
    </row>
    <row r="425" spans="1:8" ht="12.75" hidden="1">
      <c r="A425" s="1110"/>
      <c r="B425" s="1110" t="s">
        <v>663</v>
      </c>
      <c r="C425" s="1093">
        <f>_xlfn.IFERROR(VLOOKUP(B425,'[1]ПО КОРИСНИЦИМА'!$C$3:$J$11609,5,FALSE),"")</f>
      </c>
      <c r="D425" s="1098"/>
      <c r="E425" s="1099">
        <f t="shared" si="13"/>
        <v>0</v>
      </c>
      <c r="F425" s="1100"/>
      <c r="G425" s="1094">
        <f t="shared" si="12"/>
        <v>0</v>
      </c>
      <c r="H425" s="1096"/>
    </row>
    <row r="426" spans="1:8" ht="12.75" hidden="1">
      <c r="A426" s="1110"/>
      <c r="B426" s="1110" t="s">
        <v>664</v>
      </c>
      <c r="C426" s="1093">
        <f>_xlfn.IFERROR(VLOOKUP(B426,'[1]ПО КОРИСНИЦИМА'!$C$3:$J$11609,5,FALSE),"")</f>
      </c>
      <c r="D426" s="1098"/>
      <c r="E426" s="1099">
        <f t="shared" si="13"/>
        <v>0</v>
      </c>
      <c r="F426" s="1100"/>
      <c r="G426" s="1094">
        <f t="shared" si="12"/>
        <v>0</v>
      </c>
      <c r="H426" s="1096"/>
    </row>
    <row r="427" spans="1:8" ht="12.75" hidden="1">
      <c r="A427" s="1110"/>
      <c r="B427" s="1110" t="s">
        <v>665</v>
      </c>
      <c r="C427" s="1093">
        <f>_xlfn.IFERROR(VLOOKUP(B427,'[1]ПО КОРИСНИЦИМА'!$C$3:$J$11609,5,FALSE),"")</f>
      </c>
      <c r="D427" s="1098"/>
      <c r="E427" s="1099">
        <f t="shared" si="13"/>
        <v>0</v>
      </c>
      <c r="F427" s="1100"/>
      <c r="G427" s="1094">
        <f t="shared" si="12"/>
        <v>0</v>
      </c>
      <c r="H427" s="1096"/>
    </row>
    <row r="428" spans="1:8" ht="12.75" hidden="1">
      <c r="A428" s="1110"/>
      <c r="B428" s="1110" t="s">
        <v>666</v>
      </c>
      <c r="C428" s="1093">
        <f>_xlfn.IFERROR(VLOOKUP(B428,'[1]ПО КОРИСНИЦИМА'!$C$3:$J$11609,5,FALSE),"")</f>
      </c>
      <c r="D428" s="1098"/>
      <c r="E428" s="1099">
        <f t="shared" si="13"/>
        <v>0</v>
      </c>
      <c r="F428" s="1100"/>
      <c r="G428" s="1094">
        <f t="shared" si="12"/>
        <v>0</v>
      </c>
      <c r="H428" s="1096"/>
    </row>
    <row r="429" spans="1:8" ht="12.75" hidden="1">
      <c r="A429" s="1110"/>
      <c r="B429" s="1110" t="s">
        <v>667</v>
      </c>
      <c r="C429" s="1093">
        <f>_xlfn.IFERROR(VLOOKUP(B429,'[1]ПО КОРИСНИЦИМА'!$C$3:$J$11609,5,FALSE),"")</f>
      </c>
      <c r="D429" s="1098"/>
      <c r="E429" s="1099">
        <f t="shared" si="13"/>
        <v>0</v>
      </c>
      <c r="F429" s="1100"/>
      <c r="G429" s="1094">
        <f t="shared" si="12"/>
        <v>0</v>
      </c>
      <c r="H429" s="1096"/>
    </row>
    <row r="430" spans="1:8" ht="12.75" hidden="1">
      <c r="A430" s="1110"/>
      <c r="B430" s="1110" t="s">
        <v>668</v>
      </c>
      <c r="C430" s="1093">
        <f>_xlfn.IFERROR(VLOOKUP(B430,'[1]ПО КОРИСНИЦИМА'!$C$3:$J$11609,5,FALSE),"")</f>
      </c>
      <c r="D430" s="1098"/>
      <c r="E430" s="1099">
        <f t="shared" si="13"/>
        <v>0</v>
      </c>
      <c r="F430" s="1100"/>
      <c r="G430" s="1094">
        <f t="shared" si="12"/>
        <v>0</v>
      </c>
      <c r="H430" s="1096"/>
    </row>
    <row r="431" spans="1:8" ht="12.75" hidden="1">
      <c r="A431" s="1110"/>
      <c r="B431" s="1110" t="s">
        <v>669</v>
      </c>
      <c r="C431" s="1093">
        <f>_xlfn.IFERROR(VLOOKUP(B431,'[1]ПО КОРИСНИЦИМА'!$C$3:$J$11609,5,FALSE),"")</f>
      </c>
      <c r="D431" s="1098"/>
      <c r="E431" s="1099">
        <f t="shared" si="13"/>
        <v>0</v>
      </c>
      <c r="F431" s="1100"/>
      <c r="G431" s="1094">
        <f t="shared" si="12"/>
        <v>0</v>
      </c>
      <c r="H431" s="1096"/>
    </row>
    <row r="432" spans="1:8" ht="12.75" hidden="1">
      <c r="A432" s="1110"/>
      <c r="B432" s="1110" t="s">
        <v>670</v>
      </c>
      <c r="C432" s="1093">
        <f>_xlfn.IFERROR(VLOOKUP(B432,'[1]ПО КОРИСНИЦИМА'!$C$3:$J$11609,5,FALSE),"")</f>
      </c>
      <c r="D432" s="1098"/>
      <c r="E432" s="1099">
        <f t="shared" si="13"/>
        <v>0</v>
      </c>
      <c r="F432" s="1100"/>
      <c r="G432" s="1094">
        <f t="shared" si="12"/>
        <v>0</v>
      </c>
      <c r="H432" s="1096"/>
    </row>
    <row r="433" spans="1:8" ht="12.75" hidden="1">
      <c r="A433" s="1110"/>
      <c r="B433" s="1110" t="s">
        <v>671</v>
      </c>
      <c r="C433" s="1093">
        <f>_xlfn.IFERROR(VLOOKUP(B433,'[1]ПО КОРИСНИЦИМА'!$C$3:$J$11609,5,FALSE),"")</f>
      </c>
      <c r="D433" s="1098"/>
      <c r="E433" s="1099">
        <f t="shared" si="13"/>
        <v>0</v>
      </c>
      <c r="F433" s="1100"/>
      <c r="G433" s="1094">
        <f t="shared" si="12"/>
        <v>0</v>
      </c>
      <c r="H433" s="1096"/>
    </row>
    <row r="434" spans="1:8" ht="12.75" hidden="1">
      <c r="A434" s="1110"/>
      <c r="B434" s="1110" t="s">
        <v>672</v>
      </c>
      <c r="C434" s="1093">
        <f>_xlfn.IFERROR(VLOOKUP(B434,'[1]ПО КОРИСНИЦИМА'!$C$3:$J$11609,5,FALSE),"")</f>
      </c>
      <c r="D434" s="1098"/>
      <c r="E434" s="1099">
        <f t="shared" si="13"/>
        <v>0</v>
      </c>
      <c r="F434" s="1100"/>
      <c r="G434" s="1094">
        <f t="shared" si="12"/>
        <v>0</v>
      </c>
      <c r="H434" s="1096"/>
    </row>
    <row r="435" spans="1:8" ht="12.75" hidden="1">
      <c r="A435" s="1110"/>
      <c r="B435" s="1110" t="s">
        <v>673</v>
      </c>
      <c r="C435" s="1093">
        <f>_xlfn.IFERROR(VLOOKUP(B435,'[1]ПО КОРИСНИЦИМА'!$C$3:$J$11609,5,FALSE),"")</f>
      </c>
      <c r="D435" s="1098"/>
      <c r="E435" s="1099">
        <f t="shared" si="13"/>
        <v>0</v>
      </c>
      <c r="F435" s="1100"/>
      <c r="G435" s="1094">
        <f t="shared" si="12"/>
        <v>0</v>
      </c>
      <c r="H435" s="1096"/>
    </row>
    <row r="436" spans="1:8" ht="12.75" hidden="1">
      <c r="A436" s="1110"/>
      <c r="B436" s="1110" t="s">
        <v>674</v>
      </c>
      <c r="C436" s="1093">
        <f>_xlfn.IFERROR(VLOOKUP(B436,'[1]ПО КОРИСНИЦИМА'!$C$3:$J$11609,5,FALSE),"")</f>
      </c>
      <c r="D436" s="1098"/>
      <c r="E436" s="1099">
        <f t="shared" si="13"/>
        <v>0</v>
      </c>
      <c r="F436" s="1100"/>
      <c r="G436" s="1094">
        <f t="shared" si="12"/>
        <v>0</v>
      </c>
      <c r="H436" s="1096"/>
    </row>
    <row r="437" spans="1:8" ht="12.75" hidden="1">
      <c r="A437" s="1110"/>
      <c r="B437" s="1110" t="s">
        <v>675</v>
      </c>
      <c r="C437" s="1093">
        <f>_xlfn.IFERROR(VLOOKUP(B437,'[1]ПО КОРИСНИЦИМА'!$C$3:$J$11609,5,FALSE),"")</f>
      </c>
      <c r="D437" s="1098"/>
      <c r="E437" s="1099">
        <f t="shared" si="13"/>
        <v>0</v>
      </c>
      <c r="F437" s="1100"/>
      <c r="G437" s="1094">
        <f t="shared" si="12"/>
        <v>0</v>
      </c>
      <c r="H437" s="1096"/>
    </row>
    <row r="438" spans="1:8" ht="12.75" hidden="1">
      <c r="A438" s="1110"/>
      <c r="B438" s="1110" t="s">
        <v>676</v>
      </c>
      <c r="C438" s="1093">
        <f>_xlfn.IFERROR(VLOOKUP(B438,'[1]ПО КОРИСНИЦИМА'!$C$3:$J$11609,5,FALSE),"")</f>
      </c>
      <c r="D438" s="1098"/>
      <c r="E438" s="1099">
        <f t="shared" si="13"/>
        <v>0</v>
      </c>
      <c r="F438" s="1100"/>
      <c r="G438" s="1094">
        <f t="shared" si="12"/>
        <v>0</v>
      </c>
      <c r="H438" s="1096"/>
    </row>
    <row r="439" spans="1:8" ht="12.75" hidden="1">
      <c r="A439" s="1110"/>
      <c r="B439" s="1110" t="s">
        <v>677</v>
      </c>
      <c r="C439" s="1093">
        <f>_xlfn.IFERROR(VLOOKUP(B439,'[1]ПО КОРИСНИЦИМА'!$C$3:$J$11609,5,FALSE),"")</f>
      </c>
      <c r="D439" s="1098"/>
      <c r="E439" s="1099">
        <f t="shared" si="13"/>
        <v>0</v>
      </c>
      <c r="F439" s="1100"/>
      <c r="G439" s="1094">
        <f t="shared" si="12"/>
        <v>0</v>
      </c>
      <c r="H439" s="1096"/>
    </row>
    <row r="440" spans="1:8" ht="12.75" hidden="1">
      <c r="A440" s="1110"/>
      <c r="B440" s="1110" t="s">
        <v>678</v>
      </c>
      <c r="C440" s="1093">
        <f>_xlfn.IFERROR(VLOOKUP(B440,'[1]ПО КОРИСНИЦИМА'!$C$3:$J$11609,5,FALSE),"")</f>
      </c>
      <c r="D440" s="1098"/>
      <c r="E440" s="1099">
        <f t="shared" si="13"/>
        <v>0</v>
      </c>
      <c r="F440" s="1100"/>
      <c r="G440" s="1094">
        <f t="shared" si="12"/>
        <v>0</v>
      </c>
      <c r="H440" s="1096"/>
    </row>
    <row r="441" spans="1:8" ht="12.75" hidden="1">
      <c r="A441" s="1110"/>
      <c r="B441" s="1110" t="s">
        <v>679</v>
      </c>
      <c r="C441" s="1093">
        <f>_xlfn.IFERROR(VLOOKUP(B441,'[1]ПО КОРИСНИЦИМА'!$C$3:$J$11609,5,FALSE),"")</f>
      </c>
      <c r="D441" s="1098"/>
      <c r="E441" s="1099">
        <f t="shared" si="13"/>
        <v>0</v>
      </c>
      <c r="F441" s="1100"/>
      <c r="G441" s="1094">
        <f t="shared" si="12"/>
        <v>0</v>
      </c>
      <c r="H441" s="1096"/>
    </row>
    <row r="442" spans="1:8" ht="12.75" hidden="1">
      <c r="A442" s="1110"/>
      <c r="B442" s="1110" t="s">
        <v>680</v>
      </c>
      <c r="C442" s="1093">
        <f>_xlfn.IFERROR(VLOOKUP(B442,'[1]ПО КОРИСНИЦИМА'!$C$3:$J$11609,5,FALSE),"")</f>
      </c>
      <c r="D442" s="1098"/>
      <c r="E442" s="1099">
        <f t="shared" si="13"/>
        <v>0</v>
      </c>
      <c r="F442" s="1100"/>
      <c r="G442" s="1094">
        <f t="shared" si="12"/>
        <v>0</v>
      </c>
      <c r="H442" s="1096"/>
    </row>
    <row r="443" spans="1:8" ht="12.75" hidden="1">
      <c r="A443" s="1110"/>
      <c r="B443" s="1110" t="s">
        <v>681</v>
      </c>
      <c r="C443" s="1093">
        <f>_xlfn.IFERROR(VLOOKUP(B443,'[1]ПО КОРИСНИЦИМА'!$C$3:$J$11609,5,FALSE),"")</f>
      </c>
      <c r="D443" s="1098"/>
      <c r="E443" s="1099">
        <f t="shared" si="13"/>
        <v>0</v>
      </c>
      <c r="F443" s="1100"/>
      <c r="G443" s="1094">
        <f t="shared" si="12"/>
        <v>0</v>
      </c>
      <c r="H443" s="1096"/>
    </row>
    <row r="444" spans="1:8" ht="12.75" hidden="1">
      <c r="A444" s="1110"/>
      <c r="B444" s="1110" t="s">
        <v>682</v>
      </c>
      <c r="C444" s="1093">
        <f>_xlfn.IFERROR(VLOOKUP(B444,'[1]ПО КОРИСНИЦИМА'!$C$3:$J$11609,5,FALSE),"")</f>
      </c>
      <c r="D444" s="1098" t="e">
        <f>SUMIF('[1]ПО КОРИСНИЦИМА'!$G$3:$G$11609,"Свега за пројекат 1201-П25:",'[1]ПО КОРИСНИЦИМА'!$H$3:$H$11609)</f>
        <v>#VALUE!</v>
      </c>
      <c r="E444" s="1099" t="e">
        <f t="shared" si="13"/>
        <v>#VALUE!</v>
      </c>
      <c r="F444" s="1100" t="e">
        <f>SUMIF('[1]ПО КОРИСНИЦИМА'!$G$3:$G$11609,"Свега за пројекат 1201-П25:",'[1]ПО КОРИСНИЦИМА'!$I$3:$I$11609)</f>
        <v>#VALUE!</v>
      </c>
      <c r="G444" s="1094" t="e">
        <f t="shared" si="12"/>
        <v>#VALUE!</v>
      </c>
      <c r="H444" s="1096"/>
    </row>
    <row r="445" spans="1:8" ht="12.75" hidden="1">
      <c r="A445" s="1110"/>
      <c r="B445" s="1110" t="s">
        <v>683</v>
      </c>
      <c r="C445" s="1093">
        <f>_xlfn.IFERROR(VLOOKUP(B445,'[1]ПО КОРИСНИЦИМА'!$C$3:$J$11609,5,FALSE),"")</f>
      </c>
      <c r="D445" s="1098" t="e">
        <f>SUMIF('[1]ПО КОРИСНИЦИМА'!$G$3:$G$11609,"Свега за пројекат 1201-П26:",'[1]ПО КОРИСНИЦИМА'!$H$3:$H$11609)</f>
        <v>#VALUE!</v>
      </c>
      <c r="E445" s="1099" t="e">
        <f t="shared" si="13"/>
        <v>#VALUE!</v>
      </c>
      <c r="F445" s="1100" t="e">
        <f>SUMIF('[1]ПО КОРИСНИЦИМА'!$G$3:$G$11609,"Свега за пројекат 1201-П26:",'[1]ПО КОРИСНИЦИМА'!$I$3:$I$11609)</f>
        <v>#VALUE!</v>
      </c>
      <c r="G445" s="1094" t="e">
        <f t="shared" si="12"/>
        <v>#VALUE!</v>
      </c>
      <c r="H445" s="1096"/>
    </row>
    <row r="446" spans="1:8" ht="12.75" hidden="1">
      <c r="A446" s="1110"/>
      <c r="B446" s="1110" t="s">
        <v>684</v>
      </c>
      <c r="C446" s="1093">
        <f>_xlfn.IFERROR(VLOOKUP(B446,'[1]ПО КОРИСНИЦИМА'!$C$3:$J$11609,5,FALSE),"")</f>
      </c>
      <c r="D446" s="1098" t="e">
        <f>SUMIF('[1]ПО КОРИСНИЦИМА'!$G$3:$G$11609,"Свега за пројекат 1201-П27:",'[1]ПО КОРИСНИЦИМА'!$H$3:$H$11609)</f>
        <v>#VALUE!</v>
      </c>
      <c r="E446" s="1099" t="e">
        <f t="shared" si="13"/>
        <v>#VALUE!</v>
      </c>
      <c r="F446" s="1100" t="e">
        <f>SUMIF('[1]ПО КОРИСНИЦИМА'!$G$3:$G$11609,"Свега за пројекат 1201-П27:",'[1]ПО КОРИСНИЦИМА'!$I$3:$I$11609)</f>
        <v>#VALUE!</v>
      </c>
      <c r="G446" s="1094" t="e">
        <f t="shared" si="12"/>
        <v>#VALUE!</v>
      </c>
      <c r="H446" s="1096"/>
    </row>
    <row r="447" spans="1:8" ht="12.75" hidden="1">
      <c r="A447" s="1110"/>
      <c r="B447" s="1110" t="s">
        <v>685</v>
      </c>
      <c r="C447" s="1093">
        <f>_xlfn.IFERROR(VLOOKUP(B447,'[1]ПО КОРИСНИЦИМА'!$C$3:$J$11609,5,FALSE),"")</f>
      </c>
      <c r="D447" s="1098" t="e">
        <f>SUMIF('[1]ПО КОРИСНИЦИМА'!$G$3:$G$11609,"Свега за пројекат 1201-П28:",'[1]ПО КОРИСНИЦИМА'!$H$3:$H$11609)</f>
        <v>#VALUE!</v>
      </c>
      <c r="E447" s="1099" t="e">
        <f t="shared" si="13"/>
        <v>#VALUE!</v>
      </c>
      <c r="F447" s="1100" t="e">
        <f>SUMIF('[1]ПО КОРИСНИЦИМА'!$G$3:$G$11609,"Свега за пројекат 1201-П28:",'[1]ПО КОРИСНИЦИМА'!$I$3:$I$11609)</f>
        <v>#VALUE!</v>
      </c>
      <c r="G447" s="1094" t="e">
        <f t="shared" si="12"/>
        <v>#VALUE!</v>
      </c>
      <c r="H447" s="1096"/>
    </row>
    <row r="448" spans="1:8" ht="12.75" hidden="1">
      <c r="A448" s="1110"/>
      <c r="B448" s="1110" t="s">
        <v>686</v>
      </c>
      <c r="C448" s="1093">
        <f>_xlfn.IFERROR(VLOOKUP(B448,'[1]ПО КОРИСНИЦИМА'!$C$3:$J$11609,5,FALSE),"")</f>
      </c>
      <c r="D448" s="1098" t="e">
        <f>SUMIF('[1]ПО КОРИСНИЦИМА'!$G$3:$G$11609,"Свега за пројекат 1201-П29:",'[1]ПО КОРИСНИЦИМА'!$H$3:$H$11609)</f>
        <v>#VALUE!</v>
      </c>
      <c r="E448" s="1099" t="e">
        <f t="shared" si="13"/>
        <v>#VALUE!</v>
      </c>
      <c r="F448" s="1100" t="e">
        <f>SUMIF('[1]ПО КОРИСНИЦИМА'!$G$3:$G$11609,"Свега за пројекат 1201-П29:",'[1]ПО КОРИСНИЦИМА'!$I$3:$I$11609)</f>
        <v>#VALUE!</v>
      </c>
      <c r="G448" s="1094" t="e">
        <f t="shared" si="12"/>
        <v>#VALUE!</v>
      </c>
      <c r="H448" s="1096"/>
    </row>
    <row r="449" spans="1:8" ht="12.75" hidden="1">
      <c r="A449" s="1110"/>
      <c r="B449" s="1110" t="s">
        <v>687</v>
      </c>
      <c r="C449" s="1093">
        <f>_xlfn.IFERROR(VLOOKUP(B449,'[1]ПО КОРИСНИЦИМА'!$C$3:$J$11609,5,FALSE),"")</f>
      </c>
      <c r="D449" s="1098" t="e">
        <f>SUMIF('[1]ПО КОРИСНИЦИМА'!$G$3:$G$11609,"Свега за пројекат 1201-П30:",'[1]ПО КОРИСНИЦИМА'!$H$3:$H$11609)</f>
        <v>#VALUE!</v>
      </c>
      <c r="E449" s="1099" t="e">
        <f t="shared" si="13"/>
        <v>#VALUE!</v>
      </c>
      <c r="F449" s="1100" t="e">
        <f>SUMIF('[1]ПО КОРИСНИЦИМА'!$G$3:$G$11609,"Свега за пројекат 1201-П30:",'[1]ПО КОРИСНИЦИМА'!$I$3:$I$11609)</f>
        <v>#VALUE!</v>
      </c>
      <c r="G449" s="1094" t="e">
        <f t="shared" si="12"/>
        <v>#VALUE!</v>
      </c>
      <c r="H449" s="1096"/>
    </row>
    <row r="450" spans="1:8" ht="12.75" hidden="1">
      <c r="A450" s="1110"/>
      <c r="B450" s="1110" t="s">
        <v>688</v>
      </c>
      <c r="C450" s="1093">
        <f>_xlfn.IFERROR(VLOOKUP(B450,'[1]ПО КОРИСНИЦИМА'!$C$3:$J$11609,5,FALSE),"")</f>
      </c>
      <c r="D450" s="1098" t="e">
        <f>SUMIF('[1]ПО КОРИСНИЦИМА'!$G$3:$G$11609,"Свега за пројекат 1201-П31:",'[1]ПО КОРИСНИЦИМА'!$H$3:$H$11609)</f>
        <v>#VALUE!</v>
      </c>
      <c r="E450" s="1099" t="e">
        <f t="shared" si="13"/>
        <v>#VALUE!</v>
      </c>
      <c r="F450" s="1100" t="e">
        <f>SUMIF('[1]ПО КОРИСНИЦИМА'!$G$3:$G$11609,"Свега за пројекат 1201-П31:",'[1]ПО КОРИСНИЦИМА'!$I$3:$I$11609)</f>
        <v>#VALUE!</v>
      </c>
      <c r="G450" s="1094" t="e">
        <f t="shared" si="12"/>
        <v>#VALUE!</v>
      </c>
      <c r="H450" s="1096"/>
    </row>
    <row r="451" spans="1:8" ht="12.75" hidden="1">
      <c r="A451" s="1110"/>
      <c r="B451" s="1110" t="s">
        <v>689</v>
      </c>
      <c r="C451" s="1093">
        <f>_xlfn.IFERROR(VLOOKUP(B451,'[1]ПО КОРИСНИЦИМА'!$C$3:$J$11609,5,FALSE),"")</f>
      </c>
      <c r="D451" s="1098" t="e">
        <f>SUMIF('[1]ПО КОРИСНИЦИМА'!$G$3:$G$11609,"Свега за пројекат 1201-П32:",'[1]ПО КОРИСНИЦИМА'!$H$3:$H$11609)</f>
        <v>#VALUE!</v>
      </c>
      <c r="E451" s="1099" t="e">
        <f t="shared" si="13"/>
        <v>#VALUE!</v>
      </c>
      <c r="F451" s="1100" t="e">
        <f>SUMIF('[1]ПО КОРИСНИЦИМА'!$G$3:$G$11609,"Свега за пројекат 1201-П32:",'[1]ПО КОРИСНИЦИМА'!$I$3:$I$11609)</f>
        <v>#VALUE!</v>
      </c>
      <c r="G451" s="1094" t="e">
        <f t="shared" si="12"/>
        <v>#VALUE!</v>
      </c>
      <c r="H451" s="1096"/>
    </row>
    <row r="452" spans="1:8" ht="12.75" hidden="1">
      <c r="A452" s="1110"/>
      <c r="B452" s="1110" t="s">
        <v>690</v>
      </c>
      <c r="C452" s="1093">
        <f>_xlfn.IFERROR(VLOOKUP(B452,'[1]ПО КОРИСНИЦИМА'!$C$3:$J$11609,5,FALSE),"")</f>
      </c>
      <c r="D452" s="1098" t="e">
        <f>SUMIF('[1]ПО КОРИСНИЦИМА'!$G$3:$G$11609,"Свега за пројекат 1201-П33:",'[1]ПО КОРИСНИЦИМА'!$H$3:$H$11609)</f>
        <v>#VALUE!</v>
      </c>
      <c r="E452" s="1099" t="e">
        <f t="shared" si="13"/>
        <v>#VALUE!</v>
      </c>
      <c r="F452" s="1100" t="e">
        <f>SUMIF('[1]ПО КОРИСНИЦИМА'!$G$3:$G$11609,"Свега за пројекат 1201-П33:",'[1]ПО КОРИСНИЦИМА'!$I$3:$I$11609)</f>
        <v>#VALUE!</v>
      </c>
      <c r="G452" s="1094" t="e">
        <f t="shared" si="12"/>
        <v>#VALUE!</v>
      </c>
      <c r="H452" s="1096"/>
    </row>
    <row r="453" spans="1:8" ht="12.75" hidden="1">
      <c r="A453" s="1110"/>
      <c r="B453" s="1110" t="s">
        <v>691</v>
      </c>
      <c r="C453" s="1093">
        <f>_xlfn.IFERROR(VLOOKUP(B453,'[1]ПО КОРИСНИЦИМА'!$C$3:$J$11609,5,FALSE),"")</f>
      </c>
      <c r="D453" s="1098" t="e">
        <f>SUMIF('[1]ПО КОРИСНИЦИМА'!$G$3:$G$11609,"Свега за пројекат 1201-П34:",'[1]ПО КОРИСНИЦИМА'!$H$3:$H$11609)</f>
        <v>#VALUE!</v>
      </c>
      <c r="E453" s="1099" t="e">
        <f t="shared" si="13"/>
        <v>#VALUE!</v>
      </c>
      <c r="F453" s="1100" t="e">
        <f>SUMIF('[1]ПО КОРИСНИЦИМА'!$G$3:$G$11609,"Свега за пројекат 1201-П34:",'[1]ПО КОРИСНИЦИМА'!$I$3:$I$11609)</f>
        <v>#VALUE!</v>
      </c>
      <c r="G453" s="1094" t="e">
        <f t="shared" si="12"/>
        <v>#VALUE!</v>
      </c>
      <c r="H453" s="1096"/>
    </row>
    <row r="454" spans="1:8" ht="12.75" hidden="1">
      <c r="A454" s="1110"/>
      <c r="B454" s="1110" t="s">
        <v>692</v>
      </c>
      <c r="C454" s="1093">
        <f>_xlfn.IFERROR(VLOOKUP(B454,'[1]ПО КОРИСНИЦИМА'!$C$3:$J$11609,5,FALSE),"")</f>
      </c>
      <c r="D454" s="1098" t="e">
        <f>SUMIF('[1]ПО КОРИСНИЦИМА'!$G$3:$G$11609,"Свега за пројекат 1201-П35:",'[1]ПО КОРИСНИЦИМА'!$H$3:$H$11609)</f>
        <v>#VALUE!</v>
      </c>
      <c r="E454" s="1099" t="e">
        <f t="shared" si="13"/>
        <v>#VALUE!</v>
      </c>
      <c r="F454" s="1100" t="e">
        <f>SUMIF('[1]ПО КОРИСНИЦИМА'!$G$3:$G$11609,"Свега за пројекат 1201-П35:",'[1]ПО КОРИСНИЦИМА'!$I$3:$I$11609)</f>
        <v>#VALUE!</v>
      </c>
      <c r="G454" s="1094" t="e">
        <f aca="true" t="shared" si="14" ref="G454:G517">D454+F454</f>
        <v>#VALUE!</v>
      </c>
      <c r="H454" s="1096"/>
    </row>
    <row r="455" spans="1:8" ht="12.75" hidden="1">
      <c r="A455" s="1110"/>
      <c r="B455" s="1110" t="s">
        <v>693</v>
      </c>
      <c r="C455" s="1093">
        <f>_xlfn.IFERROR(VLOOKUP(B455,'[1]ПО КОРИСНИЦИМА'!$C$3:$J$11609,5,FALSE),"")</f>
      </c>
      <c r="D455" s="1098" t="e">
        <f>SUMIF('[1]ПО КОРИСНИЦИМА'!$G$3:$G$11609,"Свега за пројекат 1201-П36:",'[1]ПО КОРИСНИЦИМА'!$H$3:$H$11609)</f>
        <v>#VALUE!</v>
      </c>
      <c r="E455" s="1099" t="e">
        <f aca="true" t="shared" si="15" ref="E455:E518">D455/452948288</f>
        <v>#VALUE!</v>
      </c>
      <c r="F455" s="1100" t="e">
        <f>SUMIF('[1]ПО КОРИСНИЦИМА'!$G$3:$G$11609,"Свега за пројекат 1201-П36:",'[1]ПО КОРИСНИЦИМА'!$I$3:$I$11609)</f>
        <v>#VALUE!</v>
      </c>
      <c r="G455" s="1094" t="e">
        <f t="shared" si="14"/>
        <v>#VALUE!</v>
      </c>
      <c r="H455" s="1096"/>
    </row>
    <row r="456" spans="1:8" ht="12.75" hidden="1">
      <c r="A456" s="1110"/>
      <c r="B456" s="1110" t="s">
        <v>694</v>
      </c>
      <c r="C456" s="1093">
        <f>_xlfn.IFERROR(VLOOKUP(B456,'[1]ПО КОРИСНИЦИМА'!$C$3:$J$11609,5,FALSE),"")</f>
      </c>
      <c r="D456" s="1098" t="e">
        <f>SUMIF('[1]ПО КОРИСНИЦИМА'!$G$3:$G$11609,"Свега за пројекат 1201-П37:",'[1]ПО КОРИСНИЦИМА'!$H$3:$H$11609)</f>
        <v>#VALUE!</v>
      </c>
      <c r="E456" s="1099" t="e">
        <f t="shared" si="15"/>
        <v>#VALUE!</v>
      </c>
      <c r="F456" s="1100" t="e">
        <f>SUMIF('[1]ПО КОРИСНИЦИМА'!$G$3:$G$11609,"Свега за пројекат 1201-П37:",'[1]ПО КОРИСНИЦИМА'!$I$3:$I$11609)</f>
        <v>#VALUE!</v>
      </c>
      <c r="G456" s="1094" t="e">
        <f t="shared" si="14"/>
        <v>#VALUE!</v>
      </c>
      <c r="H456" s="1096"/>
    </row>
    <row r="457" spans="1:8" ht="12.75" hidden="1">
      <c r="A457" s="1110"/>
      <c r="B457" s="1110" t="s">
        <v>695</v>
      </c>
      <c r="C457" s="1093">
        <f>_xlfn.IFERROR(VLOOKUP(B457,'[1]ПО КОРИСНИЦИМА'!$C$3:$J$11609,5,FALSE),"")</f>
      </c>
      <c r="D457" s="1098" t="e">
        <f>SUMIF('[1]ПО КОРИСНИЦИМА'!$G$3:$G$11609,"Свега за пројекат 1201-П38:",'[1]ПО КОРИСНИЦИМА'!$H$3:$H$11609)</f>
        <v>#VALUE!</v>
      </c>
      <c r="E457" s="1099" t="e">
        <f t="shared" si="15"/>
        <v>#VALUE!</v>
      </c>
      <c r="F457" s="1100" t="e">
        <f>SUMIF('[1]ПО КОРИСНИЦИМА'!$G$3:$G$11609,"Свега за пројекат 1201-П38:",'[1]ПО КОРИСНИЦИМА'!$I$3:$I$11609)</f>
        <v>#VALUE!</v>
      </c>
      <c r="G457" s="1094" t="e">
        <f t="shared" si="14"/>
        <v>#VALUE!</v>
      </c>
      <c r="H457" s="1096"/>
    </row>
    <row r="458" spans="1:8" ht="12.75" hidden="1">
      <c r="A458" s="1110"/>
      <c r="B458" s="1110" t="s">
        <v>696</v>
      </c>
      <c r="C458" s="1093">
        <f>_xlfn.IFERROR(VLOOKUP(B458,'[1]ПО КОРИСНИЦИМА'!$C$3:$J$11609,5,FALSE),"")</f>
      </c>
      <c r="D458" s="1098" t="e">
        <f>SUMIF('[1]ПО КОРИСНИЦИМА'!$G$3:$G$11609,"Свега за пројекат 1201-П39:",'[1]ПО КОРИСНИЦИМА'!$H$3:$H$11609)</f>
        <v>#VALUE!</v>
      </c>
      <c r="E458" s="1099" t="e">
        <f t="shared" si="15"/>
        <v>#VALUE!</v>
      </c>
      <c r="F458" s="1100" t="e">
        <f>SUMIF('[1]ПО КОРИСНИЦИМА'!$G$3:$G$11609,"Свега за пројекат 1201-П39:",'[1]ПО КОРИСНИЦИМА'!$I$3:$I$11609)</f>
        <v>#VALUE!</v>
      </c>
      <c r="G458" s="1094" t="e">
        <f t="shared" si="14"/>
        <v>#VALUE!</v>
      </c>
      <c r="H458" s="1096"/>
    </row>
    <row r="459" spans="1:8" ht="12.75" hidden="1">
      <c r="A459" s="1110"/>
      <c r="B459" s="1110" t="s">
        <v>697</v>
      </c>
      <c r="C459" s="1093">
        <f>_xlfn.IFERROR(VLOOKUP(B459,'[1]ПО КОРИСНИЦИМА'!$C$3:$J$11609,5,FALSE),"")</f>
      </c>
      <c r="D459" s="1098" t="e">
        <f>SUMIF('[1]ПО КОРИСНИЦИМА'!$G$3:$G$11609,"Свега за пројекат 1201-П40:",'[1]ПО КОРИСНИЦИМА'!$H$3:$H$11609)</f>
        <v>#VALUE!</v>
      </c>
      <c r="E459" s="1099" t="e">
        <f t="shared" si="15"/>
        <v>#VALUE!</v>
      </c>
      <c r="F459" s="1100" t="e">
        <f>SUMIF('[1]ПО КОРИСНИЦИМА'!$G$3:$G$11609,"Свега за пројекат 1201-П40:",'[1]ПО КОРИСНИЦИМА'!$I$3:$I$11609)</f>
        <v>#VALUE!</v>
      </c>
      <c r="G459" s="1094" t="e">
        <f t="shared" si="14"/>
        <v>#VALUE!</v>
      </c>
      <c r="H459" s="1096"/>
    </row>
    <row r="460" spans="1:8" ht="12.75" hidden="1">
      <c r="A460" s="1110"/>
      <c r="B460" s="1110" t="s">
        <v>698</v>
      </c>
      <c r="C460" s="1093">
        <f>_xlfn.IFERROR(VLOOKUP(B460,'[1]ПО КОРИСНИЦИМА'!$C$3:$J$11609,5,FALSE),"")</f>
      </c>
      <c r="D460" s="1098" t="e">
        <f>SUMIF('[1]ПО КОРИСНИЦИМА'!$G$3:$G$11609,"Свега за пројекат 1201-П41:",'[1]ПО КОРИСНИЦИМА'!$H$3:$H$11609)</f>
        <v>#VALUE!</v>
      </c>
      <c r="E460" s="1099" t="e">
        <f t="shared" si="15"/>
        <v>#VALUE!</v>
      </c>
      <c r="F460" s="1100" t="e">
        <f>SUMIF('[1]ПО КОРИСНИЦИМА'!$G$3:$G$11609,"Свега за пројекат 1201-П41:",'[1]ПО КОРИСНИЦИМА'!$I$3:$I$11609)</f>
        <v>#VALUE!</v>
      </c>
      <c r="G460" s="1094" t="e">
        <f t="shared" si="14"/>
        <v>#VALUE!</v>
      </c>
      <c r="H460" s="1096"/>
    </row>
    <row r="461" spans="1:8" ht="12.75" hidden="1">
      <c r="A461" s="1110"/>
      <c r="B461" s="1110" t="s">
        <v>699</v>
      </c>
      <c r="C461" s="1093">
        <f>_xlfn.IFERROR(VLOOKUP(B461,'[1]ПО КОРИСНИЦИМА'!$C$3:$J$11609,5,FALSE),"")</f>
      </c>
      <c r="D461" s="1098" t="e">
        <f>SUMIF('[1]ПО КОРИСНИЦИМА'!$G$3:$G$11609,"Свега за пројекат 1201-П42:",'[1]ПО КОРИСНИЦИМА'!$H$3:$H$11609)</f>
        <v>#VALUE!</v>
      </c>
      <c r="E461" s="1099" t="e">
        <f t="shared" si="15"/>
        <v>#VALUE!</v>
      </c>
      <c r="F461" s="1100" t="e">
        <f>SUMIF('[1]ПО КОРИСНИЦИМА'!$G$3:$G$11609,"Свега за пројекат 1201-П42:",'[1]ПО КОРИСНИЦИМА'!$I$3:$I$11609)</f>
        <v>#VALUE!</v>
      </c>
      <c r="G461" s="1094" t="e">
        <f t="shared" si="14"/>
        <v>#VALUE!</v>
      </c>
      <c r="H461" s="1096"/>
    </row>
    <row r="462" spans="1:8" ht="12.75" hidden="1">
      <c r="A462" s="1110"/>
      <c r="B462" s="1110" t="s">
        <v>700</v>
      </c>
      <c r="C462" s="1093">
        <f>_xlfn.IFERROR(VLOOKUP(B462,'[1]ПО КОРИСНИЦИМА'!$C$3:$J$11609,5,FALSE),"")</f>
      </c>
      <c r="D462" s="1098" t="e">
        <f>SUMIF('[1]ПО КОРИСНИЦИМА'!$G$3:$G$11609,"Свега за пројекат 1201-П43:",'[1]ПО КОРИСНИЦИМА'!$H$3:$H$11609)</f>
        <v>#VALUE!</v>
      </c>
      <c r="E462" s="1099" t="e">
        <f t="shared" si="15"/>
        <v>#VALUE!</v>
      </c>
      <c r="F462" s="1100" t="e">
        <f>SUMIF('[1]ПО КОРИСНИЦИМА'!$G$3:$G$11609,"Свега за пројекат 1201-П43:",'[1]ПО КОРИСНИЦИМА'!$I$3:$I$11609)</f>
        <v>#VALUE!</v>
      </c>
      <c r="G462" s="1094" t="e">
        <f t="shared" si="14"/>
        <v>#VALUE!</v>
      </c>
      <c r="H462" s="1096"/>
    </row>
    <row r="463" spans="1:8" ht="12.75" hidden="1">
      <c r="A463" s="1110"/>
      <c r="B463" s="1110" t="s">
        <v>701</v>
      </c>
      <c r="C463" s="1093">
        <f>_xlfn.IFERROR(VLOOKUP(B463,'[1]ПО КОРИСНИЦИМА'!$C$3:$J$11609,5,FALSE),"")</f>
      </c>
      <c r="D463" s="1098" t="e">
        <f>SUMIF('[1]ПО КОРИСНИЦИМА'!$G$3:$G$11609,"Свега за пројекат 1201-П44:",'[1]ПО КОРИСНИЦИМА'!$H$3:$H$11609)</f>
        <v>#VALUE!</v>
      </c>
      <c r="E463" s="1099" t="e">
        <f t="shared" si="15"/>
        <v>#VALUE!</v>
      </c>
      <c r="F463" s="1100" t="e">
        <f>SUMIF('[1]ПО КОРИСНИЦИМА'!$G$3:$G$11609,"Свега за пројекат 1201-П44:",'[1]ПО КОРИСНИЦИМА'!$I$3:$I$11609)</f>
        <v>#VALUE!</v>
      </c>
      <c r="G463" s="1094" t="e">
        <f t="shared" si="14"/>
        <v>#VALUE!</v>
      </c>
      <c r="H463" s="1096"/>
    </row>
    <row r="464" spans="1:8" ht="12.75" hidden="1">
      <c r="A464" s="1110"/>
      <c r="B464" s="1110" t="s">
        <v>702</v>
      </c>
      <c r="C464" s="1093">
        <f>_xlfn.IFERROR(VLOOKUP(B464,'[1]ПО КОРИСНИЦИМА'!$C$3:$J$11609,5,FALSE),"")</f>
      </c>
      <c r="D464" s="1098" t="e">
        <f>SUMIF('[1]ПО КОРИСНИЦИМА'!$G$3:$G$11609,"Свега за пројекат 1201-П45:",'[1]ПО КОРИСНИЦИМА'!$H$3:$H$11609)</f>
        <v>#VALUE!</v>
      </c>
      <c r="E464" s="1099" t="e">
        <f t="shared" si="15"/>
        <v>#VALUE!</v>
      </c>
      <c r="F464" s="1100" t="e">
        <f>SUMIF('[1]ПО КОРИСНИЦИМА'!$G$3:$G$11609,"Свега за пројекат 1201-П45:",'[1]ПО КОРИСНИЦИМА'!$I$3:$I$11609)</f>
        <v>#VALUE!</v>
      </c>
      <c r="G464" s="1094" t="e">
        <f t="shared" si="14"/>
        <v>#VALUE!</v>
      </c>
      <c r="H464" s="1096"/>
    </row>
    <row r="465" spans="1:8" ht="12.75" hidden="1">
      <c r="A465" s="1110"/>
      <c r="B465" s="1110" t="s">
        <v>703</v>
      </c>
      <c r="C465" s="1093">
        <f>_xlfn.IFERROR(VLOOKUP(B465,'[1]ПО КОРИСНИЦИМА'!$C$3:$J$11609,5,FALSE),"")</f>
      </c>
      <c r="D465" s="1098" t="e">
        <f>SUMIF('[1]ПО КОРИСНИЦИМА'!$G$3:$G$11609,"Свега за пројекат 1201-П46:",'[1]ПО КОРИСНИЦИМА'!$H$3:$H$11609)</f>
        <v>#VALUE!</v>
      </c>
      <c r="E465" s="1099" t="e">
        <f t="shared" si="15"/>
        <v>#VALUE!</v>
      </c>
      <c r="F465" s="1100" t="e">
        <f>SUMIF('[1]ПО КОРИСНИЦИМА'!$G$3:$G$11609,"Свега за пројекат 1201-П46:",'[1]ПО КОРИСНИЦИМА'!$I$3:$I$11609)</f>
        <v>#VALUE!</v>
      </c>
      <c r="G465" s="1094" t="e">
        <f t="shared" si="14"/>
        <v>#VALUE!</v>
      </c>
      <c r="H465" s="1096"/>
    </row>
    <row r="466" spans="1:8" ht="12.75" hidden="1">
      <c r="A466" s="1110"/>
      <c r="B466" s="1110" t="s">
        <v>704</v>
      </c>
      <c r="C466" s="1093">
        <f>_xlfn.IFERROR(VLOOKUP(B466,'[1]ПО КОРИСНИЦИМА'!$C$3:$J$11609,5,FALSE),"")</f>
      </c>
      <c r="D466" s="1098" t="e">
        <f>SUMIF('[1]ПО КОРИСНИЦИМА'!$G$3:$G$11609,"Свега за пројекат 1201-П47:",'[1]ПО КОРИСНИЦИМА'!$H$3:$H$11609)</f>
        <v>#VALUE!</v>
      </c>
      <c r="E466" s="1099" t="e">
        <f t="shared" si="15"/>
        <v>#VALUE!</v>
      </c>
      <c r="F466" s="1100" t="e">
        <f>SUMIF('[1]ПО КОРИСНИЦИМА'!$G$3:$G$11609,"Свега за пројекат 1201-П47:",'[1]ПО КОРИСНИЦИМА'!$I$3:$I$11609)</f>
        <v>#VALUE!</v>
      </c>
      <c r="G466" s="1094" t="e">
        <f t="shared" si="14"/>
        <v>#VALUE!</v>
      </c>
      <c r="H466" s="1096"/>
    </row>
    <row r="467" spans="1:8" ht="12.75" hidden="1">
      <c r="A467" s="1110"/>
      <c r="B467" s="1110" t="s">
        <v>705</v>
      </c>
      <c r="C467" s="1093">
        <f>_xlfn.IFERROR(VLOOKUP(B467,'[1]ПО КОРИСНИЦИМА'!$C$3:$J$11609,5,FALSE),"")</f>
      </c>
      <c r="D467" s="1098" t="e">
        <f>SUMIF('[1]ПО КОРИСНИЦИМА'!$G$3:$G$11609,"Свега за пројекат 1201-П48:",'[1]ПО КОРИСНИЦИМА'!$H$3:$H$11609)</f>
        <v>#VALUE!</v>
      </c>
      <c r="E467" s="1099" t="e">
        <f t="shared" si="15"/>
        <v>#VALUE!</v>
      </c>
      <c r="F467" s="1100" t="e">
        <f>SUMIF('[1]ПО КОРИСНИЦИМА'!$G$3:$G$11609,"Свега за пројекат 1201-П48:",'[1]ПО КОРИСНИЦИМА'!$I$3:$I$11609)</f>
        <v>#VALUE!</v>
      </c>
      <c r="G467" s="1094" t="e">
        <f t="shared" si="14"/>
        <v>#VALUE!</v>
      </c>
      <c r="H467" s="1096"/>
    </row>
    <row r="468" spans="1:8" ht="12.75" hidden="1">
      <c r="A468" s="1110"/>
      <c r="B468" s="1110" t="s">
        <v>706</v>
      </c>
      <c r="C468" s="1093">
        <f>_xlfn.IFERROR(VLOOKUP(B468,'[1]ПО КОРИСНИЦИМА'!$C$3:$J$11609,5,FALSE),"")</f>
      </c>
      <c r="D468" s="1098" t="e">
        <f>SUMIF('[1]ПО КОРИСНИЦИМА'!$G$3:$G$11609,"Свега за пројекат 1201-П49:",'[1]ПО КОРИСНИЦИМА'!$H$3:$H$11609)</f>
        <v>#VALUE!</v>
      </c>
      <c r="E468" s="1099" t="e">
        <f t="shared" si="15"/>
        <v>#VALUE!</v>
      </c>
      <c r="F468" s="1100" t="e">
        <f>SUMIF('[1]ПО КОРИСНИЦИМА'!$G$3:$G$11609,"Свега за пројекат 1201-П49:",'[1]ПО КОРИСНИЦИМА'!$I$3:$I$11609)</f>
        <v>#VALUE!</v>
      </c>
      <c r="G468" s="1094" t="e">
        <f t="shared" si="14"/>
        <v>#VALUE!</v>
      </c>
      <c r="H468" s="1096"/>
    </row>
    <row r="469" spans="1:8" ht="12.75" hidden="1">
      <c r="A469" s="1110"/>
      <c r="B469" s="1110" t="s">
        <v>707</v>
      </c>
      <c r="C469" s="1093">
        <f>_xlfn.IFERROR(VLOOKUP(B469,'[1]ПО КОРИСНИЦИМА'!$C$3:$J$11609,5,FALSE),"")</f>
      </c>
      <c r="D469" s="1098" t="e">
        <f>SUMIF('[1]ПО КОРИСНИЦИМА'!$G$3:$G$11609,"Свега за пројекат 1201-П50:",'[1]ПО КОРИСНИЦИМА'!$H$3:$H$11609)</f>
        <v>#VALUE!</v>
      </c>
      <c r="E469" s="1099" t="e">
        <f t="shared" si="15"/>
        <v>#VALUE!</v>
      </c>
      <c r="F469" s="1100" t="e">
        <f>SUMIF('[1]ПО КОРИСНИЦИМА'!$G$3:$G$11609,"Свега за пројекат 1201-П50:",'[1]ПО КОРИСНИЦИМА'!$I$3:$I$11609)</f>
        <v>#VALUE!</v>
      </c>
      <c r="G469" s="1094" t="e">
        <f t="shared" si="14"/>
        <v>#VALUE!</v>
      </c>
      <c r="H469" s="1096"/>
    </row>
    <row r="470" spans="1:8" s="326" customFormat="1" ht="12.75">
      <c r="A470" s="1087" t="s">
        <v>313</v>
      </c>
      <c r="B470" s="1088"/>
      <c r="C470" s="1089" t="s">
        <v>9</v>
      </c>
      <c r="D470" s="1090">
        <f>SUM(D471:D472)</f>
        <v>7900000</v>
      </c>
      <c r="E470" s="1091">
        <f t="shared" si="15"/>
        <v>0.017441284599799614</v>
      </c>
      <c r="F470" s="1090">
        <f>F471</f>
        <v>0</v>
      </c>
      <c r="G470" s="1090">
        <f t="shared" si="14"/>
        <v>7900000</v>
      </c>
      <c r="H470" s="1107"/>
    </row>
    <row r="471" spans="1:8" ht="24">
      <c r="A471" s="1119"/>
      <c r="B471" s="1110" t="s">
        <v>315</v>
      </c>
      <c r="C471" s="1126" t="s">
        <v>331</v>
      </c>
      <c r="D471" s="1094">
        <f>'Rashodi-2020'!N143</f>
        <v>7900000</v>
      </c>
      <c r="E471" s="1095">
        <f t="shared" si="15"/>
        <v>0.017441284599799614</v>
      </c>
      <c r="F471" s="1094">
        <f>'Rashodi-2020'!U143</f>
        <v>0</v>
      </c>
      <c r="G471" s="1121">
        <f t="shared" si="14"/>
        <v>7900000</v>
      </c>
      <c r="H471" s="1096" t="s">
        <v>1174</v>
      </c>
    </row>
    <row r="472" spans="1:8" ht="26.25" customHeight="1" hidden="1">
      <c r="A472" s="1119"/>
      <c r="B472" s="1110"/>
      <c r="C472" s="1126"/>
      <c r="D472" s="1094"/>
      <c r="E472" s="1099">
        <f t="shared" si="15"/>
        <v>0</v>
      </c>
      <c r="F472" s="1094" t="e">
        <f>'Rashodi-2020'!#REF!</f>
        <v>#REF!</v>
      </c>
      <c r="G472" s="1121" t="e">
        <f t="shared" si="14"/>
        <v>#REF!</v>
      </c>
      <c r="H472" s="1096"/>
    </row>
    <row r="473" spans="1:8" ht="12.75" hidden="1">
      <c r="A473" s="1119"/>
      <c r="B473" s="1110" t="s">
        <v>862</v>
      </c>
      <c r="C473" s="1120" t="s">
        <v>863</v>
      </c>
      <c r="D473" s="1094"/>
      <c r="E473" s="1099">
        <f t="shared" si="15"/>
        <v>0</v>
      </c>
      <c r="F473" s="1097"/>
      <c r="G473" s="1121">
        <f t="shared" si="14"/>
        <v>0</v>
      </c>
      <c r="H473" s="1096"/>
    </row>
    <row r="474" spans="1:8" ht="12.75" hidden="1">
      <c r="A474" s="1110"/>
      <c r="B474" s="1110" t="s">
        <v>708</v>
      </c>
      <c r="C474" s="1093">
        <f>_xlfn.IFERROR(VLOOKUP(B474,'[1]ПО КОРИСНИЦИМА'!$C$3:$J$11609,5,FALSE),"")</f>
      </c>
      <c r="D474" s="1098"/>
      <c r="E474" s="1099">
        <f t="shared" si="15"/>
        <v>0</v>
      </c>
      <c r="F474" s="1100"/>
      <c r="G474" s="1121">
        <f t="shared" si="14"/>
        <v>0</v>
      </c>
      <c r="H474" s="1096"/>
    </row>
    <row r="475" spans="1:8" ht="12.75" hidden="1">
      <c r="A475" s="1110"/>
      <c r="B475" s="1110" t="s">
        <v>709</v>
      </c>
      <c r="C475" s="1093">
        <f>_xlfn.IFERROR(VLOOKUP(B475,'[1]ПО КОРИСНИЦИМА'!$C$3:$J$11609,5,FALSE),"")</f>
      </c>
      <c r="D475" s="1098"/>
      <c r="E475" s="1099">
        <f t="shared" si="15"/>
        <v>0</v>
      </c>
      <c r="F475" s="1100"/>
      <c r="G475" s="1094">
        <f t="shared" si="14"/>
        <v>0</v>
      </c>
      <c r="H475" s="1096"/>
    </row>
    <row r="476" spans="1:8" ht="12.75" hidden="1">
      <c r="A476" s="1110"/>
      <c r="B476" s="1110" t="s">
        <v>710</v>
      </c>
      <c r="C476" s="1093">
        <f>_xlfn.IFERROR(VLOOKUP(B476,'[1]ПО КОРИСНИЦИМА'!$C$3:$J$11609,5,FALSE),"")</f>
      </c>
      <c r="D476" s="1098"/>
      <c r="E476" s="1099">
        <f t="shared" si="15"/>
        <v>0</v>
      </c>
      <c r="F476" s="1100"/>
      <c r="G476" s="1094">
        <f t="shared" si="14"/>
        <v>0</v>
      </c>
      <c r="H476" s="1096"/>
    </row>
    <row r="477" spans="1:8" ht="12.75" hidden="1">
      <c r="A477" s="1110"/>
      <c r="B477" s="1110" t="s">
        <v>711</v>
      </c>
      <c r="C477" s="1093">
        <f>_xlfn.IFERROR(VLOOKUP(B477,'[1]ПО КОРИСНИЦИМА'!$C$3:$J$11609,5,FALSE),"")</f>
      </c>
      <c r="D477" s="1098"/>
      <c r="E477" s="1099">
        <f t="shared" si="15"/>
        <v>0</v>
      </c>
      <c r="F477" s="1100"/>
      <c r="G477" s="1094">
        <f t="shared" si="14"/>
        <v>0</v>
      </c>
      <c r="H477" s="1096"/>
    </row>
    <row r="478" spans="1:8" ht="12.75" hidden="1">
      <c r="A478" s="1110"/>
      <c r="B478" s="1110" t="s">
        <v>712</v>
      </c>
      <c r="C478" s="1093">
        <f>_xlfn.IFERROR(VLOOKUP(B478,'[1]ПО КОРИСНИЦИМА'!$C$3:$J$11609,5,FALSE),"")</f>
      </c>
      <c r="D478" s="1098"/>
      <c r="E478" s="1099">
        <f t="shared" si="15"/>
        <v>0</v>
      </c>
      <c r="F478" s="1100"/>
      <c r="G478" s="1094">
        <f t="shared" si="14"/>
        <v>0</v>
      </c>
      <c r="H478" s="1096"/>
    </row>
    <row r="479" spans="1:8" ht="12.75" hidden="1">
      <c r="A479" s="1110"/>
      <c r="B479" s="1110" t="s">
        <v>713</v>
      </c>
      <c r="C479" s="1093">
        <f>_xlfn.IFERROR(VLOOKUP(B479,'[1]ПО КОРИСНИЦИМА'!$C$3:$J$11609,5,FALSE),"")</f>
      </c>
      <c r="D479" s="1098"/>
      <c r="E479" s="1099">
        <f t="shared" si="15"/>
        <v>0</v>
      </c>
      <c r="F479" s="1100"/>
      <c r="G479" s="1094">
        <f t="shared" si="14"/>
        <v>0</v>
      </c>
      <c r="H479" s="1096"/>
    </row>
    <row r="480" spans="1:8" ht="12.75" hidden="1">
      <c r="A480" s="1110"/>
      <c r="B480" s="1110" t="s">
        <v>714</v>
      </c>
      <c r="C480" s="1093">
        <f>_xlfn.IFERROR(VLOOKUP(B480,'[1]ПО КОРИСНИЦИМА'!$C$3:$J$11609,5,FALSE),"")</f>
      </c>
      <c r="D480" s="1098"/>
      <c r="E480" s="1099">
        <f t="shared" si="15"/>
        <v>0</v>
      </c>
      <c r="F480" s="1100"/>
      <c r="G480" s="1094">
        <f t="shared" si="14"/>
        <v>0</v>
      </c>
      <c r="H480" s="1096"/>
    </row>
    <row r="481" spans="1:8" ht="12.75" hidden="1">
      <c r="A481" s="1110"/>
      <c r="B481" s="1110" t="s">
        <v>715</v>
      </c>
      <c r="C481" s="1093">
        <f>_xlfn.IFERROR(VLOOKUP(B481,'[1]ПО КОРИСНИЦИМА'!$C$3:$J$11609,5,FALSE),"")</f>
      </c>
      <c r="D481" s="1098"/>
      <c r="E481" s="1099">
        <f t="shared" si="15"/>
        <v>0</v>
      </c>
      <c r="F481" s="1100"/>
      <c r="G481" s="1094">
        <f t="shared" si="14"/>
        <v>0</v>
      </c>
      <c r="H481" s="1096"/>
    </row>
    <row r="482" spans="1:8" ht="12.75" hidden="1">
      <c r="A482" s="1110"/>
      <c r="B482" s="1110" t="s">
        <v>716</v>
      </c>
      <c r="C482" s="1093">
        <f>_xlfn.IFERROR(VLOOKUP(B482,'[1]ПО КОРИСНИЦИМА'!$C$3:$J$11609,5,FALSE),"")</f>
      </c>
      <c r="D482" s="1098" t="e">
        <f>SUMIF('[1]ПО КОРИСНИЦИМА'!$G$3:$G$11609,"Свега за пројекат 1301-П9:",'[1]ПО КОРИСНИЦИМА'!$H$3:$H$11609)</f>
        <v>#VALUE!</v>
      </c>
      <c r="E482" s="1099" t="e">
        <f t="shared" si="15"/>
        <v>#VALUE!</v>
      </c>
      <c r="F482" s="1100" t="e">
        <f>SUMIF('[1]ПО КОРИСНИЦИМА'!$G$3:$G$11609,"Свега за пројекат 1301-П9:",'[1]ПО КОРИСНИЦИМА'!$I$3:$I$11609)</f>
        <v>#VALUE!</v>
      </c>
      <c r="G482" s="1094" t="e">
        <f t="shared" si="14"/>
        <v>#VALUE!</v>
      </c>
      <c r="H482" s="1096"/>
    </row>
    <row r="483" spans="1:8" ht="12.75" hidden="1">
      <c r="A483" s="1110"/>
      <c r="B483" s="1110" t="s">
        <v>717</v>
      </c>
      <c r="C483" s="1093">
        <f>_xlfn.IFERROR(VLOOKUP(B483,'[1]ПО КОРИСНИЦИМА'!$C$3:$J$11609,5,FALSE),"")</f>
      </c>
      <c r="D483" s="1098" t="e">
        <f>SUMIF('[1]ПО КОРИСНИЦИМА'!$G$3:$G$11609,"Свега за пројекат 1301-П10:",'[1]ПО КОРИСНИЦИМА'!$H$3:$H$11609)</f>
        <v>#VALUE!</v>
      </c>
      <c r="E483" s="1099" t="e">
        <f t="shared" si="15"/>
        <v>#VALUE!</v>
      </c>
      <c r="F483" s="1100" t="e">
        <f>SUMIF('[1]ПО КОРИСНИЦИМА'!$G$3:$G$11609,"Свега за пројекат 1301-П10:",'[1]ПО КОРИСНИЦИМА'!$I$3:$I$11609)</f>
        <v>#VALUE!</v>
      </c>
      <c r="G483" s="1094" t="e">
        <f t="shared" si="14"/>
        <v>#VALUE!</v>
      </c>
      <c r="H483" s="1096"/>
    </row>
    <row r="484" spans="1:8" ht="12.75" hidden="1">
      <c r="A484" s="1110"/>
      <c r="B484" s="1110" t="s">
        <v>718</v>
      </c>
      <c r="C484" s="1093">
        <f>_xlfn.IFERROR(VLOOKUP(B484,'[1]ПО КОРИСНИЦИМА'!$C$3:$J$11609,5,FALSE),"")</f>
      </c>
      <c r="D484" s="1098" t="e">
        <f>SUMIF('[1]ПО КОРИСНИЦИМА'!$G$3:$G$11609,"Свега за пројекат 1301-П11:",'[1]ПО КОРИСНИЦИМА'!$H$3:$H$11609)</f>
        <v>#VALUE!</v>
      </c>
      <c r="E484" s="1099" t="e">
        <f t="shared" si="15"/>
        <v>#VALUE!</v>
      </c>
      <c r="F484" s="1100" t="e">
        <f>SUMIF('[1]ПО КОРИСНИЦИМА'!$G$3:$G$11609,"Свега за пројекат 1301-П11:",'[1]ПО КОРИСНИЦИМА'!$I$3:$I$11609)</f>
        <v>#VALUE!</v>
      </c>
      <c r="G484" s="1094" t="e">
        <f t="shared" si="14"/>
        <v>#VALUE!</v>
      </c>
      <c r="H484" s="1096"/>
    </row>
    <row r="485" spans="1:8" ht="12.75" hidden="1">
      <c r="A485" s="1110"/>
      <c r="B485" s="1110" t="s">
        <v>719</v>
      </c>
      <c r="C485" s="1093">
        <f>_xlfn.IFERROR(VLOOKUP(B485,'[1]ПО КОРИСНИЦИМА'!$C$3:$J$11609,5,FALSE),"")</f>
      </c>
      <c r="D485" s="1098" t="e">
        <f>SUMIF('[1]ПО КОРИСНИЦИМА'!$G$3:$G$11609,"Свега за пројекат 1301-П12:",'[1]ПО КОРИСНИЦИМА'!$H$3:$H$11609)</f>
        <v>#VALUE!</v>
      </c>
      <c r="E485" s="1099" t="e">
        <f t="shared" si="15"/>
        <v>#VALUE!</v>
      </c>
      <c r="F485" s="1100" t="e">
        <f>SUMIF('[1]ПО КОРИСНИЦИМА'!$G$3:$G$11609,"Свега за пројекат 1301-П12:",'[1]ПО КОРИСНИЦИМА'!$I$3:$I$11609)</f>
        <v>#VALUE!</v>
      </c>
      <c r="G485" s="1094" t="e">
        <f t="shared" si="14"/>
        <v>#VALUE!</v>
      </c>
      <c r="H485" s="1096"/>
    </row>
    <row r="486" spans="1:8" ht="12.75" hidden="1">
      <c r="A486" s="1110"/>
      <c r="B486" s="1110" t="s">
        <v>720</v>
      </c>
      <c r="C486" s="1093">
        <f>_xlfn.IFERROR(VLOOKUP(B486,'[1]ПО КОРИСНИЦИМА'!$C$3:$J$11609,5,FALSE),"")</f>
      </c>
      <c r="D486" s="1098" t="e">
        <f>SUMIF('[1]ПО КОРИСНИЦИМА'!$G$3:$G$11609,"Свега за пројекат 1301-П13:",'[1]ПО КОРИСНИЦИМА'!$H$3:$H$11609)</f>
        <v>#VALUE!</v>
      </c>
      <c r="E486" s="1099" t="e">
        <f t="shared" si="15"/>
        <v>#VALUE!</v>
      </c>
      <c r="F486" s="1100" t="e">
        <f>SUMIF('[1]ПО КОРИСНИЦИМА'!$G$3:$G$11609,"Свега за пројекат 1301-П13:",'[1]ПО КОРИСНИЦИМА'!$I$3:$I$11609)</f>
        <v>#VALUE!</v>
      </c>
      <c r="G486" s="1094" t="e">
        <f t="shared" si="14"/>
        <v>#VALUE!</v>
      </c>
      <c r="H486" s="1096"/>
    </row>
    <row r="487" spans="1:8" ht="12.75" hidden="1">
      <c r="A487" s="1110"/>
      <c r="B487" s="1110" t="s">
        <v>721</v>
      </c>
      <c r="C487" s="1093">
        <f>_xlfn.IFERROR(VLOOKUP(B487,'[1]ПО КОРИСНИЦИМА'!$C$3:$J$11609,5,FALSE),"")</f>
      </c>
      <c r="D487" s="1098" t="e">
        <f>SUMIF('[1]ПО КОРИСНИЦИМА'!$G$3:$G$11609,"Свега за пројекат 1301-П14:",'[1]ПО КОРИСНИЦИМА'!$H$3:$H$11609)</f>
        <v>#VALUE!</v>
      </c>
      <c r="E487" s="1099" t="e">
        <f t="shared" si="15"/>
        <v>#VALUE!</v>
      </c>
      <c r="F487" s="1100" t="e">
        <f>SUMIF('[1]ПО КОРИСНИЦИМА'!$G$3:$G$11609,"Свега за пројекат 1301-П14:",'[1]ПО КОРИСНИЦИМА'!$I$3:$I$11609)</f>
        <v>#VALUE!</v>
      </c>
      <c r="G487" s="1094" t="e">
        <f t="shared" si="14"/>
        <v>#VALUE!</v>
      </c>
      <c r="H487" s="1096"/>
    </row>
    <row r="488" spans="1:8" ht="12.75" hidden="1">
      <c r="A488" s="1110"/>
      <c r="B488" s="1110" t="s">
        <v>722</v>
      </c>
      <c r="C488" s="1093">
        <f>_xlfn.IFERROR(VLOOKUP(B488,'[1]ПО КОРИСНИЦИМА'!$C$3:$J$11609,5,FALSE),"")</f>
      </c>
      <c r="D488" s="1098" t="e">
        <f>SUMIF('[1]ПО КОРИСНИЦИМА'!$G$3:$G$11609,"Свега за пројекат 1301-П15:",'[1]ПО КОРИСНИЦИМА'!$H$3:$H$11609)</f>
        <v>#VALUE!</v>
      </c>
      <c r="E488" s="1099" t="e">
        <f t="shared" si="15"/>
        <v>#VALUE!</v>
      </c>
      <c r="F488" s="1100" t="e">
        <f>SUMIF('[1]ПО КОРИСНИЦИМА'!$G$3:$G$11609,"Свега за пројекат 1301-П15:",'[1]ПО КОРИСНИЦИМА'!$I$3:$I$11609)</f>
        <v>#VALUE!</v>
      </c>
      <c r="G488" s="1094" t="e">
        <f t="shared" si="14"/>
        <v>#VALUE!</v>
      </c>
      <c r="H488" s="1096"/>
    </row>
    <row r="489" spans="1:8" ht="12.75" hidden="1">
      <c r="A489" s="1110"/>
      <c r="B489" s="1110" t="s">
        <v>723</v>
      </c>
      <c r="C489" s="1093">
        <f>_xlfn.IFERROR(VLOOKUP(B489,'[1]ПО КОРИСНИЦИМА'!$C$3:$J$11609,5,FALSE),"")</f>
      </c>
      <c r="D489" s="1098" t="e">
        <f>SUMIF('[1]ПО КОРИСНИЦИМА'!$G$3:$G$11609,"Свега за пројекат 1301-П16:",'[1]ПО КОРИСНИЦИМА'!$H$3:$H$11609)</f>
        <v>#VALUE!</v>
      </c>
      <c r="E489" s="1099" t="e">
        <f t="shared" si="15"/>
        <v>#VALUE!</v>
      </c>
      <c r="F489" s="1100" t="e">
        <f>SUMIF('[1]ПО КОРИСНИЦИМА'!$G$3:$G$11609,"Свега за пројекат 1301-П16:",'[1]ПО КОРИСНИЦИМА'!$I$3:$I$11609)</f>
        <v>#VALUE!</v>
      </c>
      <c r="G489" s="1094" t="e">
        <f t="shared" si="14"/>
        <v>#VALUE!</v>
      </c>
      <c r="H489" s="1096"/>
    </row>
    <row r="490" spans="1:8" ht="12.75" hidden="1">
      <c r="A490" s="1110"/>
      <c r="B490" s="1110" t="s">
        <v>724</v>
      </c>
      <c r="C490" s="1093">
        <f>_xlfn.IFERROR(VLOOKUP(B490,'[1]ПО КОРИСНИЦИМА'!$C$3:$J$11609,5,FALSE),"")</f>
      </c>
      <c r="D490" s="1098" t="e">
        <f>SUMIF('[1]ПО КОРИСНИЦИМА'!$G$3:$G$11609,"Свега за пројекат 1301-П17:",'[1]ПО КОРИСНИЦИМА'!$H$3:$H$11609)</f>
        <v>#VALUE!</v>
      </c>
      <c r="E490" s="1099" t="e">
        <f t="shared" si="15"/>
        <v>#VALUE!</v>
      </c>
      <c r="F490" s="1100" t="e">
        <f>SUMIF('[1]ПО КОРИСНИЦИМА'!$G$3:$G$11609,"Свега за пројекат 1301-П17:",'[1]ПО КОРИСНИЦИМА'!$I$3:$I$11609)</f>
        <v>#VALUE!</v>
      </c>
      <c r="G490" s="1094" t="e">
        <f t="shared" si="14"/>
        <v>#VALUE!</v>
      </c>
      <c r="H490" s="1096"/>
    </row>
    <row r="491" spans="1:8" ht="12.75" hidden="1">
      <c r="A491" s="1110"/>
      <c r="B491" s="1110" t="s">
        <v>725</v>
      </c>
      <c r="C491" s="1093">
        <f>_xlfn.IFERROR(VLOOKUP(B491,'[1]ПО КОРИСНИЦИМА'!$C$3:$J$11609,5,FALSE),"")</f>
      </c>
      <c r="D491" s="1098" t="e">
        <f>SUMIF('[1]ПО КОРИСНИЦИМА'!$G$3:$G$11609,"Свега за пројекат 1301-П18:",'[1]ПО КОРИСНИЦИМА'!$H$3:$H$11609)</f>
        <v>#VALUE!</v>
      </c>
      <c r="E491" s="1099" t="e">
        <f t="shared" si="15"/>
        <v>#VALUE!</v>
      </c>
      <c r="F491" s="1100" t="e">
        <f>SUMIF('[1]ПО КОРИСНИЦИМА'!$G$3:$G$11609,"Свега за пројекат 1301-П18:",'[1]ПО КОРИСНИЦИМА'!$I$3:$I$11609)</f>
        <v>#VALUE!</v>
      </c>
      <c r="G491" s="1094" t="e">
        <f t="shared" si="14"/>
        <v>#VALUE!</v>
      </c>
      <c r="H491" s="1096"/>
    </row>
    <row r="492" spans="1:8" ht="12.75" hidden="1">
      <c r="A492" s="1110"/>
      <c r="B492" s="1110" t="s">
        <v>726</v>
      </c>
      <c r="C492" s="1093">
        <f>_xlfn.IFERROR(VLOOKUP(B492,'[1]ПО КОРИСНИЦИМА'!$C$3:$J$11609,5,FALSE),"")</f>
      </c>
      <c r="D492" s="1098" t="e">
        <f>SUMIF('[1]ПО КОРИСНИЦИМА'!$G$3:$G$11609,"Свега за пројекат 1301-П19:",'[1]ПО КОРИСНИЦИМА'!$H$3:$H$11609)</f>
        <v>#VALUE!</v>
      </c>
      <c r="E492" s="1099" t="e">
        <f t="shared" si="15"/>
        <v>#VALUE!</v>
      </c>
      <c r="F492" s="1100" t="e">
        <f>SUMIF('[1]ПО КОРИСНИЦИМА'!$G$3:$G$11609,"Свега за пројекат 1301-П19:",'[1]ПО КОРИСНИЦИМА'!$I$3:$I$11609)</f>
        <v>#VALUE!</v>
      </c>
      <c r="G492" s="1094" t="e">
        <f t="shared" si="14"/>
        <v>#VALUE!</v>
      </c>
      <c r="H492" s="1096"/>
    </row>
    <row r="493" spans="1:8" ht="12.75" hidden="1">
      <c r="A493" s="1110"/>
      <c r="B493" s="1110" t="s">
        <v>727</v>
      </c>
      <c r="C493" s="1093">
        <f>_xlfn.IFERROR(VLOOKUP(B493,'[1]ПО КОРИСНИЦИМА'!$C$3:$J$11609,5,FALSE),"")</f>
      </c>
      <c r="D493" s="1098" t="e">
        <f>SUMIF('[1]ПО КОРИСНИЦИМА'!$G$3:$G$11609,"Свега за пројекат 1301-П20:",'[1]ПО КОРИСНИЦИМА'!$H$3:$H$11609)</f>
        <v>#VALUE!</v>
      </c>
      <c r="E493" s="1099" t="e">
        <f t="shared" si="15"/>
        <v>#VALUE!</v>
      </c>
      <c r="F493" s="1100" t="e">
        <f>SUMIF('[1]ПО КОРИСНИЦИМА'!$G$3:$G$11609,"Свега за пројекат 1301-П20:",'[1]ПО КОРИСНИЦИМА'!$I$3:$I$11609)</f>
        <v>#VALUE!</v>
      </c>
      <c r="G493" s="1094" t="e">
        <f t="shared" si="14"/>
        <v>#VALUE!</v>
      </c>
      <c r="H493" s="1096"/>
    </row>
    <row r="494" spans="1:8" ht="12.75" hidden="1">
      <c r="A494" s="1110"/>
      <c r="B494" s="1110" t="s">
        <v>728</v>
      </c>
      <c r="C494" s="1093">
        <f>_xlfn.IFERROR(VLOOKUP(B494,'[1]ПО КОРИСНИЦИМА'!$C$3:$J$11609,5,FALSE),"")</f>
      </c>
      <c r="D494" s="1098" t="e">
        <f>SUMIF('[1]ПО КОРИСНИЦИМА'!$G$3:$G$11609,"Свега за пројекат 1301-П21:",'[1]ПО КОРИСНИЦИМА'!$H$3:$H$11609)</f>
        <v>#VALUE!</v>
      </c>
      <c r="E494" s="1099" t="e">
        <f t="shared" si="15"/>
        <v>#VALUE!</v>
      </c>
      <c r="F494" s="1100" t="e">
        <f>SUMIF('[1]ПО КОРИСНИЦИМА'!$G$3:$G$11609,"Свега за пројекат 1301-П21:",'[1]ПО КОРИСНИЦИМА'!$I$3:$I$11609)</f>
        <v>#VALUE!</v>
      </c>
      <c r="G494" s="1094" t="e">
        <f t="shared" si="14"/>
        <v>#VALUE!</v>
      </c>
      <c r="H494" s="1096"/>
    </row>
    <row r="495" spans="1:8" ht="12.75" hidden="1">
      <c r="A495" s="1110"/>
      <c r="B495" s="1110" t="s">
        <v>729</v>
      </c>
      <c r="C495" s="1093">
        <f>_xlfn.IFERROR(VLOOKUP(B495,'[1]ПО КОРИСНИЦИМА'!$C$3:$J$11609,5,FALSE),"")</f>
      </c>
      <c r="D495" s="1098" t="e">
        <f>SUMIF('[1]ПО КОРИСНИЦИМА'!$G$3:$G$11609,"Свега за пројекат 1301-П22:",'[1]ПО КОРИСНИЦИМА'!$H$3:$H$11609)</f>
        <v>#VALUE!</v>
      </c>
      <c r="E495" s="1099" t="e">
        <f t="shared" si="15"/>
        <v>#VALUE!</v>
      </c>
      <c r="F495" s="1100" t="e">
        <f>SUMIF('[1]ПО КОРИСНИЦИМА'!$G$3:$G$11609,"Свега за пројекат 1301-П22:",'[1]ПО КОРИСНИЦИМА'!$I$3:$I$11609)</f>
        <v>#VALUE!</v>
      </c>
      <c r="G495" s="1094" t="e">
        <f t="shared" si="14"/>
        <v>#VALUE!</v>
      </c>
      <c r="H495" s="1096"/>
    </row>
    <row r="496" spans="1:8" ht="12.75" hidden="1">
      <c r="A496" s="1110"/>
      <c r="B496" s="1110" t="s">
        <v>730</v>
      </c>
      <c r="C496" s="1093">
        <f>_xlfn.IFERROR(VLOOKUP(B496,'[1]ПО КОРИСНИЦИМА'!$C$3:$J$11609,5,FALSE),"")</f>
      </c>
      <c r="D496" s="1098" t="e">
        <f>SUMIF('[1]ПО КОРИСНИЦИМА'!$G$3:$G$11609,"Свега за пројекат 1301-П23:",'[1]ПО КОРИСНИЦИМА'!$H$3:$H$11609)</f>
        <v>#VALUE!</v>
      </c>
      <c r="E496" s="1099" t="e">
        <f t="shared" si="15"/>
        <v>#VALUE!</v>
      </c>
      <c r="F496" s="1100" t="e">
        <f>SUMIF('[1]ПО КОРИСНИЦИМА'!$G$3:$G$11609,"Свега за пројекат 1301-П23:",'[1]ПО КОРИСНИЦИМА'!$I$3:$I$11609)</f>
        <v>#VALUE!</v>
      </c>
      <c r="G496" s="1094" t="e">
        <f t="shared" si="14"/>
        <v>#VALUE!</v>
      </c>
      <c r="H496" s="1096"/>
    </row>
    <row r="497" spans="1:8" ht="12.75" hidden="1">
      <c r="A497" s="1110"/>
      <c r="B497" s="1110" t="s">
        <v>731</v>
      </c>
      <c r="C497" s="1093">
        <f>_xlfn.IFERROR(VLOOKUP(B497,'[1]ПО КОРИСНИЦИМА'!$C$3:$J$11609,5,FALSE),"")</f>
      </c>
      <c r="D497" s="1098" t="e">
        <f>SUMIF('[1]ПО КОРИСНИЦИМА'!$G$3:$G$11609,"Свега за пројекат 1301-П24:",'[1]ПО КОРИСНИЦИМА'!$H$3:$H$11609)</f>
        <v>#VALUE!</v>
      </c>
      <c r="E497" s="1099" t="e">
        <f t="shared" si="15"/>
        <v>#VALUE!</v>
      </c>
      <c r="F497" s="1100" t="e">
        <f>SUMIF('[1]ПО КОРИСНИЦИМА'!$G$3:$G$11609,"Свега за пројекат 1301-П24:",'[1]ПО КОРИСНИЦИМА'!$I$3:$I$11609)</f>
        <v>#VALUE!</v>
      </c>
      <c r="G497" s="1094" t="e">
        <f t="shared" si="14"/>
        <v>#VALUE!</v>
      </c>
      <c r="H497" s="1096"/>
    </row>
    <row r="498" spans="1:8" ht="12.75" hidden="1">
      <c r="A498" s="1110"/>
      <c r="B498" s="1110" t="s">
        <v>732</v>
      </c>
      <c r="C498" s="1093">
        <f>_xlfn.IFERROR(VLOOKUP(B498,'[1]ПО КОРИСНИЦИМА'!$C$3:$J$11609,5,FALSE),"")</f>
      </c>
      <c r="D498" s="1098" t="e">
        <f>SUMIF('[1]ПО КОРИСНИЦИМА'!$G$3:$G$11609,"Свега за пројекат 1301-П25:",'[1]ПО КОРИСНИЦИМА'!$H$3:$H$11609)</f>
        <v>#VALUE!</v>
      </c>
      <c r="E498" s="1099" t="e">
        <f t="shared" si="15"/>
        <v>#VALUE!</v>
      </c>
      <c r="F498" s="1100" t="e">
        <f>SUMIF('[1]ПО КОРИСНИЦИМА'!$G$3:$G$11609,"Свега за пројекат 1301-П25:",'[1]ПО КОРИСНИЦИМА'!$I$3:$I$11609)</f>
        <v>#VALUE!</v>
      </c>
      <c r="G498" s="1094" t="e">
        <f t="shared" si="14"/>
        <v>#VALUE!</v>
      </c>
      <c r="H498" s="1096"/>
    </row>
    <row r="499" spans="1:8" ht="12.75" hidden="1">
      <c r="A499" s="1110"/>
      <c r="B499" s="1110" t="s">
        <v>733</v>
      </c>
      <c r="C499" s="1093">
        <f>_xlfn.IFERROR(VLOOKUP(B499,'[1]ПО КОРИСНИЦИМА'!$C$3:$J$11609,5,FALSE),"")</f>
      </c>
      <c r="D499" s="1098" t="e">
        <f>SUMIF('[1]ПО КОРИСНИЦИМА'!$G$3:$G$11609,"Свега за пројекат 1301-П26:",'[1]ПО КОРИСНИЦИМА'!$H$3:$H$11609)</f>
        <v>#VALUE!</v>
      </c>
      <c r="E499" s="1099" t="e">
        <f t="shared" si="15"/>
        <v>#VALUE!</v>
      </c>
      <c r="F499" s="1100" t="e">
        <f>SUMIF('[1]ПО КОРИСНИЦИМА'!$G$3:$G$11609,"Свега за пројекат 1301-П26:",'[1]ПО КОРИСНИЦИМА'!$I$3:$I$11609)</f>
        <v>#VALUE!</v>
      </c>
      <c r="G499" s="1094" t="e">
        <f t="shared" si="14"/>
        <v>#VALUE!</v>
      </c>
      <c r="H499" s="1096"/>
    </row>
    <row r="500" spans="1:8" ht="12.75" hidden="1">
      <c r="A500" s="1110"/>
      <c r="B500" s="1110" t="s">
        <v>734</v>
      </c>
      <c r="C500" s="1093">
        <f>_xlfn.IFERROR(VLOOKUP(B500,'[1]ПО КОРИСНИЦИМА'!$C$3:$J$11609,5,FALSE),"")</f>
      </c>
      <c r="D500" s="1098" t="e">
        <f>SUMIF('[1]ПО КОРИСНИЦИМА'!$G$3:$G$11609,"Свега за пројекат 1301-П27:",'[1]ПО КОРИСНИЦИМА'!$H$3:$H$11609)</f>
        <v>#VALUE!</v>
      </c>
      <c r="E500" s="1099" t="e">
        <f t="shared" si="15"/>
        <v>#VALUE!</v>
      </c>
      <c r="F500" s="1100" t="e">
        <f>SUMIF('[1]ПО КОРИСНИЦИМА'!$G$3:$G$11609,"Свега за пројекат 1301-П27:",'[1]ПО КОРИСНИЦИМА'!$I$3:$I$11609)</f>
        <v>#VALUE!</v>
      </c>
      <c r="G500" s="1094" t="e">
        <f t="shared" si="14"/>
        <v>#VALUE!</v>
      </c>
      <c r="H500" s="1096"/>
    </row>
    <row r="501" spans="1:8" ht="12.75" hidden="1">
      <c r="A501" s="1110"/>
      <c r="B501" s="1110" t="s">
        <v>735</v>
      </c>
      <c r="C501" s="1093">
        <f>_xlfn.IFERROR(VLOOKUP(B501,'[1]ПО КОРИСНИЦИМА'!$C$3:$J$11609,5,FALSE),"")</f>
      </c>
      <c r="D501" s="1098" t="e">
        <f>SUMIF('[1]ПО КОРИСНИЦИМА'!$G$3:$G$11609,"Свега за пројекат 1301-П28:",'[1]ПО КОРИСНИЦИМА'!$H$3:$H$11609)</f>
        <v>#VALUE!</v>
      </c>
      <c r="E501" s="1099" t="e">
        <f t="shared" si="15"/>
        <v>#VALUE!</v>
      </c>
      <c r="F501" s="1100" t="e">
        <f>SUMIF('[1]ПО КОРИСНИЦИМА'!$G$3:$G$11609,"Свега за пројекат 1301-П28:",'[1]ПО КОРИСНИЦИМА'!$I$3:$I$11609)</f>
        <v>#VALUE!</v>
      </c>
      <c r="G501" s="1094" t="e">
        <f t="shared" si="14"/>
        <v>#VALUE!</v>
      </c>
      <c r="H501" s="1096"/>
    </row>
    <row r="502" spans="1:8" ht="12.75" hidden="1">
      <c r="A502" s="1110"/>
      <c r="B502" s="1110" t="s">
        <v>736</v>
      </c>
      <c r="C502" s="1093">
        <f>_xlfn.IFERROR(VLOOKUP(B502,'[1]ПО КОРИСНИЦИМА'!$C$3:$J$11609,5,FALSE),"")</f>
      </c>
      <c r="D502" s="1098" t="e">
        <f>SUMIF('[1]ПО КОРИСНИЦИМА'!$G$3:$G$11609,"Свега за пројекат 1301-П29:",'[1]ПО КОРИСНИЦИМА'!$H$3:$H$11609)</f>
        <v>#VALUE!</v>
      </c>
      <c r="E502" s="1099" t="e">
        <f t="shared" si="15"/>
        <v>#VALUE!</v>
      </c>
      <c r="F502" s="1100" t="e">
        <f>SUMIF('[1]ПО КОРИСНИЦИМА'!$G$3:$G$11609,"Свега за пројекат 1301-П29:",'[1]ПО КОРИСНИЦИМА'!$I$3:$I$11609)</f>
        <v>#VALUE!</v>
      </c>
      <c r="G502" s="1094" t="e">
        <f t="shared" si="14"/>
        <v>#VALUE!</v>
      </c>
      <c r="H502" s="1096"/>
    </row>
    <row r="503" spans="1:8" ht="12.75" hidden="1">
      <c r="A503" s="1110"/>
      <c r="B503" s="1110" t="s">
        <v>737</v>
      </c>
      <c r="C503" s="1093">
        <f>_xlfn.IFERROR(VLOOKUP(B503,'[1]ПО КОРИСНИЦИМА'!$C$3:$J$11609,5,FALSE),"")</f>
      </c>
      <c r="D503" s="1098" t="e">
        <f>SUMIF('[1]ПО КОРИСНИЦИМА'!$G$3:$G$11609,"Свега за пројекат 1301-П30:",'[1]ПО КОРИСНИЦИМА'!$H$3:$H$11609)</f>
        <v>#VALUE!</v>
      </c>
      <c r="E503" s="1099" t="e">
        <f t="shared" si="15"/>
        <v>#VALUE!</v>
      </c>
      <c r="F503" s="1100" t="e">
        <f>SUMIF('[1]ПО КОРИСНИЦИМА'!$G$3:$G$11609,"Свега за пројекат 1301-П30:",'[1]ПО КОРИСНИЦИМА'!$I$3:$I$11609)</f>
        <v>#VALUE!</v>
      </c>
      <c r="G503" s="1094" t="e">
        <f t="shared" si="14"/>
        <v>#VALUE!</v>
      </c>
      <c r="H503" s="1096"/>
    </row>
    <row r="504" spans="1:8" ht="12.75" hidden="1">
      <c r="A504" s="1110"/>
      <c r="B504" s="1110" t="s">
        <v>738</v>
      </c>
      <c r="C504" s="1093">
        <f>_xlfn.IFERROR(VLOOKUP(B504,'[1]ПО КОРИСНИЦИМА'!$C$3:$J$11609,5,FALSE),"")</f>
      </c>
      <c r="D504" s="1098" t="e">
        <f>SUMIF('[1]ПО КОРИСНИЦИМА'!$G$3:$G$11609,"Свега за пројекат 1301-П31:",'[1]ПО КОРИСНИЦИМА'!$H$3:$H$11609)</f>
        <v>#VALUE!</v>
      </c>
      <c r="E504" s="1099" t="e">
        <f t="shared" si="15"/>
        <v>#VALUE!</v>
      </c>
      <c r="F504" s="1100" t="e">
        <f>SUMIF('[1]ПО КОРИСНИЦИМА'!$G$3:$G$11609,"Свега за пројекат 1301-П31:",'[1]ПО КОРИСНИЦИМА'!$I$3:$I$11609)</f>
        <v>#VALUE!</v>
      </c>
      <c r="G504" s="1094" t="e">
        <f t="shared" si="14"/>
        <v>#VALUE!</v>
      </c>
      <c r="H504" s="1096"/>
    </row>
    <row r="505" spans="1:8" ht="12.75" hidden="1">
      <c r="A505" s="1110"/>
      <c r="B505" s="1110" t="s">
        <v>739</v>
      </c>
      <c r="C505" s="1093">
        <f>_xlfn.IFERROR(VLOOKUP(B505,'[1]ПО КОРИСНИЦИМА'!$C$3:$J$11609,5,FALSE),"")</f>
      </c>
      <c r="D505" s="1098" t="e">
        <f>SUMIF('[1]ПО КОРИСНИЦИМА'!$G$3:$G$11609,"Свега за пројекат 1301-П32:",'[1]ПО КОРИСНИЦИМА'!$H$3:$H$11609)</f>
        <v>#VALUE!</v>
      </c>
      <c r="E505" s="1099" t="e">
        <f t="shared" si="15"/>
        <v>#VALUE!</v>
      </c>
      <c r="F505" s="1100" t="e">
        <f>SUMIF('[1]ПО КОРИСНИЦИМА'!$G$3:$G$11609,"Свега за пројекат 1301-П32:",'[1]ПО КОРИСНИЦИМА'!$I$3:$I$11609)</f>
        <v>#VALUE!</v>
      </c>
      <c r="G505" s="1094" t="e">
        <f t="shared" si="14"/>
        <v>#VALUE!</v>
      </c>
      <c r="H505" s="1096"/>
    </row>
    <row r="506" spans="1:8" ht="12.75" hidden="1">
      <c r="A506" s="1110"/>
      <c r="B506" s="1110" t="s">
        <v>740</v>
      </c>
      <c r="C506" s="1093">
        <f>_xlfn.IFERROR(VLOOKUP(B506,'[1]ПО КОРИСНИЦИМА'!$C$3:$J$11609,5,FALSE),"")</f>
      </c>
      <c r="D506" s="1098" t="e">
        <f>SUMIF('[1]ПО КОРИСНИЦИМА'!$G$3:$G$11609,"Свега за пројекат 1301-П33:",'[1]ПО КОРИСНИЦИМА'!$H$3:$H$11609)</f>
        <v>#VALUE!</v>
      </c>
      <c r="E506" s="1099" t="e">
        <f t="shared" si="15"/>
        <v>#VALUE!</v>
      </c>
      <c r="F506" s="1100" t="e">
        <f>SUMIF('[1]ПО КОРИСНИЦИМА'!$G$3:$G$11609,"Свега за пројекат 1301-П33:",'[1]ПО КОРИСНИЦИМА'!$I$3:$I$11609)</f>
        <v>#VALUE!</v>
      </c>
      <c r="G506" s="1094" t="e">
        <f t="shared" si="14"/>
        <v>#VALUE!</v>
      </c>
      <c r="H506" s="1096"/>
    </row>
    <row r="507" spans="1:8" ht="12.75" hidden="1">
      <c r="A507" s="1110"/>
      <c r="B507" s="1110" t="s">
        <v>741</v>
      </c>
      <c r="C507" s="1093">
        <f>_xlfn.IFERROR(VLOOKUP(B507,'[1]ПО КОРИСНИЦИМА'!$C$3:$J$11609,5,FALSE),"")</f>
      </c>
      <c r="D507" s="1098" t="e">
        <f>SUMIF('[1]ПО КОРИСНИЦИМА'!$G$3:$G$11609,"Свега за пројекат 1301-П34:",'[1]ПО КОРИСНИЦИМА'!$H$3:$H$11609)</f>
        <v>#VALUE!</v>
      </c>
      <c r="E507" s="1099" t="e">
        <f t="shared" si="15"/>
        <v>#VALUE!</v>
      </c>
      <c r="F507" s="1100" t="e">
        <f>SUMIF('[1]ПО КОРИСНИЦИМА'!$G$3:$G$11609,"Свега за пројекат 1301-П34:",'[1]ПО КОРИСНИЦИМА'!$I$3:$I$11609)</f>
        <v>#VALUE!</v>
      </c>
      <c r="G507" s="1094" t="e">
        <f t="shared" si="14"/>
        <v>#VALUE!</v>
      </c>
      <c r="H507" s="1096"/>
    </row>
    <row r="508" spans="1:8" ht="12.75" hidden="1">
      <c r="A508" s="1110"/>
      <c r="B508" s="1110" t="s">
        <v>742</v>
      </c>
      <c r="C508" s="1093">
        <f>_xlfn.IFERROR(VLOOKUP(B508,'[1]ПО КОРИСНИЦИМА'!$C$3:$J$11609,5,FALSE),"")</f>
      </c>
      <c r="D508" s="1098" t="e">
        <f>SUMIF('[1]ПО КОРИСНИЦИМА'!$G$3:$G$11609,"Свега за пројекат 1301-П35:",'[1]ПО КОРИСНИЦИМА'!$H$3:$H$11609)</f>
        <v>#VALUE!</v>
      </c>
      <c r="E508" s="1099" t="e">
        <f t="shared" si="15"/>
        <v>#VALUE!</v>
      </c>
      <c r="F508" s="1100" t="e">
        <f>SUMIF('[1]ПО КОРИСНИЦИМА'!$G$3:$G$11609,"Свега за пројекат 1301-П35:",'[1]ПО КОРИСНИЦИМА'!$I$3:$I$11609)</f>
        <v>#VALUE!</v>
      </c>
      <c r="G508" s="1094" t="e">
        <f t="shared" si="14"/>
        <v>#VALUE!</v>
      </c>
      <c r="H508" s="1096"/>
    </row>
    <row r="509" spans="1:8" ht="12.75" hidden="1">
      <c r="A509" s="1110"/>
      <c r="B509" s="1110" t="s">
        <v>743</v>
      </c>
      <c r="C509" s="1093">
        <f>_xlfn.IFERROR(VLOOKUP(B509,'[1]ПО КОРИСНИЦИМА'!$C$3:$J$11609,5,FALSE),"")</f>
      </c>
      <c r="D509" s="1098" t="e">
        <f>SUMIF('[1]ПО КОРИСНИЦИМА'!$G$3:$G$11609,"Свега за пројекат 1301-П36:",'[1]ПО КОРИСНИЦИМА'!$H$3:$H$11609)</f>
        <v>#VALUE!</v>
      </c>
      <c r="E509" s="1099" t="e">
        <f t="shared" si="15"/>
        <v>#VALUE!</v>
      </c>
      <c r="F509" s="1100" t="e">
        <f>SUMIF('[1]ПО КОРИСНИЦИМА'!$G$3:$G$11609,"Свега за пројекат 1301-П36:",'[1]ПО КОРИСНИЦИМА'!$I$3:$I$11609)</f>
        <v>#VALUE!</v>
      </c>
      <c r="G509" s="1094" t="e">
        <f t="shared" si="14"/>
        <v>#VALUE!</v>
      </c>
      <c r="H509" s="1096"/>
    </row>
    <row r="510" spans="1:8" ht="12.75" hidden="1">
      <c r="A510" s="1110"/>
      <c r="B510" s="1110" t="s">
        <v>744</v>
      </c>
      <c r="C510" s="1093">
        <f>_xlfn.IFERROR(VLOOKUP(B510,'[1]ПО КОРИСНИЦИМА'!$C$3:$J$11609,5,FALSE),"")</f>
      </c>
      <c r="D510" s="1098" t="e">
        <f>SUMIF('[1]ПО КОРИСНИЦИМА'!$G$3:$G$11609,"Свега за пројекат 1301-П37:",'[1]ПО КОРИСНИЦИМА'!$H$3:$H$11609)</f>
        <v>#VALUE!</v>
      </c>
      <c r="E510" s="1099" t="e">
        <f t="shared" si="15"/>
        <v>#VALUE!</v>
      </c>
      <c r="F510" s="1100" t="e">
        <f>SUMIF('[1]ПО КОРИСНИЦИМА'!$G$3:$G$11609,"Свега за пројекат 1301-П37:",'[1]ПО КОРИСНИЦИМА'!$I$3:$I$11609)</f>
        <v>#VALUE!</v>
      </c>
      <c r="G510" s="1094" t="e">
        <f t="shared" si="14"/>
        <v>#VALUE!</v>
      </c>
      <c r="H510" s="1096"/>
    </row>
    <row r="511" spans="1:8" ht="12.75" hidden="1">
      <c r="A511" s="1110"/>
      <c r="B511" s="1110" t="s">
        <v>745</v>
      </c>
      <c r="C511" s="1093">
        <f>_xlfn.IFERROR(VLOOKUP(B511,'[1]ПО КОРИСНИЦИМА'!$C$3:$J$11609,5,FALSE),"")</f>
      </c>
      <c r="D511" s="1098" t="e">
        <f>SUMIF('[1]ПО КОРИСНИЦИМА'!$G$3:$G$11609,"Свега за пројекат 1301-П38:",'[1]ПО КОРИСНИЦИМА'!$H$3:$H$11609)</f>
        <v>#VALUE!</v>
      </c>
      <c r="E511" s="1099" t="e">
        <f t="shared" si="15"/>
        <v>#VALUE!</v>
      </c>
      <c r="F511" s="1100" t="e">
        <f>SUMIF('[1]ПО КОРИСНИЦИМА'!$G$3:$G$11609,"Свега за пројекат 1301-П38:",'[1]ПО КОРИСНИЦИМА'!$I$3:$I$11609)</f>
        <v>#VALUE!</v>
      </c>
      <c r="G511" s="1094" t="e">
        <f t="shared" si="14"/>
        <v>#VALUE!</v>
      </c>
      <c r="H511" s="1096"/>
    </row>
    <row r="512" spans="1:8" ht="12.75" hidden="1">
      <c r="A512" s="1110"/>
      <c r="B512" s="1110" t="s">
        <v>746</v>
      </c>
      <c r="C512" s="1093">
        <f>_xlfn.IFERROR(VLOOKUP(B512,'[1]ПО КОРИСНИЦИМА'!$C$3:$J$11609,5,FALSE),"")</f>
      </c>
      <c r="D512" s="1098" t="e">
        <f>SUMIF('[1]ПО КОРИСНИЦИМА'!$G$3:$G$11609,"Свега за пројекат 1301-П39:",'[1]ПО КОРИСНИЦИМА'!$H$3:$H$11609)</f>
        <v>#VALUE!</v>
      </c>
      <c r="E512" s="1099" t="e">
        <f t="shared" si="15"/>
        <v>#VALUE!</v>
      </c>
      <c r="F512" s="1100" t="e">
        <f>SUMIF('[1]ПО КОРИСНИЦИМА'!$G$3:$G$11609,"Свега за пројекат 1301-П39:",'[1]ПО КОРИСНИЦИМА'!$I$3:$I$11609)</f>
        <v>#VALUE!</v>
      </c>
      <c r="G512" s="1094" t="e">
        <f t="shared" si="14"/>
        <v>#VALUE!</v>
      </c>
      <c r="H512" s="1096"/>
    </row>
    <row r="513" spans="1:8" ht="12.75" hidden="1">
      <c r="A513" s="1110"/>
      <c r="B513" s="1110" t="s">
        <v>747</v>
      </c>
      <c r="C513" s="1093">
        <f>_xlfn.IFERROR(VLOOKUP(B513,'[1]ПО КОРИСНИЦИМА'!$C$3:$J$11609,5,FALSE),"")</f>
      </c>
      <c r="D513" s="1098" t="e">
        <f>SUMIF('[1]ПО КОРИСНИЦИМА'!$G$3:$G$11609,"Свега за пројекат 1301-П40:",'[1]ПО КОРИСНИЦИМА'!$H$3:$H$11609)</f>
        <v>#VALUE!</v>
      </c>
      <c r="E513" s="1099" t="e">
        <f t="shared" si="15"/>
        <v>#VALUE!</v>
      </c>
      <c r="F513" s="1100" t="e">
        <f>SUMIF('[1]ПО КОРИСНИЦИМА'!$G$3:$G$11609,"Свега за пројекат 1301-П40:",'[1]ПО КОРИСНИЦИМА'!$I$3:$I$11609)</f>
        <v>#VALUE!</v>
      </c>
      <c r="G513" s="1094" t="e">
        <f t="shared" si="14"/>
        <v>#VALUE!</v>
      </c>
      <c r="H513" s="1096"/>
    </row>
    <row r="514" spans="1:8" ht="12.75" hidden="1">
      <c r="A514" s="1110"/>
      <c r="B514" s="1110" t="s">
        <v>748</v>
      </c>
      <c r="C514" s="1093">
        <f>_xlfn.IFERROR(VLOOKUP(B514,'[1]ПО КОРИСНИЦИМА'!$C$3:$J$11609,5,FALSE),"")</f>
      </c>
      <c r="D514" s="1098" t="e">
        <f>SUMIF('[1]ПО КОРИСНИЦИМА'!$G$3:$G$11609,"Свега за пројекат 1301-П41:",'[1]ПО КОРИСНИЦИМА'!$H$3:$H$11609)</f>
        <v>#VALUE!</v>
      </c>
      <c r="E514" s="1099" t="e">
        <f t="shared" si="15"/>
        <v>#VALUE!</v>
      </c>
      <c r="F514" s="1100" t="e">
        <f>SUMIF('[1]ПО КОРИСНИЦИМА'!$G$3:$G$11609,"Свега за пројекат 1301-П41:",'[1]ПО КОРИСНИЦИМА'!$I$3:$I$11609)</f>
        <v>#VALUE!</v>
      </c>
      <c r="G514" s="1094" t="e">
        <f t="shared" si="14"/>
        <v>#VALUE!</v>
      </c>
      <c r="H514" s="1096"/>
    </row>
    <row r="515" spans="1:8" ht="12.75" hidden="1">
      <c r="A515" s="1110"/>
      <c r="B515" s="1110" t="s">
        <v>749</v>
      </c>
      <c r="C515" s="1093">
        <f>_xlfn.IFERROR(VLOOKUP(B515,'[1]ПО КОРИСНИЦИМА'!$C$3:$J$11609,5,FALSE),"")</f>
      </c>
      <c r="D515" s="1098" t="e">
        <f>SUMIF('[1]ПО КОРИСНИЦИМА'!$G$3:$G$11609,"Свега за пројекат 1301-П42:",'[1]ПО КОРИСНИЦИМА'!$H$3:$H$11609)</f>
        <v>#VALUE!</v>
      </c>
      <c r="E515" s="1099" t="e">
        <f t="shared" si="15"/>
        <v>#VALUE!</v>
      </c>
      <c r="F515" s="1100" t="e">
        <f>SUMIF('[1]ПО КОРИСНИЦИМА'!$G$3:$G$11609,"Свега за пројекат 1301-П42:",'[1]ПО КОРИСНИЦИМА'!$I$3:$I$11609)</f>
        <v>#VALUE!</v>
      </c>
      <c r="G515" s="1094" t="e">
        <f t="shared" si="14"/>
        <v>#VALUE!</v>
      </c>
      <c r="H515" s="1096"/>
    </row>
    <row r="516" spans="1:8" ht="12.75" hidden="1">
      <c r="A516" s="1110"/>
      <c r="B516" s="1110" t="s">
        <v>750</v>
      </c>
      <c r="C516" s="1093">
        <f>_xlfn.IFERROR(VLOOKUP(B516,'[1]ПО КОРИСНИЦИМА'!$C$3:$J$11609,5,FALSE),"")</f>
      </c>
      <c r="D516" s="1098" t="e">
        <f>SUMIF('[1]ПО КОРИСНИЦИМА'!$G$3:$G$11609,"Свега за пројекат 1301-П43:",'[1]ПО КОРИСНИЦИМА'!$H$3:$H$11609)</f>
        <v>#VALUE!</v>
      </c>
      <c r="E516" s="1099" t="e">
        <f t="shared" si="15"/>
        <v>#VALUE!</v>
      </c>
      <c r="F516" s="1100" t="e">
        <f>SUMIF('[1]ПО КОРИСНИЦИМА'!$G$3:$G$11609,"Свега за пројекат 1301-П43:",'[1]ПО КОРИСНИЦИМА'!$I$3:$I$11609)</f>
        <v>#VALUE!</v>
      </c>
      <c r="G516" s="1094" t="e">
        <f t="shared" si="14"/>
        <v>#VALUE!</v>
      </c>
      <c r="H516" s="1096"/>
    </row>
    <row r="517" spans="1:8" ht="12.75" hidden="1">
      <c r="A517" s="1110"/>
      <c r="B517" s="1110" t="s">
        <v>751</v>
      </c>
      <c r="C517" s="1093">
        <f>_xlfn.IFERROR(VLOOKUP(B517,'[1]ПО КОРИСНИЦИМА'!$C$3:$J$11609,5,FALSE),"")</f>
      </c>
      <c r="D517" s="1098" t="e">
        <f>SUMIF('[1]ПО КОРИСНИЦИМА'!$G$3:$G$11609,"Свега за пројекат 1301-П44:",'[1]ПО КОРИСНИЦИМА'!$H$3:$H$11609)</f>
        <v>#VALUE!</v>
      </c>
      <c r="E517" s="1099" t="e">
        <f t="shared" si="15"/>
        <v>#VALUE!</v>
      </c>
      <c r="F517" s="1100" t="e">
        <f>SUMIF('[1]ПО КОРИСНИЦИМА'!$G$3:$G$11609,"Свега за пројекат 1301-П44:",'[1]ПО КОРИСНИЦИМА'!$I$3:$I$11609)</f>
        <v>#VALUE!</v>
      </c>
      <c r="G517" s="1094" t="e">
        <f t="shared" si="14"/>
        <v>#VALUE!</v>
      </c>
      <c r="H517" s="1096"/>
    </row>
    <row r="518" spans="1:8" ht="12.75" hidden="1">
      <c r="A518" s="1110"/>
      <c r="B518" s="1110" t="s">
        <v>752</v>
      </c>
      <c r="C518" s="1093">
        <f>_xlfn.IFERROR(VLOOKUP(B518,'[1]ПО КОРИСНИЦИМА'!$C$3:$J$11609,5,FALSE),"")</f>
      </c>
      <c r="D518" s="1098" t="e">
        <f>SUMIF('[1]ПО КОРИСНИЦИМА'!$G$3:$G$11609,"Свега за пројекат 1301-П45:",'[1]ПО КОРИСНИЦИМА'!$H$3:$H$11609)</f>
        <v>#VALUE!</v>
      </c>
      <c r="E518" s="1099" t="e">
        <f t="shared" si="15"/>
        <v>#VALUE!</v>
      </c>
      <c r="F518" s="1100" t="e">
        <f>SUMIF('[1]ПО КОРИСНИЦИМА'!$G$3:$G$11609,"Свега за пројекат 1301-П45:",'[1]ПО КОРИСНИЦИМА'!$I$3:$I$11609)</f>
        <v>#VALUE!</v>
      </c>
      <c r="G518" s="1094" t="e">
        <f aca="true" t="shared" si="16" ref="G518:G580">D518+F518</f>
        <v>#VALUE!</v>
      </c>
      <c r="H518" s="1096"/>
    </row>
    <row r="519" spans="1:8" ht="12.75" hidden="1">
      <c r="A519" s="1110"/>
      <c r="B519" s="1110" t="s">
        <v>753</v>
      </c>
      <c r="C519" s="1093">
        <f>_xlfn.IFERROR(VLOOKUP(B519,'[1]ПО КОРИСНИЦИМА'!$C$3:$J$11609,5,FALSE),"")</f>
      </c>
      <c r="D519" s="1098" t="e">
        <f>SUMIF('[1]ПО КОРИСНИЦИМА'!$G$3:$G$11609,"Свега за пројекат 1301-П46:",'[1]ПО КОРИСНИЦИМА'!$H$3:$H$11609)</f>
        <v>#VALUE!</v>
      </c>
      <c r="E519" s="1099" t="e">
        <f aca="true" t="shared" si="17" ref="E519:E582">D519/452948288</f>
        <v>#VALUE!</v>
      </c>
      <c r="F519" s="1100" t="e">
        <f>SUMIF('[1]ПО КОРИСНИЦИМА'!$G$3:$G$11609,"Свега за пројекат 1301-П46:",'[1]ПО КОРИСНИЦИМА'!$I$3:$I$11609)</f>
        <v>#VALUE!</v>
      </c>
      <c r="G519" s="1094" t="e">
        <f t="shared" si="16"/>
        <v>#VALUE!</v>
      </c>
      <c r="H519" s="1096"/>
    </row>
    <row r="520" spans="1:8" ht="12.75" hidden="1">
      <c r="A520" s="1110"/>
      <c r="B520" s="1110" t="s">
        <v>754</v>
      </c>
      <c r="C520" s="1093">
        <f>_xlfn.IFERROR(VLOOKUP(B520,'[1]ПО КОРИСНИЦИМА'!$C$3:$J$11609,5,FALSE),"")</f>
      </c>
      <c r="D520" s="1098" t="e">
        <f>SUMIF('[1]ПО КОРИСНИЦИМА'!$G$3:$G$11609,"Свега за пројекат 1301-П47:",'[1]ПО КОРИСНИЦИМА'!$H$3:$H$11609)</f>
        <v>#VALUE!</v>
      </c>
      <c r="E520" s="1099" t="e">
        <f t="shared" si="17"/>
        <v>#VALUE!</v>
      </c>
      <c r="F520" s="1100" t="e">
        <f>SUMIF('[1]ПО КОРИСНИЦИМА'!$G$3:$G$11609,"Свега за пројекат 1301-П47:",'[1]ПО КОРИСНИЦИМА'!$I$3:$I$11609)</f>
        <v>#VALUE!</v>
      </c>
      <c r="G520" s="1094" t="e">
        <f t="shared" si="16"/>
        <v>#VALUE!</v>
      </c>
      <c r="H520" s="1096"/>
    </row>
    <row r="521" spans="1:8" ht="12.75" hidden="1">
      <c r="A521" s="1110"/>
      <c r="B521" s="1110" t="s">
        <v>755</v>
      </c>
      <c r="C521" s="1093">
        <f>_xlfn.IFERROR(VLOOKUP(B521,'[1]ПО КОРИСНИЦИМА'!$C$3:$J$11609,5,FALSE),"")</f>
      </c>
      <c r="D521" s="1098" t="e">
        <f>SUMIF('[1]ПО КОРИСНИЦИМА'!$G$3:$G$11609,"Свега за пројекат 1301-П48:",'[1]ПО КОРИСНИЦИМА'!$H$3:$H$11609)</f>
        <v>#VALUE!</v>
      </c>
      <c r="E521" s="1099" t="e">
        <f t="shared" si="17"/>
        <v>#VALUE!</v>
      </c>
      <c r="F521" s="1100" t="e">
        <f>SUMIF('[1]ПО КОРИСНИЦИМА'!$G$3:$G$11609,"Свега за пројекат 1301-П48:",'[1]ПО КОРИСНИЦИМА'!$I$3:$I$11609)</f>
        <v>#VALUE!</v>
      </c>
      <c r="G521" s="1094" t="e">
        <f t="shared" si="16"/>
        <v>#VALUE!</v>
      </c>
      <c r="H521" s="1096"/>
    </row>
    <row r="522" spans="1:8" ht="12.75" hidden="1">
      <c r="A522" s="1110"/>
      <c r="B522" s="1110" t="s">
        <v>756</v>
      </c>
      <c r="C522" s="1093">
        <f>_xlfn.IFERROR(VLOOKUP(B522,'[1]ПО КОРИСНИЦИМА'!$C$3:$J$11609,5,FALSE),"")</f>
      </c>
      <c r="D522" s="1098" t="e">
        <f>SUMIF('[1]ПО КОРИСНИЦИМА'!$G$3:$G$11609,"Свега за пројекат 1301-П49:",'[1]ПО КОРИСНИЦИМА'!$H$3:$H$11609)</f>
        <v>#VALUE!</v>
      </c>
      <c r="E522" s="1099" t="e">
        <f t="shared" si="17"/>
        <v>#VALUE!</v>
      </c>
      <c r="F522" s="1100" t="e">
        <f>SUMIF('[1]ПО КОРИСНИЦИМА'!$G$3:$G$11609,"Свега за пројекат 1301-П49:",'[1]ПО КОРИСНИЦИМА'!$I$3:$I$11609)</f>
        <v>#VALUE!</v>
      </c>
      <c r="G522" s="1094" t="e">
        <f t="shared" si="16"/>
        <v>#VALUE!</v>
      </c>
      <c r="H522" s="1096"/>
    </row>
    <row r="523" spans="1:8" ht="12.75" hidden="1">
      <c r="A523" s="1110"/>
      <c r="B523" s="1110" t="s">
        <v>757</v>
      </c>
      <c r="C523" s="1093">
        <f>_xlfn.IFERROR(VLOOKUP(B523,'[1]ПО КОРИСНИЦИМА'!$C$3:$J$11609,5,FALSE),"")</f>
      </c>
      <c r="D523" s="1098" t="e">
        <f>SUMIF('[1]ПО КОРИСНИЦИМА'!$G$3:$G$11609,"Свега за пројекат 1301-П50:",'[1]ПО КОРИСНИЦИМА'!$H$3:$H$11609)</f>
        <v>#VALUE!</v>
      </c>
      <c r="E523" s="1099" t="e">
        <f t="shared" si="17"/>
        <v>#VALUE!</v>
      </c>
      <c r="F523" s="1100" t="e">
        <f>SUMIF('[1]ПО КОРИСНИЦИМА'!$G$3:$G$11609,"Свега за пројекат 1301-П50:",'[1]ПО КОРИСНИЦИМА'!$I$3:$I$11609)</f>
        <v>#VALUE!</v>
      </c>
      <c r="G523" s="1094" t="e">
        <f t="shared" si="16"/>
        <v>#VALUE!</v>
      </c>
      <c r="H523" s="1096"/>
    </row>
    <row r="524" spans="1:8" s="326" customFormat="1" ht="12.75">
      <c r="A524" s="1087" t="s">
        <v>290</v>
      </c>
      <c r="B524" s="1088"/>
      <c r="C524" s="1089" t="s">
        <v>10</v>
      </c>
      <c r="D524" s="1090">
        <f>SUM(D525:D539)</f>
        <v>108829836</v>
      </c>
      <c r="E524" s="1091">
        <f t="shared" si="17"/>
        <v>0.2402698914715845</v>
      </c>
      <c r="F524" s="1090">
        <f>SUM(F525:F539)</f>
        <v>24568375.1</v>
      </c>
      <c r="G524" s="1090">
        <f t="shared" si="16"/>
        <v>133398211.1</v>
      </c>
      <c r="H524" s="1107"/>
    </row>
    <row r="525" spans="1:8" ht="24">
      <c r="A525" s="1119"/>
      <c r="B525" s="1116" t="s">
        <v>292</v>
      </c>
      <c r="C525" s="1127" t="s">
        <v>864</v>
      </c>
      <c r="D525" s="1094">
        <f>'Rashodi-2020'!N75</f>
        <v>78090000</v>
      </c>
      <c r="E525" s="1095">
        <f t="shared" si="17"/>
        <v>0.17240378663270275</v>
      </c>
      <c r="F525" s="1094">
        <f>'Rashodi-2020'!U75</f>
        <v>2000000</v>
      </c>
      <c r="G525" s="1121">
        <f t="shared" si="16"/>
        <v>80090000</v>
      </c>
      <c r="H525" s="1096" t="s">
        <v>1173</v>
      </c>
    </row>
    <row r="526" spans="1:8" ht="12.75">
      <c r="A526" s="1119"/>
      <c r="B526" s="1116" t="s">
        <v>308</v>
      </c>
      <c r="C526" s="1101" t="s">
        <v>1361</v>
      </c>
      <c r="D526" s="1094">
        <f>'Rashodi-2020'!N422+'Rashodi-2020'!N431+'Rashodi-2020'!N449+'Rashodi-2020'!N462+'Rashodi-2020'!N474+'Rashodi-2020'!N487+'Rashodi-2020'!N498</f>
        <v>15378836</v>
      </c>
      <c r="E526" s="1095">
        <f t="shared" si="17"/>
        <v>0.03395274120122074</v>
      </c>
      <c r="F526" s="1094">
        <f>'Rashodi-2020'!U498+'Rashodi-2020'!U487+'Rashodi-2020'!U474+'Rashodi-2020'!U462+'Rashodi-2020'!U449+'Rashodi-2020'!U431+'Rashodi-2020'!U420</f>
        <v>2250000</v>
      </c>
      <c r="G526" s="1121">
        <f t="shared" si="16"/>
        <v>17628836</v>
      </c>
      <c r="H526" s="1096" t="s">
        <v>1173</v>
      </c>
    </row>
    <row r="527" spans="1:8" ht="12.75" hidden="1">
      <c r="A527" s="1119"/>
      <c r="B527" s="1116" t="s">
        <v>865</v>
      </c>
      <c r="C527" s="1101" t="s">
        <v>866</v>
      </c>
      <c r="D527" s="1094"/>
      <c r="E527" s="1095">
        <f t="shared" si="17"/>
        <v>0</v>
      </c>
      <c r="F527" s="1094"/>
      <c r="G527" s="1121">
        <f t="shared" si="16"/>
        <v>0</v>
      </c>
      <c r="H527" s="1096"/>
    </row>
    <row r="528" spans="1:8" ht="12.75">
      <c r="A528" s="1119"/>
      <c r="B528" s="1116" t="s">
        <v>867</v>
      </c>
      <c r="C528" s="1101" t="s">
        <v>1275</v>
      </c>
      <c r="D528" s="1094">
        <f>'Rashodi-2020'!N31</f>
        <v>1611000</v>
      </c>
      <c r="E528" s="1095">
        <f t="shared" si="17"/>
        <v>0.003556697403832554</v>
      </c>
      <c r="F528" s="1094"/>
      <c r="G528" s="1121">
        <f t="shared" si="16"/>
        <v>1611000</v>
      </c>
      <c r="H528" s="1096" t="s">
        <v>1173</v>
      </c>
    </row>
    <row r="529" spans="1:8" ht="12.75" hidden="1">
      <c r="A529" s="1119"/>
      <c r="B529" s="1116" t="s">
        <v>868</v>
      </c>
      <c r="C529" s="1101" t="s">
        <v>1166</v>
      </c>
      <c r="D529" s="1094"/>
      <c r="E529" s="1095">
        <f t="shared" si="17"/>
        <v>0</v>
      </c>
      <c r="F529" s="1094"/>
      <c r="G529" s="1121">
        <f t="shared" si="16"/>
        <v>0</v>
      </c>
      <c r="H529" s="1096" t="s">
        <v>1173</v>
      </c>
    </row>
    <row r="530" spans="1:8" ht="12.75" hidden="1">
      <c r="A530" s="1119"/>
      <c r="B530" s="1116"/>
      <c r="C530" s="1101"/>
      <c r="D530" s="1094"/>
      <c r="E530" s="1095">
        <f t="shared" si="17"/>
        <v>0</v>
      </c>
      <c r="F530" s="1094"/>
      <c r="G530" s="1121">
        <f t="shared" si="16"/>
        <v>0</v>
      </c>
      <c r="H530" s="1096" t="s">
        <v>1173</v>
      </c>
    </row>
    <row r="531" spans="1:8" ht="12.75" hidden="1">
      <c r="A531" s="1119"/>
      <c r="B531" s="1116" t="s">
        <v>869</v>
      </c>
      <c r="C531" s="1101" t="s">
        <v>1165</v>
      </c>
      <c r="D531" s="1094"/>
      <c r="E531" s="1095">
        <f t="shared" si="17"/>
        <v>0</v>
      </c>
      <c r="F531" s="1094"/>
      <c r="G531" s="1121">
        <f t="shared" si="16"/>
        <v>0</v>
      </c>
      <c r="H531" s="1096" t="s">
        <v>1173</v>
      </c>
    </row>
    <row r="532" spans="1:8" ht="12.75">
      <c r="A532" s="1119"/>
      <c r="B532" s="1116" t="s">
        <v>869</v>
      </c>
      <c r="C532" s="1101" t="s">
        <v>1276</v>
      </c>
      <c r="D532" s="1094">
        <f>'Rashodi-2020'!N26</f>
        <v>100000</v>
      </c>
      <c r="E532" s="1095">
        <f t="shared" si="17"/>
        <v>0.0002207757544278432</v>
      </c>
      <c r="F532" s="1094">
        <v>0</v>
      </c>
      <c r="G532" s="1121">
        <f t="shared" si="16"/>
        <v>100000</v>
      </c>
      <c r="H532" s="1096" t="s">
        <v>1173</v>
      </c>
    </row>
    <row r="533" spans="1:8" ht="12.75" hidden="1">
      <c r="A533" s="1119"/>
      <c r="B533" s="1116" t="s">
        <v>870</v>
      </c>
      <c r="C533" s="1101" t="s">
        <v>871</v>
      </c>
      <c r="D533" s="1094"/>
      <c r="E533" s="1095">
        <f t="shared" si="17"/>
        <v>0</v>
      </c>
      <c r="F533" s="1094"/>
      <c r="G533" s="1121">
        <f t="shared" si="16"/>
        <v>0</v>
      </c>
      <c r="H533" s="1096" t="s">
        <v>1173</v>
      </c>
    </row>
    <row r="534" spans="1:8" ht="12.75">
      <c r="A534" s="1119"/>
      <c r="B534" s="1116" t="s">
        <v>870</v>
      </c>
      <c r="C534" s="1101" t="s">
        <v>1219</v>
      </c>
      <c r="D534" s="1094">
        <f>'Rashodi-2020'!N130</f>
        <v>500000</v>
      </c>
      <c r="E534" s="1095">
        <f t="shared" si="17"/>
        <v>0.001103878772139216</v>
      </c>
      <c r="F534" s="1094">
        <f>'Rashodi-2020'!U130</f>
        <v>0</v>
      </c>
      <c r="G534" s="1121">
        <f t="shared" si="16"/>
        <v>500000</v>
      </c>
      <c r="H534" s="1096" t="s">
        <v>1173</v>
      </c>
    </row>
    <row r="535" spans="1:8" ht="12.75">
      <c r="A535" s="1119"/>
      <c r="B535" s="1116" t="s">
        <v>293</v>
      </c>
      <c r="C535" s="1101" t="s">
        <v>1220</v>
      </c>
      <c r="D535" s="1094">
        <f>'Rashodi-2020'!N127</f>
        <v>500000</v>
      </c>
      <c r="E535" s="1095">
        <f t="shared" si="17"/>
        <v>0.001103878772139216</v>
      </c>
      <c r="F535" s="1094">
        <f>'Rashodi-2020'!U127</f>
        <v>0</v>
      </c>
      <c r="G535" s="1121">
        <f t="shared" si="16"/>
        <v>500000</v>
      </c>
      <c r="H535" s="1096" t="s">
        <v>1173</v>
      </c>
    </row>
    <row r="536" spans="1:8" ht="12.75" hidden="1">
      <c r="A536" s="1119"/>
      <c r="B536" s="1116" t="s">
        <v>758</v>
      </c>
      <c r="C536" s="1093">
        <f>_xlfn.IFERROR(VLOOKUP(B536,'[1]ПО КОРИСНИЦИМА'!$C$3:$J$11609,5,FALSE),"")</f>
      </c>
      <c r="D536" s="1098"/>
      <c r="E536" s="1095">
        <f t="shared" si="17"/>
        <v>0</v>
      </c>
      <c r="F536" s="1098"/>
      <c r="G536" s="1121">
        <f t="shared" si="16"/>
        <v>0</v>
      </c>
      <c r="H536" s="1096" t="s">
        <v>1173</v>
      </c>
    </row>
    <row r="537" spans="1:8" ht="12.75">
      <c r="A537" s="1119"/>
      <c r="B537" s="1116" t="s">
        <v>1221</v>
      </c>
      <c r="C537" s="1093" t="s">
        <v>1277</v>
      </c>
      <c r="D537" s="1098">
        <f>'Rashodi-2020'!N122</f>
        <v>1700000</v>
      </c>
      <c r="E537" s="1095">
        <f t="shared" si="17"/>
        <v>0.0037531878252733343</v>
      </c>
      <c r="F537" s="1098">
        <f>'Rashodi-2020'!U122</f>
        <v>0</v>
      </c>
      <c r="G537" s="1121">
        <f t="shared" si="16"/>
        <v>1700000</v>
      </c>
      <c r="H537" s="1096" t="s">
        <v>1173</v>
      </c>
    </row>
    <row r="538" spans="1:8" ht="36">
      <c r="A538" s="1119"/>
      <c r="B538" s="1116" t="s">
        <v>758</v>
      </c>
      <c r="C538" s="1105" t="s">
        <v>1176</v>
      </c>
      <c r="D538" s="1098">
        <f>'Rashodi-2020'!N108</f>
        <v>6300000</v>
      </c>
      <c r="E538" s="1095">
        <f t="shared" si="17"/>
        <v>0.013908872528954123</v>
      </c>
      <c r="F538" s="1098">
        <f>'Rashodi-2020'!U108</f>
        <v>18570000</v>
      </c>
      <c r="G538" s="1121">
        <f t="shared" si="16"/>
        <v>24870000</v>
      </c>
      <c r="H538" s="1096" t="s">
        <v>1173</v>
      </c>
    </row>
    <row r="539" spans="1:8" ht="12.75">
      <c r="A539" s="1119"/>
      <c r="B539" s="1116" t="s">
        <v>759</v>
      </c>
      <c r="C539" s="1093" t="s">
        <v>1287</v>
      </c>
      <c r="D539" s="1098">
        <f>'Rashodi-2020'!N117</f>
        <v>4650000</v>
      </c>
      <c r="E539" s="1095">
        <f t="shared" si="17"/>
        <v>0.010266072580894708</v>
      </c>
      <c r="F539" s="1100">
        <f>'Rashodi-2020'!U117</f>
        <v>1748375.1</v>
      </c>
      <c r="G539" s="1121">
        <f t="shared" si="16"/>
        <v>6398375.1</v>
      </c>
      <c r="H539" s="1096" t="s">
        <v>1173</v>
      </c>
    </row>
    <row r="540" spans="1:8" ht="12.75" hidden="1">
      <c r="A540" s="1119"/>
      <c r="B540" s="1116" t="s">
        <v>760</v>
      </c>
      <c r="C540" s="1093">
        <f>_xlfn.IFERROR(VLOOKUP(B540,'[1]ПО КОРИСНИЦИМА'!$C$3:$J$11609,5,FALSE),"")</f>
      </c>
      <c r="D540" s="1098"/>
      <c r="E540" s="1099">
        <f t="shared" si="17"/>
        <v>0</v>
      </c>
      <c r="F540" s="1100"/>
      <c r="G540" s="1121">
        <f t="shared" si="16"/>
        <v>0</v>
      </c>
      <c r="H540" s="1096"/>
    </row>
    <row r="541" spans="1:8" ht="12.75" hidden="1">
      <c r="A541" s="1119"/>
      <c r="B541" s="1116" t="s">
        <v>761</v>
      </c>
      <c r="C541" s="1093">
        <f>_xlfn.IFERROR(VLOOKUP(B541,'[1]ПО КОРИСНИЦИМА'!$C$3:$J$11609,5,FALSE),"")</f>
      </c>
      <c r="D541" s="1098"/>
      <c r="E541" s="1099">
        <f t="shared" si="17"/>
        <v>0</v>
      </c>
      <c r="F541" s="1100"/>
      <c r="G541" s="1121">
        <f t="shared" si="16"/>
        <v>0</v>
      </c>
      <c r="H541" s="1096"/>
    </row>
    <row r="542" spans="1:8" ht="12.75" hidden="1">
      <c r="A542" s="1119"/>
      <c r="B542" s="1116" t="s">
        <v>762</v>
      </c>
      <c r="C542" s="1093">
        <f>_xlfn.IFERROR(VLOOKUP(B542,'[1]ПО КОРИСНИЦИМА'!$C$3:$J$11609,5,FALSE),"")</f>
      </c>
      <c r="D542" s="1098"/>
      <c r="E542" s="1099">
        <f t="shared" si="17"/>
        <v>0</v>
      </c>
      <c r="F542" s="1100"/>
      <c r="G542" s="1121">
        <f t="shared" si="16"/>
        <v>0</v>
      </c>
      <c r="H542" s="1096"/>
    </row>
    <row r="543" spans="1:8" ht="12.75" hidden="1">
      <c r="A543" s="1119"/>
      <c r="B543" s="1116" t="s">
        <v>763</v>
      </c>
      <c r="C543" s="1093">
        <f>_xlfn.IFERROR(VLOOKUP(B543,'[1]ПО КОРИСНИЦИМА'!$C$3:$J$11609,5,FALSE),"")</f>
      </c>
      <c r="D543" s="1098"/>
      <c r="E543" s="1099">
        <f t="shared" si="17"/>
        <v>0</v>
      </c>
      <c r="F543" s="1100"/>
      <c r="G543" s="1121">
        <f t="shared" si="16"/>
        <v>0</v>
      </c>
      <c r="H543" s="1096"/>
    </row>
    <row r="544" spans="1:8" ht="12.75" hidden="1">
      <c r="A544" s="1119"/>
      <c r="B544" s="1116" t="s">
        <v>764</v>
      </c>
      <c r="C544" s="1093">
        <f>_xlfn.IFERROR(VLOOKUP(B544,'[1]ПО КОРИСНИЦИМА'!$C$3:$J$11609,5,FALSE),"")</f>
      </c>
      <c r="D544" s="1098"/>
      <c r="E544" s="1099">
        <f t="shared" si="17"/>
        <v>0</v>
      </c>
      <c r="F544" s="1100"/>
      <c r="G544" s="1121">
        <f t="shared" si="16"/>
        <v>0</v>
      </c>
      <c r="H544" s="1096"/>
    </row>
    <row r="545" spans="1:8" ht="12.75" hidden="1">
      <c r="A545" s="1119"/>
      <c r="B545" s="1116" t="s">
        <v>765</v>
      </c>
      <c r="C545" s="1093">
        <f>_xlfn.IFERROR(VLOOKUP(B545,'[1]ПО КОРИСНИЦИМА'!$C$3:$J$11609,5,FALSE),"")</f>
      </c>
      <c r="D545" s="1098" t="e">
        <f>SUMIF('[1]ПО КОРИСНИЦИМА'!$G$3:$G$11609,"Свега за пројекат 0602-П10:",'[1]ПО КОРИСНИЦИМА'!$H$3:$H$11609)</f>
        <v>#VALUE!</v>
      </c>
      <c r="E545" s="1099" t="e">
        <f t="shared" si="17"/>
        <v>#VALUE!</v>
      </c>
      <c r="F545" s="1100" t="e">
        <f>SUMIF('[1]ПО КОРИСНИЦИМА'!$G$3:$G$11609,"Свега за пројекат 0602-П10:",'[1]ПО КОРИСНИЦИМА'!$I$3:$I$11609)</f>
        <v>#VALUE!</v>
      </c>
      <c r="G545" s="1128" t="e">
        <f t="shared" si="16"/>
        <v>#VALUE!</v>
      </c>
      <c r="H545" s="1096"/>
    </row>
    <row r="546" spans="1:8" ht="12.75" hidden="1">
      <c r="A546" s="1119"/>
      <c r="B546" s="1116" t="s">
        <v>766</v>
      </c>
      <c r="C546" s="1093">
        <f>_xlfn.IFERROR(VLOOKUP(B546,'[1]ПО КОРИСНИЦИМА'!$C$3:$J$11609,5,FALSE),"")</f>
      </c>
      <c r="D546" s="1098" t="e">
        <f>SUMIF('[1]ПО КОРИСНИЦИМА'!$G$3:$G$11609,"Свега за пројекат 0602-П11:",'[1]ПО КОРИСНИЦИМА'!$H$3:$H$11609)</f>
        <v>#VALUE!</v>
      </c>
      <c r="E546" s="1099" t="e">
        <f t="shared" si="17"/>
        <v>#VALUE!</v>
      </c>
      <c r="F546" s="1100" t="e">
        <f>SUMIF('[1]ПО КОРИСНИЦИМА'!$G$3:$G$11609,"Свега за пројекат 0602-П11:",'[1]ПО КОРИСНИЦИМА'!$I$3:$I$11609)</f>
        <v>#VALUE!</v>
      </c>
      <c r="G546" s="1128" t="e">
        <f t="shared" si="16"/>
        <v>#VALUE!</v>
      </c>
      <c r="H546" s="1096"/>
    </row>
    <row r="547" spans="1:8" ht="12.75" hidden="1">
      <c r="A547" s="1119"/>
      <c r="B547" s="1116" t="s">
        <v>767</v>
      </c>
      <c r="C547" s="1093">
        <f>_xlfn.IFERROR(VLOOKUP(B547,'[1]ПО КОРИСНИЦИМА'!$C$3:$J$11609,5,FALSE),"")</f>
      </c>
      <c r="D547" s="1098" t="e">
        <f>SUMIF('[1]ПО КОРИСНИЦИМА'!$G$3:$G$11609,"Свега за пројекат 0602-П12:",'[1]ПО КОРИСНИЦИМА'!$H$3:$H$11609)</f>
        <v>#VALUE!</v>
      </c>
      <c r="E547" s="1099" t="e">
        <f t="shared" si="17"/>
        <v>#VALUE!</v>
      </c>
      <c r="F547" s="1100" t="e">
        <f>SUMIF('[1]ПО КОРИСНИЦИМА'!$G$3:$G$11609,"Свега за пројекат 0602-П12:",'[1]ПО КОРИСНИЦИМА'!$I$3:$I$11609)</f>
        <v>#VALUE!</v>
      </c>
      <c r="G547" s="1128" t="e">
        <f t="shared" si="16"/>
        <v>#VALUE!</v>
      </c>
      <c r="H547" s="1096"/>
    </row>
    <row r="548" spans="1:8" ht="12.75" hidden="1">
      <c r="A548" s="1119"/>
      <c r="B548" s="1116" t="s">
        <v>768</v>
      </c>
      <c r="C548" s="1093">
        <f>_xlfn.IFERROR(VLOOKUP(B548,'[1]ПО КОРИСНИЦИМА'!$C$3:$J$11609,5,FALSE),"")</f>
      </c>
      <c r="D548" s="1098" t="e">
        <f>SUMIF('[1]ПО КОРИСНИЦИМА'!$G$3:$G$11609,"Свега за пројекат 0602-П13:",'[1]ПО КОРИСНИЦИМА'!$H$3:$H$11609)</f>
        <v>#VALUE!</v>
      </c>
      <c r="E548" s="1099" t="e">
        <f t="shared" si="17"/>
        <v>#VALUE!</v>
      </c>
      <c r="F548" s="1100" t="e">
        <f>SUMIF('[1]ПО КОРИСНИЦИМА'!$G$3:$G$11609,"Свега за пројекат 0602-П13:",'[1]ПО КОРИСНИЦИМА'!$I$3:$I$11609)</f>
        <v>#VALUE!</v>
      </c>
      <c r="G548" s="1128" t="e">
        <f t="shared" si="16"/>
        <v>#VALUE!</v>
      </c>
      <c r="H548" s="1096"/>
    </row>
    <row r="549" spans="1:8" ht="12.75" hidden="1">
      <c r="A549" s="1119"/>
      <c r="B549" s="1116" t="s">
        <v>769</v>
      </c>
      <c r="C549" s="1093">
        <f>_xlfn.IFERROR(VLOOKUP(B549,'[1]ПО КОРИСНИЦИМА'!$C$3:$J$11609,5,FALSE),"")</f>
      </c>
      <c r="D549" s="1098" t="e">
        <f>SUMIF('[1]ПО КОРИСНИЦИМА'!$G$3:$G$11609,"Свега за пројекат 0602-П14:",'[1]ПО КОРИСНИЦИМА'!$H$3:$H$11609)</f>
        <v>#VALUE!</v>
      </c>
      <c r="E549" s="1099" t="e">
        <f t="shared" si="17"/>
        <v>#VALUE!</v>
      </c>
      <c r="F549" s="1100" t="e">
        <f>SUMIF('[1]ПО КОРИСНИЦИМА'!$G$3:$G$11609,"Свега за пројекат 0602-П14:",'[1]ПО КОРИСНИЦИМА'!$I$3:$I$11609)</f>
        <v>#VALUE!</v>
      </c>
      <c r="G549" s="1128" t="e">
        <f t="shared" si="16"/>
        <v>#VALUE!</v>
      </c>
      <c r="H549" s="1096"/>
    </row>
    <row r="550" spans="1:8" ht="12.75" hidden="1">
      <c r="A550" s="1119"/>
      <c r="B550" s="1116" t="s">
        <v>770</v>
      </c>
      <c r="C550" s="1093">
        <f>_xlfn.IFERROR(VLOOKUP(B550,'[1]ПО КОРИСНИЦИМА'!$C$3:$J$11609,5,FALSE),"")</f>
      </c>
      <c r="D550" s="1098" t="e">
        <f>SUMIF('[1]ПО КОРИСНИЦИМА'!$G$3:$G$11609,"Свега за пројекат 0602-П15:",'[1]ПО КОРИСНИЦИМА'!$H$3:$H$11609)</f>
        <v>#VALUE!</v>
      </c>
      <c r="E550" s="1099" t="e">
        <f t="shared" si="17"/>
        <v>#VALUE!</v>
      </c>
      <c r="F550" s="1100" t="e">
        <f>SUMIF('[1]ПО КОРИСНИЦИМА'!$G$3:$G$11609,"Свега за пројекат 0602-П15:",'[1]ПО КОРИСНИЦИМА'!$I$3:$I$11609)</f>
        <v>#VALUE!</v>
      </c>
      <c r="G550" s="1128" t="e">
        <f t="shared" si="16"/>
        <v>#VALUE!</v>
      </c>
      <c r="H550" s="1096"/>
    </row>
    <row r="551" spans="1:8" ht="12.75" hidden="1">
      <c r="A551" s="1119"/>
      <c r="B551" s="1116" t="s">
        <v>771</v>
      </c>
      <c r="C551" s="1093">
        <f>_xlfn.IFERROR(VLOOKUP(B551,'[1]ПО КОРИСНИЦИМА'!$C$3:$J$11609,5,FALSE),"")</f>
      </c>
      <c r="D551" s="1098" t="e">
        <f>SUMIF('[1]ПО КОРИСНИЦИМА'!$G$3:$G$11609,"Свега за пројекат 0602-П16:",'[1]ПО КОРИСНИЦИМА'!$H$3:$H$11609)</f>
        <v>#VALUE!</v>
      </c>
      <c r="E551" s="1099" t="e">
        <f t="shared" si="17"/>
        <v>#VALUE!</v>
      </c>
      <c r="F551" s="1100" t="e">
        <f>SUMIF('[1]ПО КОРИСНИЦИМА'!$G$3:$G$11609,"Свега за пројекат 0602-П16:",'[1]ПО КОРИСНИЦИМА'!$I$3:$I$11609)</f>
        <v>#VALUE!</v>
      </c>
      <c r="G551" s="1128" t="e">
        <f t="shared" si="16"/>
        <v>#VALUE!</v>
      </c>
      <c r="H551" s="1096"/>
    </row>
    <row r="552" spans="1:8" ht="12.75" hidden="1">
      <c r="A552" s="1119"/>
      <c r="B552" s="1116" t="s">
        <v>772</v>
      </c>
      <c r="C552" s="1093">
        <f>_xlfn.IFERROR(VLOOKUP(B552,'[1]ПО КОРИСНИЦИМА'!$C$3:$J$11609,5,FALSE),"")</f>
      </c>
      <c r="D552" s="1098" t="e">
        <f>SUMIF('[1]ПО КОРИСНИЦИМА'!$G$3:$G$11609,"Свега за пројекат 0602-П17:",'[1]ПО КОРИСНИЦИМА'!$H$3:$H$11609)</f>
        <v>#VALUE!</v>
      </c>
      <c r="E552" s="1099" t="e">
        <f t="shared" si="17"/>
        <v>#VALUE!</v>
      </c>
      <c r="F552" s="1100" t="e">
        <f>SUMIF('[1]ПО КОРИСНИЦИМА'!$G$3:$G$11609,"Свега за пројекат 0602-П17:",'[1]ПО КОРИСНИЦИМА'!$I$3:$I$11609)</f>
        <v>#VALUE!</v>
      </c>
      <c r="G552" s="1128" t="e">
        <f t="shared" si="16"/>
        <v>#VALUE!</v>
      </c>
      <c r="H552" s="1096"/>
    </row>
    <row r="553" spans="1:8" ht="12.75" hidden="1">
      <c r="A553" s="1119"/>
      <c r="B553" s="1116" t="s">
        <v>773</v>
      </c>
      <c r="C553" s="1093">
        <f>_xlfn.IFERROR(VLOOKUP(B553,'[1]ПО КОРИСНИЦИМА'!$C$3:$J$11609,5,FALSE),"")</f>
      </c>
      <c r="D553" s="1098" t="e">
        <f>SUMIF('[1]ПО КОРИСНИЦИМА'!$G$3:$G$11609,"Свега за пројекат 0602-П18:",'[1]ПО КОРИСНИЦИМА'!$H$3:$H$11609)</f>
        <v>#VALUE!</v>
      </c>
      <c r="E553" s="1099" t="e">
        <f t="shared" si="17"/>
        <v>#VALUE!</v>
      </c>
      <c r="F553" s="1100" t="e">
        <f>SUMIF('[1]ПО КОРИСНИЦИМА'!$G$3:$G$11609,"Свега за пројекат 0602-П18:",'[1]ПО КОРИСНИЦИМА'!$I$3:$I$11609)</f>
        <v>#VALUE!</v>
      </c>
      <c r="G553" s="1128" t="e">
        <f t="shared" si="16"/>
        <v>#VALUE!</v>
      </c>
      <c r="H553" s="1096"/>
    </row>
    <row r="554" spans="1:8" ht="12.75" hidden="1">
      <c r="A554" s="1119"/>
      <c r="B554" s="1116" t="s">
        <v>774</v>
      </c>
      <c r="C554" s="1093">
        <f>_xlfn.IFERROR(VLOOKUP(B554,'[1]ПО КОРИСНИЦИМА'!$C$3:$J$11609,5,FALSE),"")</f>
      </c>
      <c r="D554" s="1098" t="e">
        <f>SUMIF('[1]ПО КОРИСНИЦИМА'!$G$3:$G$11609,"Свега за пројекат 0602-П19:",'[1]ПО КОРИСНИЦИМА'!$H$3:$H$11609)</f>
        <v>#VALUE!</v>
      </c>
      <c r="E554" s="1099" t="e">
        <f t="shared" si="17"/>
        <v>#VALUE!</v>
      </c>
      <c r="F554" s="1100" t="e">
        <f>SUMIF('[1]ПО КОРИСНИЦИМА'!$G$3:$G$11609,"Свега за пројекат 0602-П19:",'[1]ПО КОРИСНИЦИМА'!$I$3:$I$11609)</f>
        <v>#VALUE!</v>
      </c>
      <c r="G554" s="1128" t="e">
        <f t="shared" si="16"/>
        <v>#VALUE!</v>
      </c>
      <c r="H554" s="1096"/>
    </row>
    <row r="555" spans="1:8" ht="12.75" hidden="1">
      <c r="A555" s="1119"/>
      <c r="B555" s="1116" t="s">
        <v>775</v>
      </c>
      <c r="C555" s="1093">
        <f>_xlfn.IFERROR(VLOOKUP(B555,'[1]ПО КОРИСНИЦИМА'!$C$3:$J$11609,5,FALSE),"")</f>
      </c>
      <c r="D555" s="1098" t="e">
        <f>SUMIF('[1]ПО КОРИСНИЦИМА'!$G$3:$G$11609,"Свега за пројекат 0602-П20:",'[1]ПО КОРИСНИЦИМА'!$H$3:$H$11609)</f>
        <v>#VALUE!</v>
      </c>
      <c r="E555" s="1099" t="e">
        <f t="shared" si="17"/>
        <v>#VALUE!</v>
      </c>
      <c r="F555" s="1100" t="e">
        <f>SUMIF('[1]ПО КОРИСНИЦИМА'!$G$3:$G$11609,"Свега за пројекат 0602-П20:",'[1]ПО КОРИСНИЦИМА'!$I$3:$I$11609)</f>
        <v>#VALUE!</v>
      </c>
      <c r="G555" s="1128" t="e">
        <f t="shared" si="16"/>
        <v>#VALUE!</v>
      </c>
      <c r="H555" s="1096"/>
    </row>
    <row r="556" spans="1:8" ht="12.75" hidden="1">
      <c r="A556" s="1119"/>
      <c r="B556" s="1116" t="s">
        <v>776</v>
      </c>
      <c r="C556" s="1093">
        <f>_xlfn.IFERROR(VLOOKUP(B556,'[1]ПО КОРИСНИЦИМА'!$C$3:$J$11609,5,FALSE),"")</f>
      </c>
      <c r="D556" s="1098" t="e">
        <f>SUMIF('[1]ПО КОРИСНИЦИМА'!$G$3:$G$11609,"Свега за пројекат 0602-П21:",'[1]ПО КОРИСНИЦИМА'!$H$3:$H$11609)</f>
        <v>#VALUE!</v>
      </c>
      <c r="E556" s="1099" t="e">
        <f t="shared" si="17"/>
        <v>#VALUE!</v>
      </c>
      <c r="F556" s="1100" t="e">
        <f>SUMIF('[1]ПО КОРИСНИЦИМА'!$G$3:$G$11609,"Свега за пројекат 0602-П21:",'[1]ПО КОРИСНИЦИМА'!$I$3:$I$11609)</f>
        <v>#VALUE!</v>
      </c>
      <c r="G556" s="1128" t="e">
        <f t="shared" si="16"/>
        <v>#VALUE!</v>
      </c>
      <c r="H556" s="1096"/>
    </row>
    <row r="557" spans="1:8" ht="12.75" hidden="1">
      <c r="A557" s="1119"/>
      <c r="B557" s="1116" t="s">
        <v>777</v>
      </c>
      <c r="C557" s="1093">
        <f>_xlfn.IFERROR(VLOOKUP(B557,'[1]ПО КОРИСНИЦИМА'!$C$3:$J$11609,5,FALSE),"")</f>
      </c>
      <c r="D557" s="1098" t="e">
        <f>SUMIF('[1]ПО КОРИСНИЦИМА'!$G$3:$G$11609,"Свега за пројекат 0602-П22:",'[1]ПО КОРИСНИЦИМА'!$H$3:$H$11609)</f>
        <v>#VALUE!</v>
      </c>
      <c r="E557" s="1099" t="e">
        <f t="shared" si="17"/>
        <v>#VALUE!</v>
      </c>
      <c r="F557" s="1100" t="e">
        <f>SUMIF('[1]ПО КОРИСНИЦИМА'!$G$3:$G$11609,"Свега за пројекат 0602-П22:",'[1]ПО КОРИСНИЦИМА'!$I$3:$I$11609)</f>
        <v>#VALUE!</v>
      </c>
      <c r="G557" s="1128" t="e">
        <f t="shared" si="16"/>
        <v>#VALUE!</v>
      </c>
      <c r="H557" s="1096"/>
    </row>
    <row r="558" spans="1:8" ht="12.75" hidden="1">
      <c r="A558" s="1119"/>
      <c r="B558" s="1116" t="s">
        <v>778</v>
      </c>
      <c r="C558" s="1093">
        <f>_xlfn.IFERROR(VLOOKUP(B558,'[1]ПО КОРИСНИЦИМА'!$C$3:$J$11609,5,FALSE),"")</f>
      </c>
      <c r="D558" s="1098" t="e">
        <f>SUMIF('[1]ПО КОРИСНИЦИМА'!$G$3:$G$11609,"Свега за пројекат 0602-П23:",'[1]ПО КОРИСНИЦИМА'!$H$3:$H$11609)</f>
        <v>#VALUE!</v>
      </c>
      <c r="E558" s="1099" t="e">
        <f t="shared" si="17"/>
        <v>#VALUE!</v>
      </c>
      <c r="F558" s="1100" t="e">
        <f>SUMIF('[1]ПО КОРИСНИЦИМА'!$G$3:$G$11609,"Свега за пројекат 0602-П23:",'[1]ПО КОРИСНИЦИМА'!$I$3:$I$11609)</f>
        <v>#VALUE!</v>
      </c>
      <c r="G558" s="1128" t="e">
        <f t="shared" si="16"/>
        <v>#VALUE!</v>
      </c>
      <c r="H558" s="1096"/>
    </row>
    <row r="559" spans="1:8" ht="12.75" hidden="1">
      <c r="A559" s="1119"/>
      <c r="B559" s="1116" t="s">
        <v>779</v>
      </c>
      <c r="C559" s="1093">
        <f>_xlfn.IFERROR(VLOOKUP(B559,'[1]ПО КОРИСНИЦИМА'!$C$3:$J$11609,5,FALSE),"")</f>
      </c>
      <c r="D559" s="1098" t="e">
        <f>SUMIF('[1]ПО КОРИСНИЦИМА'!$G$3:$G$11609,"Свега за пројекат 0602-П24:",'[1]ПО КОРИСНИЦИМА'!$H$3:$H$11609)</f>
        <v>#VALUE!</v>
      </c>
      <c r="E559" s="1099" t="e">
        <f t="shared" si="17"/>
        <v>#VALUE!</v>
      </c>
      <c r="F559" s="1100" t="e">
        <f>SUMIF('[1]ПО КОРИСНИЦИМА'!$G$3:$G$11609,"Свега за пројекат 0602-П24:",'[1]ПО КОРИСНИЦИМА'!$I$3:$I$11609)</f>
        <v>#VALUE!</v>
      </c>
      <c r="G559" s="1128" t="e">
        <f t="shared" si="16"/>
        <v>#VALUE!</v>
      </c>
      <c r="H559" s="1096"/>
    </row>
    <row r="560" spans="1:8" ht="12.75" hidden="1">
      <c r="A560" s="1119"/>
      <c r="B560" s="1116" t="s">
        <v>780</v>
      </c>
      <c r="C560" s="1093">
        <f>_xlfn.IFERROR(VLOOKUP(B560,'[1]ПО КОРИСНИЦИМА'!$C$3:$J$11609,5,FALSE),"")</f>
      </c>
      <c r="D560" s="1098" t="e">
        <f>SUMIF('[1]ПО КОРИСНИЦИМА'!$G$3:$G$11609,"Свега за пројекат 0602-П25:",'[1]ПО КОРИСНИЦИМА'!$H$3:$H$11609)</f>
        <v>#VALUE!</v>
      </c>
      <c r="E560" s="1099" t="e">
        <f t="shared" si="17"/>
        <v>#VALUE!</v>
      </c>
      <c r="F560" s="1100" t="e">
        <f>SUMIF('[1]ПО КОРИСНИЦИМА'!$G$3:$G$11609,"Свега за пројекат 0602-П25:",'[1]ПО КОРИСНИЦИМА'!$I$3:$I$11609)</f>
        <v>#VALUE!</v>
      </c>
      <c r="G560" s="1128" t="e">
        <f t="shared" si="16"/>
        <v>#VALUE!</v>
      </c>
      <c r="H560" s="1096"/>
    </row>
    <row r="561" spans="1:8" ht="12.75" hidden="1">
      <c r="A561" s="1119"/>
      <c r="B561" s="1116" t="s">
        <v>781</v>
      </c>
      <c r="C561" s="1093">
        <f>_xlfn.IFERROR(VLOOKUP(B561,'[1]ПО КОРИСНИЦИМА'!$C$3:$J$11609,5,FALSE),"")</f>
      </c>
      <c r="D561" s="1098" t="e">
        <f>SUMIF('[1]ПО КОРИСНИЦИМА'!$G$3:$G$11609,"Свега за пројекат 0602-П26:",'[1]ПО КОРИСНИЦИМА'!$H$3:$H$11609)</f>
        <v>#VALUE!</v>
      </c>
      <c r="E561" s="1099" t="e">
        <f t="shared" si="17"/>
        <v>#VALUE!</v>
      </c>
      <c r="F561" s="1100" t="e">
        <f>SUMIF('[1]ПО КОРИСНИЦИМА'!$G$3:$G$11609,"Свега за пројекат 0602-П26:",'[1]ПО КОРИСНИЦИМА'!$I$3:$I$11609)</f>
        <v>#VALUE!</v>
      </c>
      <c r="G561" s="1128" t="e">
        <f t="shared" si="16"/>
        <v>#VALUE!</v>
      </c>
      <c r="H561" s="1096"/>
    </row>
    <row r="562" spans="1:8" ht="12.75" hidden="1">
      <c r="A562" s="1119"/>
      <c r="B562" s="1116" t="s">
        <v>782</v>
      </c>
      <c r="C562" s="1093">
        <f>_xlfn.IFERROR(VLOOKUP(B562,'[1]ПО КОРИСНИЦИМА'!$C$3:$J$11609,5,FALSE),"")</f>
      </c>
      <c r="D562" s="1098" t="e">
        <f>SUMIF('[1]ПО КОРИСНИЦИМА'!$G$3:$G$11609,"Свега за пројекат 0602-П27:",'[1]ПО КОРИСНИЦИМА'!$H$3:$H$11609)</f>
        <v>#VALUE!</v>
      </c>
      <c r="E562" s="1099" t="e">
        <f t="shared" si="17"/>
        <v>#VALUE!</v>
      </c>
      <c r="F562" s="1100" t="e">
        <f>SUMIF('[1]ПО КОРИСНИЦИМА'!$G$3:$G$11609,"Свега за пројекат 0602-П27:",'[1]ПО КОРИСНИЦИМА'!$I$3:$I$11609)</f>
        <v>#VALUE!</v>
      </c>
      <c r="G562" s="1128" t="e">
        <f t="shared" si="16"/>
        <v>#VALUE!</v>
      </c>
      <c r="H562" s="1096"/>
    </row>
    <row r="563" spans="1:8" ht="12.75" hidden="1">
      <c r="A563" s="1119"/>
      <c r="B563" s="1116" t="s">
        <v>783</v>
      </c>
      <c r="C563" s="1093">
        <f>_xlfn.IFERROR(VLOOKUP(B563,'[1]ПО КОРИСНИЦИМА'!$C$3:$J$11609,5,FALSE),"")</f>
      </c>
      <c r="D563" s="1098" t="e">
        <f>SUMIF('[1]ПО КОРИСНИЦИМА'!$G$3:$G$11609,"Свега за пројекат 0602-П28:",'[1]ПО КОРИСНИЦИМА'!$H$3:$H$11609)</f>
        <v>#VALUE!</v>
      </c>
      <c r="E563" s="1099" t="e">
        <f t="shared" si="17"/>
        <v>#VALUE!</v>
      </c>
      <c r="F563" s="1100" t="e">
        <f>SUMIF('[1]ПО КОРИСНИЦИМА'!$G$3:$G$11609,"Свега за пројекат 0602-П28:",'[1]ПО КОРИСНИЦИМА'!$I$3:$I$11609)</f>
        <v>#VALUE!</v>
      </c>
      <c r="G563" s="1128" t="e">
        <f t="shared" si="16"/>
        <v>#VALUE!</v>
      </c>
      <c r="H563" s="1096"/>
    </row>
    <row r="564" spans="1:8" ht="12.75" hidden="1">
      <c r="A564" s="1119"/>
      <c r="B564" s="1116" t="s">
        <v>784</v>
      </c>
      <c r="C564" s="1093">
        <f>_xlfn.IFERROR(VLOOKUP(B564,'[1]ПО КОРИСНИЦИМА'!$C$3:$J$11609,5,FALSE),"")</f>
      </c>
      <c r="D564" s="1098" t="e">
        <f>SUMIF('[1]ПО КОРИСНИЦИМА'!$G$3:$G$11609,"Свега за пројекат 0602-П29:",'[1]ПО КОРИСНИЦИМА'!$H$3:$H$11609)</f>
        <v>#VALUE!</v>
      </c>
      <c r="E564" s="1099" t="e">
        <f t="shared" si="17"/>
        <v>#VALUE!</v>
      </c>
      <c r="F564" s="1100" t="e">
        <f>SUMIF('[1]ПО КОРИСНИЦИМА'!$G$3:$G$11609,"Свега за пројекат 0602-П29:",'[1]ПО КОРИСНИЦИМА'!$I$3:$I$11609)</f>
        <v>#VALUE!</v>
      </c>
      <c r="G564" s="1128" t="e">
        <f t="shared" si="16"/>
        <v>#VALUE!</v>
      </c>
      <c r="H564" s="1096"/>
    </row>
    <row r="565" spans="1:8" ht="12.75" hidden="1">
      <c r="A565" s="1119"/>
      <c r="B565" s="1116" t="s">
        <v>785</v>
      </c>
      <c r="C565" s="1093">
        <f>_xlfn.IFERROR(VLOOKUP(B565,'[1]ПО КОРИСНИЦИМА'!$C$3:$J$11609,5,FALSE),"")</f>
      </c>
      <c r="D565" s="1098" t="e">
        <f>SUMIF('[1]ПО КОРИСНИЦИМА'!$G$3:$G$11609,"Свега за пројекат 0602-П30:",'[1]ПО КОРИСНИЦИМА'!$H$3:$H$11609)</f>
        <v>#VALUE!</v>
      </c>
      <c r="E565" s="1099" t="e">
        <f t="shared" si="17"/>
        <v>#VALUE!</v>
      </c>
      <c r="F565" s="1100" t="e">
        <f>SUMIF('[1]ПО КОРИСНИЦИМА'!$G$3:$G$11609,"Свега за пројекат 0602-П30:",'[1]ПО КОРИСНИЦИМА'!$I$3:$I$11609)</f>
        <v>#VALUE!</v>
      </c>
      <c r="G565" s="1128" t="e">
        <f t="shared" si="16"/>
        <v>#VALUE!</v>
      </c>
      <c r="H565" s="1096"/>
    </row>
    <row r="566" spans="1:8" ht="12.75" hidden="1">
      <c r="A566" s="1119"/>
      <c r="B566" s="1116" t="s">
        <v>786</v>
      </c>
      <c r="C566" s="1093">
        <f>_xlfn.IFERROR(VLOOKUP(B566,'[1]ПО КОРИСНИЦИМА'!$C$3:$J$11609,5,FALSE),"")</f>
      </c>
      <c r="D566" s="1098" t="e">
        <f>SUMIF('[1]ПО КОРИСНИЦИМА'!$G$3:$G$11609,"Свега за пројекат 0602-П31:",'[1]ПО КОРИСНИЦИМА'!$H$3:$H$11609)</f>
        <v>#VALUE!</v>
      </c>
      <c r="E566" s="1099" t="e">
        <f t="shared" si="17"/>
        <v>#VALUE!</v>
      </c>
      <c r="F566" s="1100" t="e">
        <f>SUMIF('[1]ПО КОРИСНИЦИМА'!$G$3:$G$11609,"Свега за пројекат 0602-П31:",'[1]ПО КОРИСНИЦИМА'!$I$3:$I$11609)</f>
        <v>#VALUE!</v>
      </c>
      <c r="G566" s="1128" t="e">
        <f t="shared" si="16"/>
        <v>#VALUE!</v>
      </c>
      <c r="H566" s="1096"/>
    </row>
    <row r="567" spans="1:8" ht="12.75" hidden="1">
      <c r="A567" s="1119"/>
      <c r="B567" s="1116" t="s">
        <v>787</v>
      </c>
      <c r="C567" s="1093">
        <f>_xlfn.IFERROR(VLOOKUP(B567,'[1]ПО КОРИСНИЦИМА'!$C$3:$J$11609,5,FALSE),"")</f>
      </c>
      <c r="D567" s="1098" t="e">
        <f>SUMIF('[1]ПО КОРИСНИЦИМА'!$G$3:$G$11609,"Свега за пројекат 0602-П32:",'[1]ПО КОРИСНИЦИМА'!$H$3:$H$11609)</f>
        <v>#VALUE!</v>
      </c>
      <c r="E567" s="1099" t="e">
        <f t="shared" si="17"/>
        <v>#VALUE!</v>
      </c>
      <c r="F567" s="1100" t="e">
        <f>SUMIF('[1]ПО КОРИСНИЦИМА'!$G$3:$G$11609,"Свега за пројекат 0602-П32:",'[1]ПО КОРИСНИЦИМА'!$I$3:$I$11609)</f>
        <v>#VALUE!</v>
      </c>
      <c r="G567" s="1128" t="e">
        <f t="shared" si="16"/>
        <v>#VALUE!</v>
      </c>
      <c r="H567" s="1096"/>
    </row>
    <row r="568" spans="1:8" ht="12.75" hidden="1">
      <c r="A568" s="1119"/>
      <c r="B568" s="1116" t="s">
        <v>788</v>
      </c>
      <c r="C568" s="1093">
        <f>_xlfn.IFERROR(VLOOKUP(B568,'[1]ПО КОРИСНИЦИМА'!$C$3:$J$11609,5,FALSE),"")</f>
      </c>
      <c r="D568" s="1098" t="e">
        <f>SUMIF('[1]ПО КОРИСНИЦИМА'!$G$3:$G$11609,"Свега за пројекат 0602-П33:",'[1]ПО КОРИСНИЦИМА'!$H$3:$H$11609)</f>
        <v>#VALUE!</v>
      </c>
      <c r="E568" s="1099" t="e">
        <f t="shared" si="17"/>
        <v>#VALUE!</v>
      </c>
      <c r="F568" s="1100" t="e">
        <f>SUMIF('[1]ПО КОРИСНИЦИМА'!$G$3:$G$11609,"Свега за пројекат 0602-П33:",'[1]ПО КОРИСНИЦИМА'!$I$3:$I$11609)</f>
        <v>#VALUE!</v>
      </c>
      <c r="G568" s="1128" t="e">
        <f t="shared" si="16"/>
        <v>#VALUE!</v>
      </c>
      <c r="H568" s="1096"/>
    </row>
    <row r="569" spans="1:8" ht="12.75" hidden="1">
      <c r="A569" s="1119"/>
      <c r="B569" s="1116" t="s">
        <v>789</v>
      </c>
      <c r="C569" s="1093">
        <f>_xlfn.IFERROR(VLOOKUP(B569,'[1]ПО КОРИСНИЦИМА'!$C$3:$J$11609,5,FALSE),"")</f>
      </c>
      <c r="D569" s="1098" t="e">
        <f>SUMIF('[1]ПО КОРИСНИЦИМА'!$G$3:$G$11609,"Свега за пројекат 0602-П34:",'[1]ПО КОРИСНИЦИМА'!$H$3:$H$11609)</f>
        <v>#VALUE!</v>
      </c>
      <c r="E569" s="1099" t="e">
        <f t="shared" si="17"/>
        <v>#VALUE!</v>
      </c>
      <c r="F569" s="1100" t="e">
        <f>SUMIF('[1]ПО КОРИСНИЦИМА'!$G$3:$G$11609,"Свега за пројекат 0602-П34:",'[1]ПО КОРИСНИЦИМА'!$I$3:$I$11609)</f>
        <v>#VALUE!</v>
      </c>
      <c r="G569" s="1128" t="e">
        <f t="shared" si="16"/>
        <v>#VALUE!</v>
      </c>
      <c r="H569" s="1096"/>
    </row>
    <row r="570" spans="1:8" ht="12.75" hidden="1">
      <c r="A570" s="1119"/>
      <c r="B570" s="1116" t="s">
        <v>790</v>
      </c>
      <c r="C570" s="1093">
        <f>_xlfn.IFERROR(VLOOKUP(B570,'[1]ПО КОРИСНИЦИМА'!$C$3:$J$11609,5,FALSE),"")</f>
      </c>
      <c r="D570" s="1098" t="e">
        <f>SUMIF('[1]ПО КОРИСНИЦИМА'!$G$3:$G$11609,"Свега за пројекат 0602-П35:",'[1]ПО КОРИСНИЦИМА'!$H$3:$H$11609)</f>
        <v>#VALUE!</v>
      </c>
      <c r="E570" s="1099" t="e">
        <f t="shared" si="17"/>
        <v>#VALUE!</v>
      </c>
      <c r="F570" s="1100" t="e">
        <f>SUMIF('[1]ПО КОРИСНИЦИМА'!$G$3:$G$11609,"Свега за пројекат 0602-П35:",'[1]ПО КОРИСНИЦИМА'!$I$3:$I$11609)</f>
        <v>#VALUE!</v>
      </c>
      <c r="G570" s="1128" t="e">
        <f t="shared" si="16"/>
        <v>#VALUE!</v>
      </c>
      <c r="H570" s="1096"/>
    </row>
    <row r="571" spans="1:8" ht="12.75" hidden="1">
      <c r="A571" s="1119"/>
      <c r="B571" s="1116" t="s">
        <v>791</v>
      </c>
      <c r="C571" s="1093">
        <f>_xlfn.IFERROR(VLOOKUP(B571,'[1]ПО КОРИСНИЦИМА'!$C$3:$J$11609,5,FALSE),"")</f>
      </c>
      <c r="D571" s="1098" t="e">
        <f>SUMIF('[1]ПО КОРИСНИЦИМА'!$G$3:$G$11609,"Свега за пројекат 0602-П36:",'[1]ПО КОРИСНИЦИМА'!$H$3:$H$11609)</f>
        <v>#VALUE!</v>
      </c>
      <c r="E571" s="1099" t="e">
        <f t="shared" si="17"/>
        <v>#VALUE!</v>
      </c>
      <c r="F571" s="1100" t="e">
        <f>SUMIF('[1]ПО КОРИСНИЦИМА'!$G$3:$G$11609,"Свега за пројекат 0602-П36:",'[1]ПО КОРИСНИЦИМА'!$I$3:$I$11609)</f>
        <v>#VALUE!</v>
      </c>
      <c r="G571" s="1128" t="e">
        <f t="shared" si="16"/>
        <v>#VALUE!</v>
      </c>
      <c r="H571" s="1096"/>
    </row>
    <row r="572" spans="1:8" ht="12.75" hidden="1">
      <c r="A572" s="1119"/>
      <c r="B572" s="1116" t="s">
        <v>792</v>
      </c>
      <c r="C572" s="1093">
        <f>_xlfn.IFERROR(VLOOKUP(B572,'[1]ПО КОРИСНИЦИМА'!$C$3:$J$11609,5,FALSE),"")</f>
      </c>
      <c r="D572" s="1098" t="e">
        <f>SUMIF('[1]ПО КОРИСНИЦИМА'!$G$3:$G$11609,"Свега за пројекат 0602-П37:",'[1]ПО КОРИСНИЦИМА'!$H$3:$H$11609)</f>
        <v>#VALUE!</v>
      </c>
      <c r="E572" s="1099" t="e">
        <f t="shared" si="17"/>
        <v>#VALUE!</v>
      </c>
      <c r="F572" s="1100" t="e">
        <f>SUMIF('[1]ПО КОРИСНИЦИМА'!$G$3:$G$11609,"Свега за пројекат 0602-П37:",'[1]ПО КОРИСНИЦИМА'!$I$3:$I$11609)</f>
        <v>#VALUE!</v>
      </c>
      <c r="G572" s="1128" t="e">
        <f t="shared" si="16"/>
        <v>#VALUE!</v>
      </c>
      <c r="H572" s="1096"/>
    </row>
    <row r="573" spans="1:8" ht="12.75" hidden="1">
      <c r="A573" s="1119"/>
      <c r="B573" s="1116" t="s">
        <v>793</v>
      </c>
      <c r="C573" s="1093">
        <f>_xlfn.IFERROR(VLOOKUP(B573,'[1]ПО КОРИСНИЦИМА'!$C$3:$J$11609,5,FALSE),"")</f>
      </c>
      <c r="D573" s="1098" t="e">
        <f>SUMIF('[1]ПО КОРИСНИЦИМА'!$G$3:$G$11609,"Свега за пројекат 0602-П38:",'[1]ПО КОРИСНИЦИМА'!$H$3:$H$11609)</f>
        <v>#VALUE!</v>
      </c>
      <c r="E573" s="1099" t="e">
        <f t="shared" si="17"/>
        <v>#VALUE!</v>
      </c>
      <c r="F573" s="1100" t="e">
        <f>SUMIF('[1]ПО КОРИСНИЦИМА'!$G$3:$G$11609,"Свега за пројекат 0602-П38:",'[1]ПО КОРИСНИЦИМА'!$I$3:$I$11609)</f>
        <v>#VALUE!</v>
      </c>
      <c r="G573" s="1128" t="e">
        <f t="shared" si="16"/>
        <v>#VALUE!</v>
      </c>
      <c r="H573" s="1096"/>
    </row>
    <row r="574" spans="1:8" ht="12.75" hidden="1">
      <c r="A574" s="1119"/>
      <c r="B574" s="1116" t="s">
        <v>794</v>
      </c>
      <c r="C574" s="1093">
        <f>_xlfn.IFERROR(VLOOKUP(B574,'[1]ПО КОРИСНИЦИМА'!$C$3:$J$11609,5,FALSE),"")</f>
      </c>
      <c r="D574" s="1098" t="e">
        <f>SUMIF('[1]ПО КОРИСНИЦИМА'!$G$3:$G$11609,"Свега за пројекат 0602-П39:",'[1]ПО КОРИСНИЦИМА'!$H$3:$H$11609)</f>
        <v>#VALUE!</v>
      </c>
      <c r="E574" s="1099" t="e">
        <f t="shared" si="17"/>
        <v>#VALUE!</v>
      </c>
      <c r="F574" s="1100" t="e">
        <f>SUMIF('[1]ПО КОРИСНИЦИМА'!$G$3:$G$11609,"Свега за пројекат 0602-П39:",'[1]ПО КОРИСНИЦИМА'!$I$3:$I$11609)</f>
        <v>#VALUE!</v>
      </c>
      <c r="G574" s="1128" t="e">
        <f t="shared" si="16"/>
        <v>#VALUE!</v>
      </c>
      <c r="H574" s="1096"/>
    </row>
    <row r="575" spans="1:8" ht="12.75" hidden="1">
      <c r="A575" s="1119"/>
      <c r="B575" s="1116" t="s">
        <v>795</v>
      </c>
      <c r="C575" s="1093">
        <f>_xlfn.IFERROR(VLOOKUP(B575,'[1]ПО КОРИСНИЦИМА'!$C$3:$J$11609,5,FALSE),"")</f>
      </c>
      <c r="D575" s="1098" t="e">
        <f>SUMIF('[1]ПО КОРИСНИЦИМА'!$G$3:$G$11609,"Свега за пројекат 0602-П40:",'[1]ПО КОРИСНИЦИМА'!$H$3:$H$11609)</f>
        <v>#VALUE!</v>
      </c>
      <c r="E575" s="1099" t="e">
        <f t="shared" si="17"/>
        <v>#VALUE!</v>
      </c>
      <c r="F575" s="1100" t="e">
        <f>SUMIF('[1]ПО КОРИСНИЦИМА'!$G$3:$G$11609,"Свега за пројекат 0602-П40:",'[1]ПО КОРИСНИЦИМА'!$I$3:$I$11609)</f>
        <v>#VALUE!</v>
      </c>
      <c r="G575" s="1128" t="e">
        <f t="shared" si="16"/>
        <v>#VALUE!</v>
      </c>
      <c r="H575" s="1096"/>
    </row>
    <row r="576" spans="1:8" ht="12.75" hidden="1">
      <c r="A576" s="1119"/>
      <c r="B576" s="1116" t="s">
        <v>796</v>
      </c>
      <c r="C576" s="1093">
        <f>_xlfn.IFERROR(VLOOKUP(B576,'[1]ПО КОРИСНИЦИМА'!$C$3:$J$11609,5,FALSE),"")</f>
      </c>
      <c r="D576" s="1098" t="e">
        <f>SUMIF('[1]ПО КОРИСНИЦИМА'!$G$3:$G$11609,"Свега за пројекат 0602-П41:",'[1]ПО КОРИСНИЦИМА'!$H$3:$H$11609)</f>
        <v>#VALUE!</v>
      </c>
      <c r="E576" s="1099" t="e">
        <f t="shared" si="17"/>
        <v>#VALUE!</v>
      </c>
      <c r="F576" s="1100" t="e">
        <f>SUMIF('[1]ПО КОРИСНИЦИМА'!$G$3:$G$11609,"Свега за пројекат 0602-П41:",'[1]ПО КОРИСНИЦИМА'!$I$3:$I$11609)</f>
        <v>#VALUE!</v>
      </c>
      <c r="G576" s="1128" t="e">
        <f t="shared" si="16"/>
        <v>#VALUE!</v>
      </c>
      <c r="H576" s="1096"/>
    </row>
    <row r="577" spans="1:8" ht="12.75" hidden="1">
      <c r="A577" s="1119"/>
      <c r="B577" s="1116" t="s">
        <v>797</v>
      </c>
      <c r="C577" s="1093">
        <f>_xlfn.IFERROR(VLOOKUP(B577,'[1]ПО КОРИСНИЦИМА'!$C$3:$J$11609,5,FALSE),"")</f>
      </c>
      <c r="D577" s="1098" t="e">
        <f>SUMIF('[1]ПО КОРИСНИЦИМА'!$G$3:$G$11609,"Свега за пројекат 0602-П42:",'[1]ПО КОРИСНИЦИМА'!$H$3:$H$11609)</f>
        <v>#VALUE!</v>
      </c>
      <c r="E577" s="1099" t="e">
        <f t="shared" si="17"/>
        <v>#VALUE!</v>
      </c>
      <c r="F577" s="1100" t="e">
        <f>SUMIF('[1]ПО КОРИСНИЦИМА'!$G$3:$G$11609,"Свега за пројекат 0602-П42:",'[1]ПО КОРИСНИЦИМА'!$I$3:$I$11609)</f>
        <v>#VALUE!</v>
      </c>
      <c r="G577" s="1128" t="e">
        <f t="shared" si="16"/>
        <v>#VALUE!</v>
      </c>
      <c r="H577" s="1096"/>
    </row>
    <row r="578" spans="1:8" ht="12.75" hidden="1">
      <c r="A578" s="1119"/>
      <c r="B578" s="1116" t="s">
        <v>798</v>
      </c>
      <c r="C578" s="1093">
        <f>_xlfn.IFERROR(VLOOKUP(B578,'[1]ПО КОРИСНИЦИМА'!$C$3:$J$11609,5,FALSE),"")</f>
      </c>
      <c r="D578" s="1098" t="e">
        <f>SUMIF('[1]ПО КОРИСНИЦИМА'!$G$3:$G$11609,"Свега за пројекат 0602-П43:",'[1]ПО КОРИСНИЦИМА'!$H$3:$H$11609)</f>
        <v>#VALUE!</v>
      </c>
      <c r="E578" s="1099" t="e">
        <f t="shared" si="17"/>
        <v>#VALUE!</v>
      </c>
      <c r="F578" s="1100" t="e">
        <f>SUMIF('[1]ПО КОРИСНИЦИМА'!$G$3:$G$11609,"Свега за пројекат 0602-П43:",'[1]ПО КОРИСНИЦИМА'!$I$3:$I$11609)</f>
        <v>#VALUE!</v>
      </c>
      <c r="G578" s="1128" t="e">
        <f t="shared" si="16"/>
        <v>#VALUE!</v>
      </c>
      <c r="H578" s="1096"/>
    </row>
    <row r="579" spans="1:8" ht="12.75" hidden="1">
      <c r="A579" s="1119"/>
      <c r="B579" s="1116" t="s">
        <v>799</v>
      </c>
      <c r="C579" s="1093">
        <f>_xlfn.IFERROR(VLOOKUP(B579,'[1]ПО КОРИСНИЦИМА'!$C$3:$J$11609,5,FALSE),"")</f>
      </c>
      <c r="D579" s="1098" t="e">
        <f>SUMIF('[1]ПО КОРИСНИЦИМА'!$G$3:$G$11609,"Свега за пројекат 0602-П44:",'[1]ПО КОРИСНИЦИМА'!$H$3:$H$11609)</f>
        <v>#VALUE!</v>
      </c>
      <c r="E579" s="1099" t="e">
        <f t="shared" si="17"/>
        <v>#VALUE!</v>
      </c>
      <c r="F579" s="1100" t="e">
        <f>SUMIF('[1]ПО КОРИСНИЦИМА'!$G$3:$G$11609,"Свега за пројекат 0602-П44:",'[1]ПО КОРИСНИЦИМА'!$I$3:$I$11609)</f>
        <v>#VALUE!</v>
      </c>
      <c r="G579" s="1128" t="e">
        <f t="shared" si="16"/>
        <v>#VALUE!</v>
      </c>
      <c r="H579" s="1096"/>
    </row>
    <row r="580" spans="1:8" ht="12.75" hidden="1">
      <c r="A580" s="1119"/>
      <c r="B580" s="1116" t="s">
        <v>800</v>
      </c>
      <c r="C580" s="1093">
        <f>_xlfn.IFERROR(VLOOKUP(B580,'[1]ПО КОРИСНИЦИМА'!$C$3:$J$11609,5,FALSE),"")</f>
      </c>
      <c r="D580" s="1098" t="e">
        <f>SUMIF('[1]ПО КОРИСНИЦИМА'!$G$3:$G$11609,"Свега за пројекат 0602-П45:",'[1]ПО КОРИСНИЦИМА'!$H$3:$H$11609)</f>
        <v>#VALUE!</v>
      </c>
      <c r="E580" s="1099" t="e">
        <f t="shared" si="17"/>
        <v>#VALUE!</v>
      </c>
      <c r="F580" s="1100" t="e">
        <f>SUMIF('[1]ПО КОРИСНИЦИМА'!$G$3:$G$11609,"Свега за пројекат 0602-П45:",'[1]ПО КОРИСНИЦИМА'!$I$3:$I$11609)</f>
        <v>#VALUE!</v>
      </c>
      <c r="G580" s="1128" t="e">
        <f t="shared" si="16"/>
        <v>#VALUE!</v>
      </c>
      <c r="H580" s="1096"/>
    </row>
    <row r="581" spans="1:8" ht="12.75" hidden="1">
      <c r="A581" s="1119"/>
      <c r="B581" s="1116" t="s">
        <v>801</v>
      </c>
      <c r="C581" s="1093">
        <f>_xlfn.IFERROR(VLOOKUP(B581,'[1]ПО КОРИСНИЦИМА'!$C$3:$J$11609,5,FALSE),"")</f>
      </c>
      <c r="D581" s="1098" t="e">
        <f>SUMIF('[1]ПО КОРИСНИЦИМА'!$G$3:$G$11609,"Свега за пројекат 0602-П46:",'[1]ПО КОРИСНИЦИМА'!$H$3:$H$11609)</f>
        <v>#VALUE!</v>
      </c>
      <c r="E581" s="1099" t="e">
        <f t="shared" si="17"/>
        <v>#VALUE!</v>
      </c>
      <c r="F581" s="1100" t="e">
        <f>SUMIF('[1]ПО КОРИСНИЦИМА'!$G$3:$G$11609,"Свега за пројекат 0602-П46:",'[1]ПО КОРИСНИЦИМА'!$I$3:$I$11609)</f>
        <v>#VALUE!</v>
      </c>
      <c r="G581" s="1128" t="e">
        <f aca="true" t="shared" si="18" ref="G581:G612">D581+F581</f>
        <v>#VALUE!</v>
      </c>
      <c r="H581" s="1096"/>
    </row>
    <row r="582" spans="1:8" ht="12.75" hidden="1">
      <c r="A582" s="1119"/>
      <c r="B582" s="1116" t="s">
        <v>802</v>
      </c>
      <c r="C582" s="1093">
        <f>_xlfn.IFERROR(VLOOKUP(B582,'[1]ПО КОРИСНИЦИМА'!$C$3:$J$11609,5,FALSE),"")</f>
      </c>
      <c r="D582" s="1098" t="e">
        <f>SUMIF('[1]ПО КОРИСНИЦИМА'!$G$3:$G$11609,"Свега за пројекат 0602-П47:",'[1]ПО КОРИСНИЦИМА'!$H$3:$H$11609)</f>
        <v>#VALUE!</v>
      </c>
      <c r="E582" s="1099" t="e">
        <f t="shared" si="17"/>
        <v>#VALUE!</v>
      </c>
      <c r="F582" s="1100" t="e">
        <f>SUMIF('[1]ПО КОРИСНИЦИМА'!$G$3:$G$11609,"Свега за пројекат 0602-П47:",'[1]ПО КОРИСНИЦИМА'!$I$3:$I$11609)</f>
        <v>#VALUE!</v>
      </c>
      <c r="G582" s="1128" t="e">
        <f t="shared" si="18"/>
        <v>#VALUE!</v>
      </c>
      <c r="H582" s="1096"/>
    </row>
    <row r="583" spans="1:8" ht="12.75" hidden="1">
      <c r="A583" s="1119"/>
      <c r="B583" s="1116" t="s">
        <v>803</v>
      </c>
      <c r="C583" s="1093">
        <f>_xlfn.IFERROR(VLOOKUP(B583,'[1]ПО КОРИСНИЦИМА'!$C$3:$J$11609,5,FALSE),"")</f>
      </c>
      <c r="D583" s="1098" t="e">
        <f>SUMIF('[1]ПО КОРИСНИЦИМА'!$G$3:$G$11609,"Свега за пројекат 0602-П48:",'[1]ПО КОРИСНИЦИМА'!$H$3:$H$11609)</f>
        <v>#VALUE!</v>
      </c>
      <c r="E583" s="1099" t="e">
        <f aca="true" t="shared" si="19" ref="E583:E611">D583/452948288</f>
        <v>#VALUE!</v>
      </c>
      <c r="F583" s="1100" t="e">
        <f>SUMIF('[1]ПО КОРИСНИЦИМА'!$G$3:$G$11609,"Свега за пројекат 0602-П48:",'[1]ПО КОРИСНИЦИМА'!$I$3:$I$11609)</f>
        <v>#VALUE!</v>
      </c>
      <c r="G583" s="1128" t="e">
        <f t="shared" si="18"/>
        <v>#VALUE!</v>
      </c>
      <c r="H583" s="1096"/>
    </row>
    <row r="584" spans="1:8" ht="12.75" hidden="1">
      <c r="A584" s="1119"/>
      <c r="B584" s="1116" t="s">
        <v>804</v>
      </c>
      <c r="C584" s="1093">
        <f>_xlfn.IFERROR(VLOOKUP(B584,'[1]ПО КОРИСНИЦИМА'!$C$3:$J$11609,5,FALSE),"")</f>
      </c>
      <c r="D584" s="1098" t="e">
        <f>SUMIF('[1]ПО КОРИСНИЦИМА'!$G$3:$G$11609,"Свега за пројекат 0602-П49:",'[1]ПО КОРИСНИЦИМА'!$H$3:$H$11609)</f>
        <v>#VALUE!</v>
      </c>
      <c r="E584" s="1099" t="e">
        <f t="shared" si="19"/>
        <v>#VALUE!</v>
      </c>
      <c r="F584" s="1100" t="e">
        <f>SUMIF('[1]ПО КОРИСНИЦИМА'!$G$3:$G$11609,"Свега за пројекат 0602-П49:",'[1]ПО КОРИСНИЦИМА'!$I$3:$I$11609)</f>
        <v>#VALUE!</v>
      </c>
      <c r="G584" s="1128" t="e">
        <f t="shared" si="18"/>
        <v>#VALUE!</v>
      </c>
      <c r="H584" s="1096"/>
    </row>
    <row r="585" spans="1:8" ht="12.75" hidden="1">
      <c r="A585" s="1119"/>
      <c r="B585" s="1116" t="s">
        <v>805</v>
      </c>
      <c r="C585" s="1093">
        <f>_xlfn.IFERROR(VLOOKUP(B585,'[1]ПО КОРИСНИЦИМА'!$C$3:$J$11609,5,FALSE),"")</f>
      </c>
      <c r="D585" s="1098" t="e">
        <f>SUMIF('[1]ПО КОРИСНИЦИМА'!$G$3:$G$11609,"Свега за пројекат 0602-П50:",'[1]ПО КОРИСНИЦИМА'!$H$3:$H$11609)</f>
        <v>#VALUE!</v>
      </c>
      <c r="E585" s="1099" t="e">
        <f t="shared" si="19"/>
        <v>#VALUE!</v>
      </c>
      <c r="F585" s="1100" t="e">
        <f>SUMIF('[1]ПО КОРИСНИЦИМА'!$G$3:$G$11609,"Свега за пројекат 0602-П50:",'[1]ПО КОРИСНИЦИМА'!$I$3:$I$11609)</f>
        <v>#VALUE!</v>
      </c>
      <c r="G585" s="1128" t="e">
        <f t="shared" si="18"/>
        <v>#VALUE!</v>
      </c>
      <c r="H585" s="1096"/>
    </row>
    <row r="586" spans="1:8" ht="12.75" hidden="1">
      <c r="A586" s="1119"/>
      <c r="B586" s="1116" t="s">
        <v>806</v>
      </c>
      <c r="C586" s="1093">
        <f>_xlfn.IFERROR(VLOOKUP(B586,'[1]ПО КОРИСНИЦИМА'!$C$3:$J$11609,5,FALSE),"")</f>
      </c>
      <c r="D586" s="1098" t="e">
        <f>SUMIF('[1]ПО КОРИСНИЦИМА'!$G$3:$G$11609,"Свега за пројекат 0602-П51:",'[1]ПО КОРИСНИЦИМА'!$H$3:$H$11609)</f>
        <v>#VALUE!</v>
      </c>
      <c r="E586" s="1099" t="e">
        <f t="shared" si="19"/>
        <v>#VALUE!</v>
      </c>
      <c r="F586" s="1100" t="e">
        <f>SUMIF('[1]ПО КОРИСНИЦИМА'!$G$3:$G$11609,"Свега за пројекат 0602-П51:",'[1]ПО КОРИСНИЦИМА'!$I$3:$I$11609)</f>
        <v>#VALUE!</v>
      </c>
      <c r="G586" s="1128" t="e">
        <f t="shared" si="18"/>
        <v>#VALUE!</v>
      </c>
      <c r="H586" s="1096"/>
    </row>
    <row r="587" spans="1:8" ht="12.75" hidden="1">
      <c r="A587" s="1119"/>
      <c r="B587" s="1116" t="s">
        <v>807</v>
      </c>
      <c r="C587" s="1093">
        <f>_xlfn.IFERROR(VLOOKUP(B587,'[1]ПО КОРИСНИЦИМА'!$C$3:$J$11609,5,FALSE),"")</f>
      </c>
      <c r="D587" s="1098" t="e">
        <f>SUMIF('[1]ПО КОРИСНИЦИМА'!$G$3:$G$11609,"Свега за пројекат 0602-П52:",'[1]ПО КОРИСНИЦИМА'!$H$3:$H$11609)</f>
        <v>#VALUE!</v>
      </c>
      <c r="E587" s="1099" t="e">
        <f t="shared" si="19"/>
        <v>#VALUE!</v>
      </c>
      <c r="F587" s="1100" t="e">
        <f>SUMIF('[1]ПО КОРИСНИЦИМА'!$G$3:$G$11609,"Свега за пројекат 0602-П52:",'[1]ПО КОРИСНИЦИМА'!$I$3:$I$11609)</f>
        <v>#VALUE!</v>
      </c>
      <c r="G587" s="1128" t="e">
        <f t="shared" si="18"/>
        <v>#VALUE!</v>
      </c>
      <c r="H587" s="1096"/>
    </row>
    <row r="588" spans="1:8" ht="12.75" hidden="1">
      <c r="A588" s="1119"/>
      <c r="B588" s="1116" t="s">
        <v>808</v>
      </c>
      <c r="C588" s="1093">
        <f>_xlfn.IFERROR(VLOOKUP(B588,'[1]ПО КОРИСНИЦИМА'!$C$3:$J$11609,5,FALSE),"")</f>
      </c>
      <c r="D588" s="1098" t="e">
        <f>SUMIF('[1]ПО КОРИСНИЦИМА'!$G$3:$G$11609,"Свега за пројекат 0602-П53:",'[1]ПО КОРИСНИЦИМА'!$H$3:$H$11609)</f>
        <v>#VALUE!</v>
      </c>
      <c r="E588" s="1099" t="e">
        <f t="shared" si="19"/>
        <v>#VALUE!</v>
      </c>
      <c r="F588" s="1100" t="e">
        <f>SUMIF('[1]ПО КОРИСНИЦИМА'!$G$3:$G$11609,"Свега за пројекат 0602-П53:",'[1]ПО КОРИСНИЦИМА'!$I$3:$I$11609)</f>
        <v>#VALUE!</v>
      </c>
      <c r="G588" s="1128" t="e">
        <f t="shared" si="18"/>
        <v>#VALUE!</v>
      </c>
      <c r="H588" s="1096"/>
    </row>
    <row r="589" spans="1:8" ht="12.75" hidden="1">
      <c r="A589" s="1119"/>
      <c r="B589" s="1116" t="s">
        <v>809</v>
      </c>
      <c r="C589" s="1093">
        <f>_xlfn.IFERROR(VLOOKUP(B589,'[1]ПО КОРИСНИЦИМА'!$C$3:$J$11609,5,FALSE),"")</f>
      </c>
      <c r="D589" s="1098" t="e">
        <f>SUMIF('[1]ПО КОРИСНИЦИМА'!$G$3:$G$11609,"Свега за пројекат 0602-П54:",'[1]ПО КОРИСНИЦИМА'!$H$3:$H$11609)</f>
        <v>#VALUE!</v>
      </c>
      <c r="E589" s="1099" t="e">
        <f t="shared" si="19"/>
        <v>#VALUE!</v>
      </c>
      <c r="F589" s="1100" t="e">
        <f>SUMIF('[1]ПО КОРИСНИЦИМА'!$G$3:$G$11609,"Свега за пројекат 0602-П54:",'[1]ПО КОРИСНИЦИМА'!$I$3:$I$11609)</f>
        <v>#VALUE!</v>
      </c>
      <c r="G589" s="1128" t="e">
        <f t="shared" si="18"/>
        <v>#VALUE!</v>
      </c>
      <c r="H589" s="1096"/>
    </row>
    <row r="590" spans="1:8" ht="12.75" hidden="1">
      <c r="A590" s="1119"/>
      <c r="B590" s="1116" t="s">
        <v>810</v>
      </c>
      <c r="C590" s="1093">
        <f>_xlfn.IFERROR(VLOOKUP(B590,'[1]ПО КОРИСНИЦИМА'!$C$3:$J$11609,5,FALSE),"")</f>
      </c>
      <c r="D590" s="1098" t="e">
        <f>SUMIF('[1]ПО КОРИСНИЦИМА'!$G$3:$G$11609,"Свега за пројекат 0602-П55:",'[1]ПО КОРИСНИЦИМА'!$H$3:$H$11609)</f>
        <v>#VALUE!</v>
      </c>
      <c r="E590" s="1099" t="e">
        <f t="shared" si="19"/>
        <v>#VALUE!</v>
      </c>
      <c r="F590" s="1100" t="e">
        <f>SUMIF('[1]ПО КОРИСНИЦИМА'!$G$3:$G$11609,"Свега за пројекат 0602-П55:",'[1]ПО КОРИСНИЦИМА'!$I$3:$I$11609)</f>
        <v>#VALUE!</v>
      </c>
      <c r="G590" s="1128" t="e">
        <f t="shared" si="18"/>
        <v>#VALUE!</v>
      </c>
      <c r="H590" s="1096"/>
    </row>
    <row r="591" spans="1:8" ht="12.75" hidden="1">
      <c r="A591" s="1119"/>
      <c r="B591" s="1116" t="s">
        <v>811</v>
      </c>
      <c r="C591" s="1093">
        <f>_xlfn.IFERROR(VLOOKUP(B591,'[1]ПО КОРИСНИЦИМА'!$C$3:$J$11609,5,FALSE),"")</f>
      </c>
      <c r="D591" s="1098" t="e">
        <f>SUMIF('[1]ПО КОРИСНИЦИМА'!$G$3:$G$11609,"Свега за пројекат 0602-П56:",'[1]ПО КОРИСНИЦИМА'!$H$3:$H$11609)</f>
        <v>#VALUE!</v>
      </c>
      <c r="E591" s="1099" t="e">
        <f t="shared" si="19"/>
        <v>#VALUE!</v>
      </c>
      <c r="F591" s="1100" t="e">
        <f>SUMIF('[1]ПО КОРИСНИЦИМА'!$G$3:$G$11609,"Свега за пројекат 0602-П56:",'[1]ПО КОРИСНИЦИМА'!$I$3:$I$11609)</f>
        <v>#VALUE!</v>
      </c>
      <c r="G591" s="1128" t="e">
        <f t="shared" si="18"/>
        <v>#VALUE!</v>
      </c>
      <c r="H591" s="1096"/>
    </row>
    <row r="592" spans="1:8" ht="12.75" hidden="1">
      <c r="A592" s="1119"/>
      <c r="B592" s="1116" t="s">
        <v>812</v>
      </c>
      <c r="C592" s="1093">
        <f>_xlfn.IFERROR(VLOOKUP(B592,'[1]ПО КОРИСНИЦИМА'!$C$3:$J$11609,5,FALSE),"")</f>
      </c>
      <c r="D592" s="1098" t="e">
        <f>SUMIF('[1]ПО КОРИСНИЦИМА'!$G$3:$G$11609,"Свега за пројекат 0602-П57:",'[1]ПО КОРИСНИЦИМА'!$H$3:$H$11609)</f>
        <v>#VALUE!</v>
      </c>
      <c r="E592" s="1099" t="e">
        <f t="shared" si="19"/>
        <v>#VALUE!</v>
      </c>
      <c r="F592" s="1100" t="e">
        <f>SUMIF('[1]ПО КОРИСНИЦИМА'!$G$3:$G$11609,"Свега за пројекат 0602-П57:",'[1]ПО КОРИСНИЦИМА'!$I$3:$I$11609)</f>
        <v>#VALUE!</v>
      </c>
      <c r="G592" s="1128" t="e">
        <f t="shared" si="18"/>
        <v>#VALUE!</v>
      </c>
      <c r="H592" s="1096"/>
    </row>
    <row r="593" spans="1:8" ht="12.75" hidden="1">
      <c r="A593" s="1119"/>
      <c r="B593" s="1116" t="s">
        <v>813</v>
      </c>
      <c r="C593" s="1093">
        <f>_xlfn.IFERROR(VLOOKUP(B593,'[1]ПО КОРИСНИЦИМА'!$C$3:$J$11609,5,FALSE),"")</f>
      </c>
      <c r="D593" s="1098" t="e">
        <f>SUMIF('[1]ПО КОРИСНИЦИМА'!$G$3:$G$11609,"Свега за пројекат 0602-П58:",'[1]ПО КОРИСНИЦИМА'!$H$3:$H$11609)</f>
        <v>#VALUE!</v>
      </c>
      <c r="E593" s="1099" t="e">
        <f t="shared" si="19"/>
        <v>#VALUE!</v>
      </c>
      <c r="F593" s="1100" t="e">
        <f>SUMIF('[1]ПО КОРИСНИЦИМА'!$G$3:$G$11609,"Свега за пројекат 0602-П58:",'[1]ПО КОРИСНИЦИМА'!$I$3:$I$11609)</f>
        <v>#VALUE!</v>
      </c>
      <c r="G593" s="1128" t="e">
        <f t="shared" si="18"/>
        <v>#VALUE!</v>
      </c>
      <c r="H593" s="1096"/>
    </row>
    <row r="594" spans="1:8" ht="12.75" hidden="1">
      <c r="A594" s="1119"/>
      <c r="B594" s="1116" t="s">
        <v>814</v>
      </c>
      <c r="C594" s="1093">
        <f>_xlfn.IFERROR(VLOOKUP(B594,'[1]ПО КОРИСНИЦИМА'!$C$3:$J$11609,5,FALSE),"")</f>
      </c>
      <c r="D594" s="1098" t="e">
        <f>SUMIF('[1]ПО КОРИСНИЦИМА'!$G$3:$G$11609,"Свега за пројекат 0602-П59:",'[1]ПО КОРИСНИЦИМА'!$H$3:$H$11609)</f>
        <v>#VALUE!</v>
      </c>
      <c r="E594" s="1099" t="e">
        <f t="shared" si="19"/>
        <v>#VALUE!</v>
      </c>
      <c r="F594" s="1100" t="e">
        <f>SUMIF('[1]ПО КОРИСНИЦИМА'!$G$3:$G$11609,"Свега за пројекат 0602-П59:",'[1]ПО КОРИСНИЦИМА'!$I$3:$I$11609)</f>
        <v>#VALUE!</v>
      </c>
      <c r="G594" s="1128" t="e">
        <f t="shared" si="18"/>
        <v>#VALUE!</v>
      </c>
      <c r="H594" s="1096"/>
    </row>
    <row r="595" spans="1:8" ht="12.75" hidden="1">
      <c r="A595" s="1119"/>
      <c r="B595" s="1116" t="s">
        <v>815</v>
      </c>
      <c r="C595" s="1093">
        <f>_xlfn.IFERROR(VLOOKUP(B595,'[1]ПО КОРИСНИЦИМА'!$C$3:$J$11609,5,FALSE),"")</f>
      </c>
      <c r="D595" s="1098" t="e">
        <f>SUMIF('[1]ПО КОРИСНИЦИМА'!$G$3:$G$11609,"Свега за пројекат 0602-П60:",'[1]ПО КОРИСНИЦИМА'!$H$3:$H$11609)</f>
        <v>#VALUE!</v>
      </c>
      <c r="E595" s="1099" t="e">
        <f t="shared" si="19"/>
        <v>#VALUE!</v>
      </c>
      <c r="F595" s="1100" t="e">
        <f>SUMIF('[1]ПО КОРИСНИЦИМА'!$G$3:$G$11609,"Свега за пројекат 0602-П60:",'[1]ПО КОРИСНИЦИМА'!$I$3:$I$11609)</f>
        <v>#VALUE!</v>
      </c>
      <c r="G595" s="1128" t="e">
        <f t="shared" si="18"/>
        <v>#VALUE!</v>
      </c>
      <c r="H595" s="1096"/>
    </row>
    <row r="596" spans="1:8" ht="12.75" hidden="1">
      <c r="A596" s="1119"/>
      <c r="B596" s="1116" t="s">
        <v>816</v>
      </c>
      <c r="C596" s="1093">
        <f>_xlfn.IFERROR(VLOOKUP(B596,'[1]ПО КОРИСНИЦИМА'!$C$3:$J$11609,5,FALSE),"")</f>
      </c>
      <c r="D596" s="1098" t="e">
        <f>SUMIF('[1]ПО КОРИСНИЦИМА'!$G$3:$G$11609,"Свега за пројекат 0602-П61:",'[1]ПО КОРИСНИЦИМА'!$H$3:$H$11609)</f>
        <v>#VALUE!</v>
      </c>
      <c r="E596" s="1099" t="e">
        <f t="shared" si="19"/>
        <v>#VALUE!</v>
      </c>
      <c r="F596" s="1100" t="e">
        <f>SUMIF('[1]ПО КОРИСНИЦИМА'!$G$3:$G$11609,"Свега за пројекат 0602-П61:",'[1]ПО КОРИСНИЦИМА'!$I$3:$I$11609)</f>
        <v>#VALUE!</v>
      </c>
      <c r="G596" s="1128" t="e">
        <f t="shared" si="18"/>
        <v>#VALUE!</v>
      </c>
      <c r="H596" s="1096"/>
    </row>
    <row r="597" spans="1:8" ht="12.75" hidden="1">
      <c r="A597" s="1119"/>
      <c r="B597" s="1116" t="s">
        <v>817</v>
      </c>
      <c r="C597" s="1093">
        <f>_xlfn.IFERROR(VLOOKUP(B597,'[1]ПО КОРИСНИЦИМА'!$C$3:$J$11609,5,FALSE),"")</f>
      </c>
      <c r="D597" s="1098" t="e">
        <f>SUMIF('[1]ПО КОРИСНИЦИМА'!$G$3:$G$11609,"Свега за пројекат 0602-П62:",'[1]ПО КОРИСНИЦИМА'!$H$3:$H$11609)</f>
        <v>#VALUE!</v>
      </c>
      <c r="E597" s="1099" t="e">
        <f t="shared" si="19"/>
        <v>#VALUE!</v>
      </c>
      <c r="F597" s="1100" t="e">
        <f>SUMIF('[1]ПО КОРИСНИЦИМА'!$G$3:$G$11609,"Свега за пројекат 0602-П62:",'[1]ПО КОРИСНИЦИМА'!$I$3:$I$11609)</f>
        <v>#VALUE!</v>
      </c>
      <c r="G597" s="1128" t="e">
        <f t="shared" si="18"/>
        <v>#VALUE!</v>
      </c>
      <c r="H597" s="1096"/>
    </row>
    <row r="598" spans="1:8" ht="12.75" hidden="1">
      <c r="A598" s="1119"/>
      <c r="B598" s="1116" t="s">
        <v>818</v>
      </c>
      <c r="C598" s="1093">
        <f>_xlfn.IFERROR(VLOOKUP(B598,'[1]ПО КОРИСНИЦИМА'!$C$3:$J$11609,5,FALSE),"")</f>
      </c>
      <c r="D598" s="1098" t="e">
        <f>SUMIF('[1]ПО КОРИСНИЦИМА'!$G$3:$G$11609,"Свега за пројекат 0602-П63:",'[1]ПО КОРИСНИЦИМА'!$H$3:$H$11609)</f>
        <v>#VALUE!</v>
      </c>
      <c r="E598" s="1099" t="e">
        <f t="shared" si="19"/>
        <v>#VALUE!</v>
      </c>
      <c r="F598" s="1100" t="e">
        <f>SUMIF('[1]ПО КОРИСНИЦИМА'!$G$3:$G$11609,"Свега за пројекат 0602-П63:",'[1]ПО КОРИСНИЦИМА'!$I$3:$I$11609)</f>
        <v>#VALUE!</v>
      </c>
      <c r="G598" s="1128" t="e">
        <f t="shared" si="18"/>
        <v>#VALUE!</v>
      </c>
      <c r="H598" s="1096"/>
    </row>
    <row r="599" spans="1:8" ht="12.75" hidden="1">
      <c r="A599" s="1119"/>
      <c r="B599" s="1116" t="s">
        <v>819</v>
      </c>
      <c r="C599" s="1093">
        <f>_xlfn.IFERROR(VLOOKUP(B599,'[1]ПО КОРИСНИЦИМА'!$C$3:$J$11609,5,FALSE),"")</f>
      </c>
      <c r="D599" s="1098" t="e">
        <f>SUMIF('[1]ПО КОРИСНИЦИМА'!$G$3:$G$11609,"Свега за пројекат 0602-П64:",'[1]ПО КОРИСНИЦИМА'!$H$3:$H$11609)</f>
        <v>#VALUE!</v>
      </c>
      <c r="E599" s="1099" t="e">
        <f t="shared" si="19"/>
        <v>#VALUE!</v>
      </c>
      <c r="F599" s="1100" t="e">
        <f>SUMIF('[1]ПО КОРИСНИЦИМА'!$G$3:$G$11609,"Свега за пројекат 0602-П64:",'[1]ПО КОРИСНИЦИМА'!$I$3:$I$11609)</f>
        <v>#VALUE!</v>
      </c>
      <c r="G599" s="1128" t="e">
        <f t="shared" si="18"/>
        <v>#VALUE!</v>
      </c>
      <c r="H599" s="1096"/>
    </row>
    <row r="600" spans="1:8" ht="12.75" hidden="1">
      <c r="A600" s="1119"/>
      <c r="B600" s="1116" t="s">
        <v>820</v>
      </c>
      <c r="C600" s="1093">
        <f>_xlfn.IFERROR(VLOOKUP(B600,'[1]ПО КОРИСНИЦИМА'!$C$3:$J$11609,5,FALSE),"")</f>
      </c>
      <c r="D600" s="1098" t="e">
        <f>SUMIF('[1]ПО КОРИСНИЦИМА'!$G$3:$G$11609,"Свега за пројекат 0602-П65:",'[1]ПО КОРИСНИЦИМА'!$H$3:$H$11609)</f>
        <v>#VALUE!</v>
      </c>
      <c r="E600" s="1099" t="e">
        <f t="shared" si="19"/>
        <v>#VALUE!</v>
      </c>
      <c r="F600" s="1100" t="e">
        <f>SUMIF('[1]ПО КОРИСНИЦИМА'!$G$3:$G$11609,"Свега за пројекат 0602-П65:",'[1]ПО КОРИСНИЦИМА'!$I$3:$I$11609)</f>
        <v>#VALUE!</v>
      </c>
      <c r="G600" s="1128" t="e">
        <f t="shared" si="18"/>
        <v>#VALUE!</v>
      </c>
      <c r="H600" s="1096"/>
    </row>
    <row r="601" spans="1:8" ht="12.75" hidden="1">
      <c r="A601" s="1119"/>
      <c r="B601" s="1116" t="s">
        <v>821</v>
      </c>
      <c r="C601" s="1093">
        <f>_xlfn.IFERROR(VLOOKUP(B601,'[1]ПО КОРИСНИЦИМА'!$C$3:$J$11609,5,FALSE),"")</f>
      </c>
      <c r="D601" s="1098" t="e">
        <f>SUMIF('[1]ПО КОРИСНИЦИМА'!$G$3:$G$11609,"Свега за пројекат 0602-П66:",'[1]ПО КОРИСНИЦИМА'!$H$3:$H$11609)</f>
        <v>#VALUE!</v>
      </c>
      <c r="E601" s="1099" t="e">
        <f t="shared" si="19"/>
        <v>#VALUE!</v>
      </c>
      <c r="F601" s="1100" t="e">
        <f>SUMIF('[1]ПО КОРИСНИЦИМА'!$G$3:$G$11609,"Свега за пројекат 0602-П66:",'[1]ПО КОРИСНИЦИМА'!$I$3:$I$11609)</f>
        <v>#VALUE!</v>
      </c>
      <c r="G601" s="1128" t="e">
        <f t="shared" si="18"/>
        <v>#VALUE!</v>
      </c>
      <c r="H601" s="1096"/>
    </row>
    <row r="602" spans="1:8" ht="12.75" hidden="1">
      <c r="A602" s="1119"/>
      <c r="B602" s="1116" t="s">
        <v>822</v>
      </c>
      <c r="C602" s="1093">
        <f>_xlfn.IFERROR(VLOOKUP(B602,'[1]ПО КОРИСНИЦИМА'!$C$3:$J$11609,5,FALSE),"")</f>
      </c>
      <c r="D602" s="1098" t="e">
        <f>SUMIF('[1]ПО КОРИСНИЦИМА'!$G$3:$G$11609,"Свега за пројекат 0602-П67:",'[1]ПО КОРИСНИЦИМА'!$H$3:$H$11609)</f>
        <v>#VALUE!</v>
      </c>
      <c r="E602" s="1099" t="e">
        <f t="shared" si="19"/>
        <v>#VALUE!</v>
      </c>
      <c r="F602" s="1100" t="e">
        <f>SUMIF('[1]ПО КОРИСНИЦИМА'!$G$3:$G$11609,"Свега за пројекат 0602-П67:",'[1]ПО КОРИСНИЦИМА'!$I$3:$I$11609)</f>
        <v>#VALUE!</v>
      </c>
      <c r="G602" s="1128" t="e">
        <f t="shared" si="18"/>
        <v>#VALUE!</v>
      </c>
      <c r="H602" s="1096"/>
    </row>
    <row r="603" spans="1:8" ht="12.75" hidden="1">
      <c r="A603" s="1119"/>
      <c r="B603" s="1116" t="s">
        <v>823</v>
      </c>
      <c r="C603" s="1093">
        <f>_xlfn.IFERROR(VLOOKUP(B603,'[1]ПО КОРИСНИЦИМА'!$C$3:$J$11609,5,FALSE),"")</f>
      </c>
      <c r="D603" s="1098" t="e">
        <f>SUMIF('[1]ПО КОРИСНИЦИМА'!$G$3:$G$11609,"Свега за пројекат 0602-П68:",'[1]ПО КОРИСНИЦИМА'!$H$3:$H$11609)</f>
        <v>#VALUE!</v>
      </c>
      <c r="E603" s="1099" t="e">
        <f t="shared" si="19"/>
        <v>#VALUE!</v>
      </c>
      <c r="F603" s="1100" t="e">
        <f>SUMIF('[1]ПО КОРИСНИЦИМА'!$G$3:$G$11609,"Свега за пројекат 0602-П68:",'[1]ПО КОРИСНИЦИМА'!$I$3:$I$11609)</f>
        <v>#VALUE!</v>
      </c>
      <c r="G603" s="1128" t="e">
        <f t="shared" si="18"/>
        <v>#VALUE!</v>
      </c>
      <c r="H603" s="1096"/>
    </row>
    <row r="604" spans="1:8" ht="12.75" hidden="1">
      <c r="A604" s="1119"/>
      <c r="B604" s="1116" t="s">
        <v>824</v>
      </c>
      <c r="C604" s="1093">
        <f>_xlfn.IFERROR(VLOOKUP(B604,'[1]ПО КОРИСНИЦИМА'!$C$3:$J$11609,5,FALSE),"")</f>
      </c>
      <c r="D604" s="1098" t="e">
        <f>SUMIF('[1]ПО КОРИСНИЦИМА'!$G$3:$G$11609,"Свега за пројекат 0602-П69:",'[1]ПО КОРИСНИЦИМА'!$H$3:$H$11609)</f>
        <v>#VALUE!</v>
      </c>
      <c r="E604" s="1099" t="e">
        <f t="shared" si="19"/>
        <v>#VALUE!</v>
      </c>
      <c r="F604" s="1100" t="e">
        <f>SUMIF('[1]ПО КОРИСНИЦИМА'!$G$3:$G$11609,"Свега за пројекат 0602-П69:",'[1]ПО КОРИСНИЦИМА'!$I$3:$I$11609)</f>
        <v>#VALUE!</v>
      </c>
      <c r="G604" s="1128" t="e">
        <f t="shared" si="18"/>
        <v>#VALUE!</v>
      </c>
      <c r="H604" s="1096"/>
    </row>
    <row r="605" spans="1:8" ht="12.75" hidden="1">
      <c r="A605" s="1119"/>
      <c r="B605" s="1116" t="s">
        <v>825</v>
      </c>
      <c r="C605" s="1093">
        <f>_xlfn.IFERROR(VLOOKUP(B605,'[1]ПО КОРИСНИЦИМА'!$C$3:$J$11609,5,FALSE),"")</f>
      </c>
      <c r="D605" s="1098" t="e">
        <f>SUMIF('[1]ПО КОРИСНИЦИМА'!$G$3:$G$11609,"Свега за пројекат 0602-П70:",'[1]ПО КОРИСНИЦИМА'!$H$3:$H$11609)</f>
        <v>#VALUE!</v>
      </c>
      <c r="E605" s="1099" t="e">
        <f t="shared" si="19"/>
        <v>#VALUE!</v>
      </c>
      <c r="F605" s="1100" t="e">
        <f>SUMIF('[1]ПО КОРИСНИЦИМА'!$G$3:$G$11609,"Свега за пројекат 0602-П70:",'[1]ПО КОРИСНИЦИМА'!$I$3:$I$11609)</f>
        <v>#VALUE!</v>
      </c>
      <c r="G605" s="1128" t="e">
        <f t="shared" si="18"/>
        <v>#VALUE!</v>
      </c>
      <c r="H605" s="1096"/>
    </row>
    <row r="606" spans="1:8" s="326" customFormat="1" ht="12.75">
      <c r="A606" s="1087" t="s">
        <v>1212</v>
      </c>
      <c r="B606" s="1088"/>
      <c r="C606" s="1089" t="s">
        <v>1215</v>
      </c>
      <c r="D606" s="1090">
        <f>SUM(D607:D608)</f>
        <v>32959000</v>
      </c>
      <c r="E606" s="1091">
        <f t="shared" si="19"/>
        <v>0.07276548090187285</v>
      </c>
      <c r="F606" s="1090">
        <f>SUM(F607:F608)</f>
        <v>0</v>
      </c>
      <c r="G606" s="1090">
        <f t="shared" si="18"/>
        <v>32959000</v>
      </c>
      <c r="H606" s="1107"/>
    </row>
    <row r="607" spans="1:8" ht="12.75">
      <c r="A607" s="1119"/>
      <c r="B607" s="1110" t="s">
        <v>1213</v>
      </c>
      <c r="C607" s="1126" t="s">
        <v>1214</v>
      </c>
      <c r="D607" s="1094">
        <f>'Rashodi-2020'!N9</f>
        <v>10185000</v>
      </c>
      <c r="E607" s="1095">
        <f t="shared" si="19"/>
        <v>0.02248601058847583</v>
      </c>
      <c r="F607" s="1094"/>
      <c r="G607" s="1121">
        <f t="shared" si="18"/>
        <v>10185000</v>
      </c>
      <c r="H607" s="1096" t="s">
        <v>1312</v>
      </c>
    </row>
    <row r="608" spans="1:8" ht="12.75">
      <c r="A608" s="1119"/>
      <c r="B608" s="1110" t="s">
        <v>1216</v>
      </c>
      <c r="C608" s="1126" t="s">
        <v>1217</v>
      </c>
      <c r="D608" s="1094">
        <f>'Rashodi-2020'!N41+'Rashodi-2020'!N59</f>
        <v>22774000</v>
      </c>
      <c r="E608" s="1095">
        <f t="shared" si="19"/>
        <v>0.05027947031339701</v>
      </c>
      <c r="F608" s="1094"/>
      <c r="G608" s="1121">
        <f t="shared" si="18"/>
        <v>22774000</v>
      </c>
      <c r="H608" s="1096" t="s">
        <v>1313</v>
      </c>
    </row>
    <row r="609" spans="1:8" s="326" customFormat="1" ht="12.75">
      <c r="A609" s="1087" t="s">
        <v>1265</v>
      </c>
      <c r="B609" s="1088"/>
      <c r="C609" s="1089" t="s">
        <v>1294</v>
      </c>
      <c r="D609" s="1090">
        <f>SUM(D610:D611)</f>
        <v>15000000</v>
      </c>
      <c r="E609" s="1091">
        <f t="shared" si="19"/>
        <v>0.03311636316417648</v>
      </c>
      <c r="F609" s="1090">
        <f>SUM(F610:F611)</f>
        <v>0</v>
      </c>
      <c r="G609" s="1090">
        <f t="shared" si="18"/>
        <v>15000000</v>
      </c>
      <c r="H609" s="1107"/>
    </row>
    <row r="610" spans="1:8" ht="12.75">
      <c r="A610" s="1119"/>
      <c r="B610" s="1110" t="s">
        <v>1266</v>
      </c>
      <c r="C610" s="1126" t="s">
        <v>1577</v>
      </c>
      <c r="D610" s="1094">
        <f>'Rashodi-2020'!N335</f>
        <v>15000000</v>
      </c>
      <c r="E610" s="1095">
        <f t="shared" si="19"/>
        <v>0.03311636316417648</v>
      </c>
      <c r="F610" s="1094">
        <f>'Rashodi-2020'!U335</f>
        <v>0</v>
      </c>
      <c r="G610" s="1121">
        <f t="shared" si="18"/>
        <v>15000000</v>
      </c>
      <c r="H610" s="1096" t="s">
        <v>1173</v>
      </c>
    </row>
    <row r="611" spans="1:8" ht="12.75" hidden="1">
      <c r="A611" s="1119"/>
      <c r="B611" s="1110"/>
      <c r="C611" s="1126"/>
      <c r="D611" s="1094"/>
      <c r="E611" s="1099">
        <f t="shared" si="19"/>
        <v>0</v>
      </c>
      <c r="F611" s="1094"/>
      <c r="G611" s="1121">
        <f t="shared" si="18"/>
        <v>0</v>
      </c>
      <c r="H611" s="1096" t="s">
        <v>1173</v>
      </c>
    </row>
    <row r="612" spans="1:8" ht="27.75" customHeight="1">
      <c r="A612" s="1423"/>
      <c r="B612" s="1423"/>
      <c r="C612" s="1129" t="s">
        <v>876</v>
      </c>
      <c r="D612" s="1130">
        <f>D609+D606+D524+D470+D417+D380+D343+D311+D279+D247+D194+D174+D155+D98+D32+D5</f>
        <v>527841676</v>
      </c>
      <c r="E612" s="1131">
        <f>D612/'Rashodi-2020'!N508</f>
        <v>1</v>
      </c>
      <c r="F612" s="1130">
        <f>F609+F606+F524+F470+F417+F380+F343+F311+F279+F247+F194+F174+F155+F98+F32+F5</f>
        <v>181172615.98</v>
      </c>
      <c r="G612" s="1130">
        <f t="shared" si="18"/>
        <v>709014291.98</v>
      </c>
      <c r="H612" s="1131"/>
    </row>
    <row r="613" spans="4:7" ht="12.75">
      <c r="D613" s="328"/>
      <c r="F613" s="329"/>
      <c r="G613" s="330">
        <f>Ukupno_izdaci-'[1]Програмска'!G598</f>
        <v>0</v>
      </c>
    </row>
    <row r="618" spans="1:2" ht="12.75">
      <c r="A618" s="332" t="s">
        <v>1167</v>
      </c>
      <c r="B618" s="333">
        <f>D5</f>
        <v>28500000</v>
      </c>
    </row>
    <row r="619" spans="1:2" ht="12.75">
      <c r="A619" s="332" t="s">
        <v>1168</v>
      </c>
      <c r="B619" s="333">
        <f>D32</f>
        <v>59500000</v>
      </c>
    </row>
    <row r="620" spans="1:2" ht="12.75">
      <c r="A620" s="332" t="s">
        <v>1169</v>
      </c>
      <c r="B620" s="333">
        <f>D98</f>
        <v>6030000</v>
      </c>
    </row>
    <row r="621" spans="1:2" ht="12.75">
      <c r="A621" s="332" t="s">
        <v>1170</v>
      </c>
      <c r="B621" s="333">
        <f>D128</f>
        <v>0</v>
      </c>
    </row>
    <row r="622" spans="1:2" ht="12.75">
      <c r="A622" s="332" t="s">
        <v>0</v>
      </c>
      <c r="B622" s="333">
        <f>D155</f>
        <v>19000000</v>
      </c>
    </row>
    <row r="623" spans="1:2" ht="12.75">
      <c r="A623" s="332" t="s">
        <v>1</v>
      </c>
      <c r="B623" s="333">
        <f>D174</f>
        <v>15400000</v>
      </c>
    </row>
    <row r="624" spans="1:2" ht="12.75">
      <c r="A624" s="332" t="s">
        <v>2</v>
      </c>
      <c r="B624" s="333">
        <f>D194</f>
        <v>44190000</v>
      </c>
    </row>
    <row r="625" spans="1:2" ht="12.75">
      <c r="A625" s="332" t="s">
        <v>3</v>
      </c>
      <c r="B625" s="333">
        <f>D247</f>
        <v>57491686</v>
      </c>
    </row>
    <row r="626" spans="1:2" ht="12.75">
      <c r="A626" s="332" t="s">
        <v>4</v>
      </c>
      <c r="B626" s="333">
        <f>D279</f>
        <v>33132772</v>
      </c>
    </row>
    <row r="627" spans="1:2" ht="12.75">
      <c r="A627" s="332" t="s">
        <v>5</v>
      </c>
      <c r="B627" s="333">
        <f>D311</f>
        <v>5437550</v>
      </c>
    </row>
    <row r="628" spans="1:2" ht="12.75">
      <c r="A628" s="332" t="s">
        <v>6</v>
      </c>
      <c r="B628" s="333">
        <f>D343</f>
        <v>41536000</v>
      </c>
    </row>
    <row r="629" spans="1:2" ht="12.75">
      <c r="A629" s="332" t="s">
        <v>7</v>
      </c>
      <c r="B629" s="333">
        <f>D380</f>
        <v>23260897</v>
      </c>
    </row>
    <row r="630" spans="1:2" ht="12.75">
      <c r="A630" s="332" t="s">
        <v>8</v>
      </c>
      <c r="B630" s="333">
        <f>D413</f>
        <v>0</v>
      </c>
    </row>
    <row r="631" spans="1:2" ht="12.75">
      <c r="A631" s="332" t="s">
        <v>9</v>
      </c>
      <c r="B631" s="333">
        <f>D470</f>
        <v>7900000</v>
      </c>
    </row>
    <row r="632" spans="1:2" ht="12.75">
      <c r="A632" s="332" t="s">
        <v>10</v>
      </c>
      <c r="B632" s="333">
        <f>D524</f>
        <v>108829836</v>
      </c>
    </row>
  </sheetData>
  <sheetProtection/>
  <mergeCells count="9">
    <mergeCell ref="A612:B612"/>
    <mergeCell ref="A1:H1"/>
    <mergeCell ref="A2:B2"/>
    <mergeCell ref="C2:C3"/>
    <mergeCell ref="D2:D3"/>
    <mergeCell ref="E2:E3"/>
    <mergeCell ref="F2:F3"/>
    <mergeCell ref="G2:G3"/>
    <mergeCell ref="H2:H3"/>
  </mergeCells>
  <conditionalFormatting sqref="D613:G613">
    <cfRule type="cellIs" priority="1" dxfId="2" operator="notEqual" stopIfTrue="1">
      <formula>0</formula>
    </cfRule>
  </conditionalFormatting>
  <dataValidations count="1">
    <dataValidation type="whole" operator="equal" showInputMessage="1" showErrorMessage="1" errorTitle="gjkgkjgjh" error="jklhlglkjhkjhlk" sqref="D613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6"/>
  <sheetViews>
    <sheetView zoomScale="89" zoomScaleNormal="89" workbookViewId="0" topLeftCell="A1">
      <selection activeCell="A1" sqref="A1:F143"/>
    </sheetView>
  </sheetViews>
  <sheetFormatPr defaultColWidth="9.140625" defaultRowHeight="12.75"/>
  <cols>
    <col min="1" max="1" width="10.00390625" style="325" customWidth="1"/>
    <col min="2" max="2" width="46.57421875" style="295" customWidth="1"/>
    <col min="3" max="3" width="18.7109375" style="295" customWidth="1"/>
    <col min="4" max="4" width="10.28125" style="695" customWidth="1"/>
    <col min="5" max="5" width="18.00390625" style="295" customWidth="1"/>
    <col min="6" max="6" width="16.7109375" style="295" customWidth="1"/>
    <col min="7" max="7" width="9.140625" style="295" customWidth="1"/>
    <col min="8" max="16" width="9.140625" style="296" customWidth="1"/>
    <col min="17" max="16384" width="9.140625" style="295" customWidth="1"/>
  </cols>
  <sheetData>
    <row r="1" spans="1:6" ht="15" customHeight="1">
      <c r="A1" s="1429" t="s">
        <v>425</v>
      </c>
      <c r="B1" s="1429"/>
      <c r="C1" s="1429"/>
      <c r="D1" s="1429"/>
      <c r="E1" s="1429"/>
      <c r="F1" s="1429"/>
    </row>
    <row r="2" spans="1:6" ht="29.25" customHeight="1">
      <c r="A2" s="297" t="s">
        <v>426</v>
      </c>
      <c r="B2" s="297" t="s">
        <v>427</v>
      </c>
      <c r="C2" s="298" t="s">
        <v>15</v>
      </c>
      <c r="D2" s="707" t="s">
        <v>410</v>
      </c>
      <c r="E2" s="298" t="s">
        <v>409</v>
      </c>
      <c r="F2" s="298" t="s">
        <v>595</v>
      </c>
    </row>
    <row r="3" spans="1:6" ht="12.75">
      <c r="A3" s="299" t="s">
        <v>14</v>
      </c>
      <c r="B3" s="300">
        <v>2</v>
      </c>
      <c r="C3" s="301">
        <v>3</v>
      </c>
      <c r="D3" s="708"/>
      <c r="E3" s="301">
        <v>5</v>
      </c>
      <c r="F3" s="301">
        <v>6</v>
      </c>
    </row>
    <row r="4" spans="1:6" ht="12.75">
      <c r="A4" s="302" t="s">
        <v>21</v>
      </c>
      <c r="B4" s="303" t="s">
        <v>363</v>
      </c>
      <c r="C4" s="304">
        <f>SUM(C5:C13)</f>
        <v>41536000</v>
      </c>
      <c r="D4" s="709">
        <f>C4/506369448</f>
        <v>0.08202706574034854</v>
      </c>
      <c r="E4" s="304">
        <f>SUM(E5:E13)</f>
        <v>0</v>
      </c>
      <c r="F4" s="304">
        <f>C4+E4</f>
        <v>41536000</v>
      </c>
    </row>
    <row r="5" spans="1:6" ht="12.75" hidden="1">
      <c r="A5" s="305" t="s">
        <v>428</v>
      </c>
      <c r="B5" s="306" t="s">
        <v>429</v>
      </c>
      <c r="C5" s="307"/>
      <c r="D5" s="710">
        <f>_xlfn.IFERROR(C5/$C$143,"-")</f>
        <v>0</v>
      </c>
      <c r="E5" s="307"/>
      <c r="F5" s="307">
        <f>SUM(E5,C5)</f>
        <v>0</v>
      </c>
    </row>
    <row r="6" spans="1:6" ht="12.75" hidden="1">
      <c r="A6" s="305" t="s">
        <v>430</v>
      </c>
      <c r="B6" s="306" t="s">
        <v>431</v>
      </c>
      <c r="C6" s="307"/>
      <c r="D6" s="710">
        <f>_xlfn.IFERROR(C6/$C$143,"-")</f>
        <v>0</v>
      </c>
      <c r="E6" s="307"/>
      <c r="F6" s="307">
        <f>SUM(E6,C6)</f>
        <v>0</v>
      </c>
    </row>
    <row r="7" spans="1:6" ht="12.75" hidden="1">
      <c r="A7" s="305" t="s">
        <v>432</v>
      </c>
      <c r="B7" s="306" t="s">
        <v>433</v>
      </c>
      <c r="C7" s="307"/>
      <c r="D7" s="710">
        <f>_xlfn.IFERROR(C7/$C$143,"-")</f>
        <v>0</v>
      </c>
      <c r="E7" s="307"/>
      <c r="F7" s="307">
        <f>SUM(E7,C7)</f>
        <v>0</v>
      </c>
    </row>
    <row r="8" spans="1:6" ht="12.75">
      <c r="A8" s="305" t="s">
        <v>22</v>
      </c>
      <c r="B8" s="306" t="s">
        <v>434</v>
      </c>
      <c r="C8" s="307">
        <f>'Rashodi-2020'!N235</f>
        <v>14950000</v>
      </c>
      <c r="D8" s="710">
        <f aca="true" t="shared" si="0" ref="D8:D71">C8/506369448</f>
        <v>0.02952389813217957</v>
      </c>
      <c r="E8" s="307">
        <f>'Rashodi-2020'!U235</f>
        <v>0</v>
      </c>
      <c r="F8" s="307">
        <f aca="true" t="shared" si="1" ref="F8:F71">C8+E8</f>
        <v>14950000</v>
      </c>
    </row>
    <row r="9" spans="1:6" ht="12.75" hidden="1">
      <c r="A9" s="305" t="s">
        <v>287</v>
      </c>
      <c r="B9" s="306" t="s">
        <v>435</v>
      </c>
      <c r="C9" s="307"/>
      <c r="D9" s="710">
        <f t="shared" si="0"/>
        <v>0</v>
      </c>
      <c r="E9" s="307"/>
      <c r="F9" s="307">
        <f t="shared" si="1"/>
        <v>0</v>
      </c>
    </row>
    <row r="10" spans="1:6" ht="12.75" hidden="1">
      <c r="A10" s="305" t="s">
        <v>436</v>
      </c>
      <c r="B10" s="306" t="s">
        <v>437</v>
      </c>
      <c r="C10" s="307"/>
      <c r="D10" s="710">
        <f t="shared" si="0"/>
        <v>0</v>
      </c>
      <c r="E10" s="307"/>
      <c r="F10" s="307">
        <f t="shared" si="1"/>
        <v>0</v>
      </c>
    </row>
    <row r="11" spans="1:6" ht="25.5" hidden="1">
      <c r="A11" s="305" t="s">
        <v>438</v>
      </c>
      <c r="B11" s="306" t="s">
        <v>439</v>
      </c>
      <c r="C11" s="307"/>
      <c r="D11" s="710">
        <f t="shared" si="0"/>
        <v>0</v>
      </c>
      <c r="E11" s="307"/>
      <c r="F11" s="307">
        <f t="shared" si="1"/>
        <v>0</v>
      </c>
    </row>
    <row r="12" spans="1:6" ht="12.75" hidden="1">
      <c r="A12" s="305" t="s">
        <v>440</v>
      </c>
      <c r="B12" s="306" t="s">
        <v>441</v>
      </c>
      <c r="C12" s="307"/>
      <c r="D12" s="710">
        <f t="shared" si="0"/>
        <v>0</v>
      </c>
      <c r="E12" s="307"/>
      <c r="F12" s="307">
        <f t="shared" si="1"/>
        <v>0</v>
      </c>
    </row>
    <row r="13" spans="1:6" ht="25.5">
      <c r="A13" s="305" t="s">
        <v>21</v>
      </c>
      <c r="B13" s="306" t="s">
        <v>111</v>
      </c>
      <c r="C13" s="307">
        <f>'Rashodi-2020'!N209+'Rashodi-2020'!N226+'Rashodi-2020'!N243</f>
        <v>26586000</v>
      </c>
      <c r="D13" s="710">
        <f t="shared" si="0"/>
        <v>0.05250316760816897</v>
      </c>
      <c r="E13" s="307">
        <f>'Rashodi-2020'!U209+'Rashodi-2020'!U226+'Rashodi-2020'!U243</f>
        <v>0</v>
      </c>
      <c r="F13" s="307">
        <f t="shared" si="1"/>
        <v>26586000</v>
      </c>
    </row>
    <row r="14" spans="1:6" ht="12.75">
      <c r="A14" s="308" t="s">
        <v>442</v>
      </c>
      <c r="B14" s="309" t="s">
        <v>364</v>
      </c>
      <c r="C14" s="304">
        <f>SUM(C15:C30)</f>
        <v>133827836</v>
      </c>
      <c r="D14" s="711">
        <f t="shared" si="0"/>
        <v>0.2642889228972598</v>
      </c>
      <c r="E14" s="304">
        <f>SUM(E15:E30)</f>
        <v>22820000</v>
      </c>
      <c r="F14" s="304">
        <f t="shared" si="1"/>
        <v>156647836</v>
      </c>
    </row>
    <row r="15" spans="1:6" ht="25.5">
      <c r="A15" s="310" t="s">
        <v>443</v>
      </c>
      <c r="B15" s="311" t="s">
        <v>444</v>
      </c>
      <c r="C15" s="307">
        <f>'Rashodi-2020'!N10+'Rashodi-2020'!N42+'Rashodi-2020'!N60</f>
        <v>32959000</v>
      </c>
      <c r="D15" s="710">
        <f t="shared" si="0"/>
        <v>0.0650888400360205</v>
      </c>
      <c r="E15" s="307">
        <f>'Rashodi-2020'!U10+'Rashodi-2020'!U42+'Rashodi-2020'!U60</f>
        <v>0</v>
      </c>
      <c r="F15" s="307">
        <f t="shared" si="1"/>
        <v>32959000</v>
      </c>
    </row>
    <row r="16" spans="1:6" ht="12.75" hidden="1">
      <c r="A16" s="310" t="s">
        <v>445</v>
      </c>
      <c r="B16" s="311" t="s">
        <v>365</v>
      </c>
      <c r="C16" s="307"/>
      <c r="D16" s="710">
        <f t="shared" si="0"/>
        <v>0</v>
      </c>
      <c r="E16" s="307"/>
      <c r="F16" s="307">
        <f t="shared" si="1"/>
        <v>0</v>
      </c>
    </row>
    <row r="17" spans="1:6" ht="12.75" hidden="1">
      <c r="A17" s="310" t="s">
        <v>446</v>
      </c>
      <c r="B17" s="311" t="s">
        <v>366</v>
      </c>
      <c r="C17" s="307"/>
      <c r="D17" s="710">
        <f t="shared" si="0"/>
        <v>0</v>
      </c>
      <c r="E17" s="307"/>
      <c r="F17" s="307">
        <f t="shared" si="1"/>
        <v>0</v>
      </c>
    </row>
    <row r="18" spans="1:6" ht="12.75" hidden="1">
      <c r="A18" s="310" t="s">
        <v>447</v>
      </c>
      <c r="B18" s="311" t="s">
        <v>367</v>
      </c>
      <c r="C18" s="307"/>
      <c r="D18" s="710">
        <f t="shared" si="0"/>
        <v>0</v>
      </c>
      <c r="E18" s="307"/>
      <c r="F18" s="307">
        <f t="shared" si="1"/>
        <v>0</v>
      </c>
    </row>
    <row r="19" spans="1:6" ht="12.75" hidden="1">
      <c r="A19" s="310" t="s">
        <v>448</v>
      </c>
      <c r="B19" s="311" t="s">
        <v>449</v>
      </c>
      <c r="C19" s="307"/>
      <c r="D19" s="710">
        <f t="shared" si="0"/>
        <v>0</v>
      </c>
      <c r="E19" s="307"/>
      <c r="F19" s="307">
        <f t="shared" si="1"/>
        <v>0</v>
      </c>
    </row>
    <row r="20" spans="1:6" ht="15" customHeight="1" hidden="1">
      <c r="A20" s="310" t="s">
        <v>450</v>
      </c>
      <c r="B20" s="311" t="s">
        <v>368</v>
      </c>
      <c r="C20" s="307"/>
      <c r="D20" s="710">
        <f t="shared" si="0"/>
        <v>0</v>
      </c>
      <c r="E20" s="307"/>
      <c r="F20" s="307">
        <f t="shared" si="1"/>
        <v>0</v>
      </c>
    </row>
    <row r="21" spans="1:6" ht="25.5" hidden="1">
      <c r="A21" s="310" t="s">
        <v>451</v>
      </c>
      <c r="B21" s="311" t="s">
        <v>369</v>
      </c>
      <c r="C21" s="307"/>
      <c r="D21" s="710">
        <f t="shared" si="0"/>
        <v>0</v>
      </c>
      <c r="E21" s="307"/>
      <c r="F21" s="307">
        <f t="shared" si="1"/>
        <v>0</v>
      </c>
    </row>
    <row r="22" spans="1:6" ht="12.75">
      <c r="A22" s="310" t="s">
        <v>76</v>
      </c>
      <c r="B22" s="311" t="s">
        <v>452</v>
      </c>
      <c r="C22" s="307">
        <f>'Rashodi-2020'!N76+'Rashodi-2020'!N109+'Rashodi-2020'!N128+'Rashodi-2020'!N131+'Rashodi-2020'!N27</f>
        <v>85490000</v>
      </c>
      <c r="D22" s="710">
        <f t="shared" si="0"/>
        <v>0.1688293010916409</v>
      </c>
      <c r="E22" s="307">
        <f>'Rashodi-2020'!U76+'Rashodi-2020'!U109</f>
        <v>20570000</v>
      </c>
      <c r="F22" s="307">
        <f t="shared" si="1"/>
        <v>106060000</v>
      </c>
    </row>
    <row r="23" spans="1:6" ht="12.75" hidden="1">
      <c r="A23" s="310" t="s">
        <v>453</v>
      </c>
      <c r="B23" s="311" t="s">
        <v>370</v>
      </c>
      <c r="C23" s="307"/>
      <c r="D23" s="710">
        <f t="shared" si="0"/>
        <v>0</v>
      </c>
      <c r="E23" s="307"/>
      <c r="F23" s="307">
        <f t="shared" si="1"/>
        <v>0</v>
      </c>
    </row>
    <row r="24" spans="1:6" ht="12.75" hidden="1">
      <c r="A24" s="310" t="s">
        <v>454</v>
      </c>
      <c r="B24" s="311" t="s">
        <v>371</v>
      </c>
      <c r="C24" s="307"/>
      <c r="D24" s="710">
        <f t="shared" si="0"/>
        <v>0</v>
      </c>
      <c r="E24" s="307"/>
      <c r="F24" s="307">
        <f t="shared" si="1"/>
        <v>0</v>
      </c>
    </row>
    <row r="25" spans="1:6" ht="12.75" hidden="1">
      <c r="A25" s="310" t="s">
        <v>455</v>
      </c>
      <c r="B25" s="311" t="s">
        <v>372</v>
      </c>
      <c r="C25" s="307"/>
      <c r="D25" s="710">
        <f t="shared" si="0"/>
        <v>0</v>
      </c>
      <c r="E25" s="307"/>
      <c r="F25" s="307">
        <f t="shared" si="1"/>
        <v>0</v>
      </c>
    </row>
    <row r="26" spans="1:6" ht="12.75" hidden="1">
      <c r="A26" s="310" t="s">
        <v>456</v>
      </c>
      <c r="B26" s="311" t="s">
        <v>457</v>
      </c>
      <c r="C26" s="307"/>
      <c r="D26" s="710">
        <f t="shared" si="0"/>
        <v>0</v>
      </c>
      <c r="E26" s="307"/>
      <c r="F26" s="307">
        <f t="shared" si="1"/>
        <v>0</v>
      </c>
    </row>
    <row r="27" spans="1:6" ht="12.75" hidden="1">
      <c r="A27" s="310" t="s">
        <v>458</v>
      </c>
      <c r="B27" s="311" t="s">
        <v>459</v>
      </c>
      <c r="C27" s="307"/>
      <c r="D27" s="710">
        <f t="shared" si="0"/>
        <v>0</v>
      </c>
      <c r="E27" s="307"/>
      <c r="F27" s="307">
        <f t="shared" si="1"/>
        <v>0</v>
      </c>
    </row>
    <row r="28" spans="1:6" ht="25.5">
      <c r="A28" s="310" t="s">
        <v>284</v>
      </c>
      <c r="B28" s="311" t="s">
        <v>460</v>
      </c>
      <c r="C28" s="307">
        <f>'Rashodi-2020'!N423+'Rashodi-2020'!N432+'Rashodi-2020'!N450+'Rashodi-2020'!N463+'Rashodi-2020'!N475+'Rashodi-2020'!N488+'Rashodi-2020'!N499</f>
        <v>15378836</v>
      </c>
      <c r="D28" s="710">
        <f t="shared" si="0"/>
        <v>0.03037078176959839</v>
      </c>
      <c r="E28" s="307">
        <f>'Rashodi-2020'!U423+'Rashodi-2020'!U432+'Rashodi-2020'!U450+'Rashodi-2020'!U463+'Rashodi-2020'!U475+'Rashodi-2020'!U488+'Rashodi-2020'!U499</f>
        <v>2250000</v>
      </c>
      <c r="F28" s="307">
        <f t="shared" si="1"/>
        <v>17628836</v>
      </c>
    </row>
    <row r="29" spans="1:6" ht="12.75" hidden="1">
      <c r="A29" s="310" t="s">
        <v>461</v>
      </c>
      <c r="B29" s="311" t="s">
        <v>462</v>
      </c>
      <c r="C29" s="307"/>
      <c r="D29" s="710">
        <f t="shared" si="0"/>
        <v>0</v>
      </c>
      <c r="E29" s="307"/>
      <c r="F29" s="307">
        <f t="shared" si="1"/>
        <v>0</v>
      </c>
    </row>
    <row r="30" spans="1:6" ht="25.5" hidden="1">
      <c r="A30" s="310" t="s">
        <v>463</v>
      </c>
      <c r="B30" s="311" t="s">
        <v>373</v>
      </c>
      <c r="C30" s="307"/>
      <c r="D30" s="710">
        <f t="shared" si="0"/>
        <v>0</v>
      </c>
      <c r="E30" s="307"/>
      <c r="F30" s="307">
        <f t="shared" si="1"/>
        <v>0</v>
      </c>
    </row>
    <row r="31" spans="1:6" ht="12.75">
      <c r="A31" s="308" t="s">
        <v>1270</v>
      </c>
      <c r="B31" s="312" t="s">
        <v>1271</v>
      </c>
      <c r="C31" s="304">
        <f>C34</f>
        <v>1700000</v>
      </c>
      <c r="D31" s="711">
        <f t="shared" si="0"/>
        <v>0.003357232563525436</v>
      </c>
      <c r="E31" s="304">
        <f>SUM(E32:E37)</f>
        <v>0</v>
      </c>
      <c r="F31" s="304">
        <f t="shared" si="1"/>
        <v>1700000</v>
      </c>
    </row>
    <row r="32" spans="1:6" ht="12.75" hidden="1">
      <c r="A32" s="310" t="s">
        <v>465</v>
      </c>
      <c r="B32" s="311" t="s">
        <v>466</v>
      </c>
      <c r="C32" s="307"/>
      <c r="D32" s="710">
        <f t="shared" si="0"/>
        <v>0</v>
      </c>
      <c r="E32" s="307"/>
      <c r="F32" s="307">
        <f t="shared" si="1"/>
        <v>0</v>
      </c>
    </row>
    <row r="33" spans="1:6" ht="12.75" hidden="1">
      <c r="A33" s="310" t="s">
        <v>467</v>
      </c>
      <c r="B33" s="311" t="s">
        <v>468</v>
      </c>
      <c r="C33" s="307"/>
      <c r="D33" s="710">
        <f t="shared" si="0"/>
        <v>0</v>
      </c>
      <c r="E33" s="307"/>
      <c r="F33" s="307">
        <f t="shared" si="1"/>
        <v>0</v>
      </c>
    </row>
    <row r="34" spans="1:6" ht="12.75">
      <c r="A34" s="684" t="s">
        <v>1272</v>
      </c>
      <c r="B34" s="685" t="s">
        <v>1273</v>
      </c>
      <c r="C34" s="307">
        <f>'Rashodi-2020'!N123</f>
        <v>1700000</v>
      </c>
      <c r="D34" s="710">
        <f t="shared" si="0"/>
        <v>0.003357232563525436</v>
      </c>
      <c r="E34" s="307">
        <f>'Rashodi-2020'!U123</f>
        <v>0</v>
      </c>
      <c r="F34" s="307">
        <f t="shared" si="1"/>
        <v>1700000</v>
      </c>
    </row>
    <row r="35" spans="1:6" ht="12.75" hidden="1">
      <c r="A35" s="310"/>
      <c r="B35" s="311"/>
      <c r="C35" s="307"/>
      <c r="D35" s="710">
        <f t="shared" si="0"/>
        <v>0</v>
      </c>
      <c r="E35" s="307"/>
      <c r="F35" s="307">
        <f t="shared" si="1"/>
        <v>0</v>
      </c>
    </row>
    <row r="36" spans="1:6" ht="12.75">
      <c r="A36" s="308" t="s">
        <v>464</v>
      </c>
      <c r="B36" s="312" t="s">
        <v>374</v>
      </c>
      <c r="C36" s="304">
        <f>SUM(C37:C42)</f>
        <v>1611000</v>
      </c>
      <c r="D36" s="711">
        <f t="shared" si="0"/>
        <v>0.0031814715646114574</v>
      </c>
      <c r="E36" s="304">
        <f>SUM(E37:E42)</f>
        <v>0</v>
      </c>
      <c r="F36" s="304">
        <f t="shared" si="1"/>
        <v>1611000</v>
      </c>
    </row>
    <row r="37" spans="1:6" ht="12.75" hidden="1">
      <c r="A37" s="310" t="s">
        <v>465</v>
      </c>
      <c r="B37" s="311" t="s">
        <v>466</v>
      </c>
      <c r="C37" s="307"/>
      <c r="D37" s="710">
        <f t="shared" si="0"/>
        <v>0</v>
      </c>
      <c r="E37" s="307"/>
      <c r="F37" s="307">
        <f t="shared" si="1"/>
        <v>0</v>
      </c>
    </row>
    <row r="38" spans="1:6" ht="12.75" hidden="1">
      <c r="A38" s="310" t="s">
        <v>467</v>
      </c>
      <c r="B38" s="311" t="s">
        <v>468</v>
      </c>
      <c r="C38" s="307"/>
      <c r="D38" s="710">
        <f t="shared" si="0"/>
        <v>0</v>
      </c>
      <c r="E38" s="307"/>
      <c r="F38" s="307">
        <f t="shared" si="1"/>
        <v>0</v>
      </c>
    </row>
    <row r="39" spans="1:6" ht="12.75">
      <c r="A39" s="310" t="s">
        <v>469</v>
      </c>
      <c r="B39" s="311" t="s">
        <v>470</v>
      </c>
      <c r="C39" s="307">
        <f>'Rashodi-2020'!N32</f>
        <v>1611000</v>
      </c>
      <c r="D39" s="710">
        <f t="shared" si="0"/>
        <v>0.0031814715646114574</v>
      </c>
      <c r="E39" s="307">
        <f>'Rashodi-2020'!O32+'Rashodi-2020'!P32+'Rashodi-2020'!Q32+'Rashodi-2020'!R32+'Rashodi-2020'!S32+'Rashodi-2020'!T32</f>
        <v>0</v>
      </c>
      <c r="F39" s="307">
        <f t="shared" si="1"/>
        <v>1611000</v>
      </c>
    </row>
    <row r="40" spans="1:6" ht="12.75" hidden="1">
      <c r="A40" s="310" t="s">
        <v>471</v>
      </c>
      <c r="B40" s="311" t="s">
        <v>472</v>
      </c>
      <c r="C40" s="307"/>
      <c r="D40" s="710">
        <f t="shared" si="0"/>
        <v>0</v>
      </c>
      <c r="E40" s="307"/>
      <c r="F40" s="307">
        <f t="shared" si="1"/>
        <v>0</v>
      </c>
    </row>
    <row r="41" spans="1:6" ht="12.75" hidden="1">
      <c r="A41" s="310" t="s">
        <v>473</v>
      </c>
      <c r="B41" s="311" t="s">
        <v>474</v>
      </c>
      <c r="C41" s="307"/>
      <c r="D41" s="710">
        <f t="shared" si="0"/>
        <v>0</v>
      </c>
      <c r="E41" s="307"/>
      <c r="F41" s="307">
        <f t="shared" si="1"/>
        <v>0</v>
      </c>
    </row>
    <row r="42" spans="1:6" ht="25.5" hidden="1">
      <c r="A42" s="310" t="s">
        <v>475</v>
      </c>
      <c r="B42" s="311" t="s">
        <v>476</v>
      </c>
      <c r="C42" s="307"/>
      <c r="D42" s="710">
        <f t="shared" si="0"/>
        <v>0</v>
      </c>
      <c r="E42" s="307"/>
      <c r="F42" s="307">
        <f t="shared" si="1"/>
        <v>0</v>
      </c>
    </row>
    <row r="43" spans="1:6" ht="12.75">
      <c r="A43" s="308" t="s">
        <v>477</v>
      </c>
      <c r="B43" s="309" t="s">
        <v>375</v>
      </c>
      <c r="C43" s="304">
        <f>SUM(C44:C82)</f>
        <v>66350000</v>
      </c>
      <c r="D43" s="711">
        <f t="shared" si="0"/>
        <v>0.13103081211171333</v>
      </c>
      <c r="E43" s="304">
        <f>SUM(E44:E82)</f>
        <v>79748375.1</v>
      </c>
      <c r="F43" s="304">
        <f t="shared" si="1"/>
        <v>146098375.1</v>
      </c>
    </row>
    <row r="44" spans="1:6" ht="25.5" hidden="1">
      <c r="A44" s="310" t="s">
        <v>411</v>
      </c>
      <c r="B44" s="313" t="s">
        <v>478</v>
      </c>
      <c r="C44" s="307"/>
      <c r="D44" s="710">
        <f t="shared" si="0"/>
        <v>0</v>
      </c>
      <c r="E44" s="307"/>
      <c r="F44" s="307">
        <f t="shared" si="1"/>
        <v>0</v>
      </c>
    </row>
    <row r="45" spans="1:6" ht="12.75" hidden="1">
      <c r="A45" s="310" t="s">
        <v>479</v>
      </c>
      <c r="B45" s="313" t="s">
        <v>376</v>
      </c>
      <c r="C45" s="307"/>
      <c r="D45" s="710">
        <f t="shared" si="0"/>
        <v>0</v>
      </c>
      <c r="E45" s="307"/>
      <c r="F45" s="307">
        <f t="shared" si="1"/>
        <v>0</v>
      </c>
    </row>
    <row r="46" spans="1:6" ht="12.75">
      <c r="A46" s="310" t="s">
        <v>480</v>
      </c>
      <c r="B46" s="313" t="s">
        <v>377</v>
      </c>
      <c r="C46" s="307">
        <f>'Rashodi-2020'!N354</f>
        <v>1500000</v>
      </c>
      <c r="D46" s="710">
        <f t="shared" si="0"/>
        <v>0.002962264026640091</v>
      </c>
      <c r="E46" s="307">
        <f>'Rashodi-2020'!U354</f>
        <v>0</v>
      </c>
      <c r="F46" s="307">
        <f t="shared" si="1"/>
        <v>1500000</v>
      </c>
    </row>
    <row r="47" spans="1:6" ht="12.75">
      <c r="A47" s="310" t="s">
        <v>412</v>
      </c>
      <c r="B47" s="311" t="s">
        <v>481</v>
      </c>
      <c r="C47" s="307">
        <f>'Rashodi-2020'!N265</f>
        <v>14500000</v>
      </c>
      <c r="D47" s="710">
        <f t="shared" si="0"/>
        <v>0.028635218924187543</v>
      </c>
      <c r="E47" s="307">
        <f>'Rashodi-2020'!U265</f>
        <v>43000000</v>
      </c>
      <c r="F47" s="307">
        <f t="shared" si="1"/>
        <v>57500000</v>
      </c>
    </row>
    <row r="48" spans="1:6" ht="12.75" hidden="1">
      <c r="A48" s="310" t="s">
        <v>413</v>
      </c>
      <c r="B48" s="311" t="s">
        <v>378</v>
      </c>
      <c r="C48" s="307"/>
      <c r="D48" s="710">
        <f t="shared" si="0"/>
        <v>0</v>
      </c>
      <c r="E48" s="307"/>
      <c r="F48" s="307">
        <f t="shared" si="1"/>
        <v>0</v>
      </c>
    </row>
    <row r="49" spans="1:6" ht="12.75" hidden="1">
      <c r="A49" s="310" t="s">
        <v>482</v>
      </c>
      <c r="B49" s="311" t="s">
        <v>379</v>
      </c>
      <c r="C49" s="307"/>
      <c r="D49" s="710">
        <f t="shared" si="0"/>
        <v>0</v>
      </c>
      <c r="E49" s="307"/>
      <c r="F49" s="307">
        <f t="shared" si="1"/>
        <v>0</v>
      </c>
    </row>
    <row r="50" spans="1:6" ht="12.75" hidden="1">
      <c r="A50" s="310" t="s">
        <v>311</v>
      </c>
      <c r="B50" s="311" t="s">
        <v>380</v>
      </c>
      <c r="C50" s="307"/>
      <c r="D50" s="710">
        <f t="shared" si="0"/>
        <v>0</v>
      </c>
      <c r="E50" s="307"/>
      <c r="F50" s="307">
        <f t="shared" si="1"/>
        <v>0</v>
      </c>
    </row>
    <row r="51" spans="1:6" ht="12.75" hidden="1">
      <c r="A51" s="310" t="s">
        <v>414</v>
      </c>
      <c r="B51" s="311" t="s">
        <v>483</v>
      </c>
      <c r="C51" s="307"/>
      <c r="D51" s="710">
        <f t="shared" si="0"/>
        <v>0</v>
      </c>
      <c r="E51" s="307"/>
      <c r="F51" s="307">
        <f t="shared" si="1"/>
        <v>0</v>
      </c>
    </row>
    <row r="52" spans="1:6" ht="12.75" hidden="1">
      <c r="A52" s="310" t="s">
        <v>484</v>
      </c>
      <c r="B52" s="311" t="s">
        <v>381</v>
      </c>
      <c r="C52" s="307"/>
      <c r="D52" s="710">
        <f t="shared" si="0"/>
        <v>0</v>
      </c>
      <c r="E52" s="307"/>
      <c r="F52" s="307">
        <f t="shared" si="1"/>
        <v>0</v>
      </c>
    </row>
    <row r="53" spans="1:6" ht="12.75" hidden="1">
      <c r="A53" s="310" t="s">
        <v>485</v>
      </c>
      <c r="B53" s="311" t="s">
        <v>382</v>
      </c>
      <c r="C53" s="307"/>
      <c r="D53" s="710">
        <f t="shared" si="0"/>
        <v>0</v>
      </c>
      <c r="E53" s="307"/>
      <c r="F53" s="307">
        <f t="shared" si="1"/>
        <v>0</v>
      </c>
    </row>
    <row r="54" spans="1:6" ht="12.75" hidden="1">
      <c r="A54" s="310" t="s">
        <v>486</v>
      </c>
      <c r="B54" s="311" t="s">
        <v>383</v>
      </c>
      <c r="C54" s="307"/>
      <c r="D54" s="710">
        <f t="shared" si="0"/>
        <v>0</v>
      </c>
      <c r="E54" s="307"/>
      <c r="F54" s="307">
        <f t="shared" si="1"/>
        <v>0</v>
      </c>
    </row>
    <row r="55" spans="1:6" ht="12.75" hidden="1">
      <c r="A55" s="310" t="s">
        <v>487</v>
      </c>
      <c r="B55" s="311" t="s">
        <v>384</v>
      </c>
      <c r="C55" s="307"/>
      <c r="D55" s="710">
        <f t="shared" si="0"/>
        <v>0</v>
      </c>
      <c r="E55" s="307"/>
      <c r="F55" s="307">
        <f t="shared" si="1"/>
        <v>0</v>
      </c>
    </row>
    <row r="56" spans="1:6" ht="12.75" hidden="1">
      <c r="A56" s="310" t="s">
        <v>488</v>
      </c>
      <c r="B56" s="311" t="s">
        <v>385</v>
      </c>
      <c r="C56" s="307"/>
      <c r="D56" s="710">
        <f t="shared" si="0"/>
        <v>0</v>
      </c>
      <c r="E56" s="307"/>
      <c r="F56" s="307">
        <f t="shared" si="1"/>
        <v>0</v>
      </c>
    </row>
    <row r="57" spans="1:6" ht="12.75" hidden="1">
      <c r="A57" s="310" t="s">
        <v>489</v>
      </c>
      <c r="B57" s="311" t="s">
        <v>386</v>
      </c>
      <c r="C57" s="307"/>
      <c r="D57" s="710">
        <f t="shared" si="0"/>
        <v>0</v>
      </c>
      <c r="E57" s="307"/>
      <c r="F57" s="307">
        <f t="shared" si="1"/>
        <v>0</v>
      </c>
    </row>
    <row r="58" spans="1:6" ht="12.75" hidden="1">
      <c r="A58" s="310" t="s">
        <v>415</v>
      </c>
      <c r="B58" s="311" t="s">
        <v>490</v>
      </c>
      <c r="C58" s="307"/>
      <c r="D58" s="710">
        <f t="shared" si="0"/>
        <v>0</v>
      </c>
      <c r="E58" s="307"/>
      <c r="F58" s="307">
        <f t="shared" si="1"/>
        <v>0</v>
      </c>
    </row>
    <row r="59" spans="1:6" ht="25.5" hidden="1">
      <c r="A59" s="310" t="s">
        <v>491</v>
      </c>
      <c r="B59" s="311" t="s">
        <v>387</v>
      </c>
      <c r="C59" s="307"/>
      <c r="D59" s="710">
        <f t="shared" si="0"/>
        <v>0</v>
      </c>
      <c r="E59" s="307"/>
      <c r="F59" s="307">
        <f t="shared" si="1"/>
        <v>0</v>
      </c>
    </row>
    <row r="60" spans="1:6" ht="12.75" hidden="1">
      <c r="A60" s="310" t="s">
        <v>492</v>
      </c>
      <c r="B60" s="311" t="s">
        <v>388</v>
      </c>
      <c r="C60" s="307"/>
      <c r="D60" s="710">
        <f t="shared" si="0"/>
        <v>0</v>
      </c>
      <c r="E60" s="307"/>
      <c r="F60" s="307">
        <f t="shared" si="1"/>
        <v>0</v>
      </c>
    </row>
    <row r="61" spans="1:6" ht="12.75" hidden="1">
      <c r="A61" s="310" t="s">
        <v>493</v>
      </c>
      <c r="B61" s="311" t="s">
        <v>389</v>
      </c>
      <c r="C61" s="307"/>
      <c r="D61" s="710">
        <f t="shared" si="0"/>
        <v>0</v>
      </c>
      <c r="E61" s="307"/>
      <c r="F61" s="307">
        <f t="shared" si="1"/>
        <v>0</v>
      </c>
    </row>
    <row r="62" spans="1:6" ht="12.75" hidden="1">
      <c r="A62" s="310" t="s">
        <v>416</v>
      </c>
      <c r="B62" s="311" t="s">
        <v>494</v>
      </c>
      <c r="C62" s="307"/>
      <c r="D62" s="710">
        <f t="shared" si="0"/>
        <v>0</v>
      </c>
      <c r="E62" s="307"/>
      <c r="F62" s="307">
        <f t="shared" si="1"/>
        <v>0</v>
      </c>
    </row>
    <row r="63" spans="1:6" ht="12.75">
      <c r="A63" s="305" t="s">
        <v>495</v>
      </c>
      <c r="B63" s="311" t="s">
        <v>390</v>
      </c>
      <c r="C63" s="307">
        <f>'Rashodi-2020'!N358+'Rashodi-2020'!N118</f>
        <v>48840000</v>
      </c>
      <c r="D63" s="710">
        <f t="shared" si="0"/>
        <v>0.09645131670740135</v>
      </c>
      <c r="E63" s="307">
        <f>'Rashodi-2020'!U118+'Rashodi-2020'!U358</f>
        <v>36748375.1</v>
      </c>
      <c r="F63" s="307">
        <f t="shared" si="1"/>
        <v>85588375.1</v>
      </c>
    </row>
    <row r="64" spans="1:6" ht="12.75" hidden="1">
      <c r="A64" s="305" t="s">
        <v>424</v>
      </c>
      <c r="B64" s="311" t="s">
        <v>391</v>
      </c>
      <c r="C64" s="307"/>
      <c r="D64" s="710">
        <f t="shared" si="0"/>
        <v>0</v>
      </c>
      <c r="E64" s="307"/>
      <c r="F64" s="307">
        <f t="shared" si="1"/>
        <v>0</v>
      </c>
    </row>
    <row r="65" spans="1:6" ht="12.75" hidden="1">
      <c r="A65" s="305" t="s">
        <v>496</v>
      </c>
      <c r="B65" s="311" t="s">
        <v>392</v>
      </c>
      <c r="C65" s="307"/>
      <c r="D65" s="710">
        <f t="shared" si="0"/>
        <v>0</v>
      </c>
      <c r="E65" s="307"/>
      <c r="F65" s="307">
        <f t="shared" si="1"/>
        <v>0</v>
      </c>
    </row>
    <row r="66" spans="1:6" ht="12.75" hidden="1">
      <c r="A66" s="305" t="s">
        <v>497</v>
      </c>
      <c r="B66" s="311" t="s">
        <v>393</v>
      </c>
      <c r="C66" s="307"/>
      <c r="D66" s="710">
        <f t="shared" si="0"/>
        <v>0</v>
      </c>
      <c r="E66" s="307"/>
      <c r="F66" s="307">
        <f t="shared" si="1"/>
        <v>0</v>
      </c>
    </row>
    <row r="67" spans="1:6" ht="12.75" hidden="1">
      <c r="A67" s="305" t="s">
        <v>498</v>
      </c>
      <c r="B67" s="311" t="s">
        <v>394</v>
      </c>
      <c r="C67" s="307"/>
      <c r="D67" s="710">
        <f t="shared" si="0"/>
        <v>0</v>
      </c>
      <c r="E67" s="307"/>
      <c r="F67" s="307">
        <f t="shared" si="1"/>
        <v>0</v>
      </c>
    </row>
    <row r="68" spans="1:6" ht="12.75" hidden="1">
      <c r="A68" s="310" t="s">
        <v>417</v>
      </c>
      <c r="B68" s="311" t="s">
        <v>499</v>
      </c>
      <c r="C68" s="307"/>
      <c r="D68" s="710">
        <f t="shared" si="0"/>
        <v>0</v>
      </c>
      <c r="E68" s="307"/>
      <c r="F68" s="307">
        <f t="shared" si="1"/>
        <v>0</v>
      </c>
    </row>
    <row r="69" spans="1:6" ht="12.75" hidden="1">
      <c r="A69" s="310" t="s">
        <v>418</v>
      </c>
      <c r="B69" s="311" t="s">
        <v>500</v>
      </c>
      <c r="C69" s="307"/>
      <c r="D69" s="710">
        <f t="shared" si="0"/>
        <v>0</v>
      </c>
      <c r="E69" s="307"/>
      <c r="F69" s="307">
        <f t="shared" si="1"/>
        <v>0</v>
      </c>
    </row>
    <row r="70" spans="1:6" ht="12.75" hidden="1">
      <c r="A70" s="310" t="s">
        <v>501</v>
      </c>
      <c r="B70" s="311" t="s">
        <v>395</v>
      </c>
      <c r="C70" s="307"/>
      <c r="D70" s="710">
        <f t="shared" si="0"/>
        <v>0</v>
      </c>
      <c r="E70" s="307"/>
      <c r="F70" s="307">
        <f t="shared" si="1"/>
        <v>0</v>
      </c>
    </row>
    <row r="71" spans="1:6" ht="12.75" hidden="1">
      <c r="A71" s="310" t="s">
        <v>502</v>
      </c>
      <c r="B71" s="311" t="s">
        <v>396</v>
      </c>
      <c r="C71" s="307"/>
      <c r="D71" s="710">
        <f t="shared" si="0"/>
        <v>0</v>
      </c>
      <c r="E71" s="307"/>
      <c r="F71" s="307">
        <f t="shared" si="1"/>
        <v>0</v>
      </c>
    </row>
    <row r="72" spans="1:6" ht="12.75" hidden="1">
      <c r="A72" s="310" t="s">
        <v>503</v>
      </c>
      <c r="B72" s="311" t="s">
        <v>397</v>
      </c>
      <c r="C72" s="307"/>
      <c r="D72" s="710">
        <f aca="true" t="shared" si="2" ref="D72:D135">C72/506369448</f>
        <v>0</v>
      </c>
      <c r="E72" s="307"/>
      <c r="F72" s="307">
        <f aca="true" t="shared" si="3" ref="F72:F134">C72+E72</f>
        <v>0</v>
      </c>
    </row>
    <row r="73" spans="1:6" ht="12.75" hidden="1">
      <c r="A73" s="310" t="s">
        <v>504</v>
      </c>
      <c r="B73" s="311" t="s">
        <v>398</v>
      </c>
      <c r="C73" s="307"/>
      <c r="D73" s="710">
        <f t="shared" si="2"/>
        <v>0</v>
      </c>
      <c r="E73" s="307"/>
      <c r="F73" s="307">
        <f t="shared" si="3"/>
        <v>0</v>
      </c>
    </row>
    <row r="74" spans="1:6" ht="12.75" hidden="1">
      <c r="A74" s="310" t="s">
        <v>419</v>
      </c>
      <c r="B74" s="311" t="s">
        <v>505</v>
      </c>
      <c r="C74" s="307"/>
      <c r="D74" s="710">
        <f t="shared" si="2"/>
        <v>0</v>
      </c>
      <c r="E74" s="307"/>
      <c r="F74" s="307">
        <f t="shared" si="3"/>
        <v>0</v>
      </c>
    </row>
    <row r="75" spans="1:6" ht="25.5" hidden="1">
      <c r="A75" s="310" t="s">
        <v>506</v>
      </c>
      <c r="B75" s="311" t="s">
        <v>399</v>
      </c>
      <c r="C75" s="307"/>
      <c r="D75" s="710">
        <f t="shared" si="2"/>
        <v>0</v>
      </c>
      <c r="E75" s="307"/>
      <c r="F75" s="307">
        <f t="shared" si="3"/>
        <v>0</v>
      </c>
    </row>
    <row r="76" spans="1:6" ht="25.5" hidden="1">
      <c r="A76" s="310" t="s">
        <v>507</v>
      </c>
      <c r="B76" s="311" t="s">
        <v>400</v>
      </c>
      <c r="C76" s="307"/>
      <c r="D76" s="710">
        <f t="shared" si="2"/>
        <v>0</v>
      </c>
      <c r="E76" s="307"/>
      <c r="F76" s="307">
        <f t="shared" si="3"/>
        <v>0</v>
      </c>
    </row>
    <row r="77" spans="1:6" ht="12.75" hidden="1">
      <c r="A77" s="310" t="s">
        <v>508</v>
      </c>
      <c r="B77" s="311" t="s">
        <v>401</v>
      </c>
      <c r="C77" s="307"/>
      <c r="D77" s="710">
        <f t="shared" si="2"/>
        <v>0</v>
      </c>
      <c r="E77" s="307"/>
      <c r="F77" s="307">
        <f t="shared" si="3"/>
        <v>0</v>
      </c>
    </row>
    <row r="78" spans="1:6" ht="25.5" hidden="1">
      <c r="A78" s="310" t="s">
        <v>509</v>
      </c>
      <c r="B78" s="311" t="s">
        <v>402</v>
      </c>
      <c r="C78" s="307"/>
      <c r="D78" s="710">
        <f t="shared" si="2"/>
        <v>0</v>
      </c>
      <c r="E78" s="307"/>
      <c r="F78" s="307">
        <f t="shared" si="3"/>
        <v>0</v>
      </c>
    </row>
    <row r="79" spans="1:6" ht="12.75" hidden="1">
      <c r="A79" s="310" t="s">
        <v>510</v>
      </c>
      <c r="B79" s="311" t="s">
        <v>403</v>
      </c>
      <c r="C79" s="307"/>
      <c r="D79" s="710">
        <f t="shared" si="2"/>
        <v>0</v>
      </c>
      <c r="E79" s="307"/>
      <c r="F79" s="307">
        <f t="shared" si="3"/>
        <v>0</v>
      </c>
    </row>
    <row r="80" spans="1:6" ht="12.75" hidden="1">
      <c r="A80" s="310" t="s">
        <v>511</v>
      </c>
      <c r="B80" s="311" t="s">
        <v>404</v>
      </c>
      <c r="C80" s="307"/>
      <c r="D80" s="710">
        <f t="shared" si="2"/>
        <v>0</v>
      </c>
      <c r="E80" s="307"/>
      <c r="F80" s="307">
        <f t="shared" si="3"/>
        <v>0</v>
      </c>
    </row>
    <row r="81" spans="1:6" ht="12.75" hidden="1">
      <c r="A81" s="310" t="s">
        <v>512</v>
      </c>
      <c r="B81" s="311" t="s">
        <v>405</v>
      </c>
      <c r="C81" s="307"/>
      <c r="D81" s="710">
        <f t="shared" si="2"/>
        <v>0</v>
      </c>
      <c r="E81" s="307"/>
      <c r="F81" s="307">
        <f t="shared" si="3"/>
        <v>0</v>
      </c>
    </row>
    <row r="82" spans="1:6" ht="25.5">
      <c r="A82" s="310" t="s">
        <v>513</v>
      </c>
      <c r="B82" s="311" t="s">
        <v>406</v>
      </c>
      <c r="C82" s="307">
        <f>'Rashodi-2020'!N340+'Rashodi-2020'!N351</f>
        <v>1510000</v>
      </c>
      <c r="D82" s="710">
        <f t="shared" si="2"/>
        <v>0.0029820124534843577</v>
      </c>
      <c r="E82" s="307">
        <f>'Rashodi-2020'!U340+'Rashodi-2020'!U351</f>
        <v>0</v>
      </c>
      <c r="F82" s="307">
        <f t="shared" si="3"/>
        <v>1510000</v>
      </c>
    </row>
    <row r="83" spans="1:6" ht="12.75">
      <c r="A83" s="308" t="s">
        <v>514</v>
      </c>
      <c r="B83" s="312" t="s">
        <v>407</v>
      </c>
      <c r="C83" s="304">
        <f>SUM(C84:C89)</f>
        <v>40050000</v>
      </c>
      <c r="D83" s="711">
        <f t="shared" si="2"/>
        <v>0.07909244951129042</v>
      </c>
      <c r="E83" s="304">
        <f>SUM(E84:E89)</f>
        <v>11242000</v>
      </c>
      <c r="F83" s="304">
        <f t="shared" si="3"/>
        <v>51292000</v>
      </c>
    </row>
    <row r="84" spans="1:6" ht="12.75">
      <c r="A84" s="310" t="s">
        <v>420</v>
      </c>
      <c r="B84" s="311" t="s">
        <v>515</v>
      </c>
      <c r="C84" s="307">
        <f>'Rashodi-2020'!N282</f>
        <v>11100000</v>
      </c>
      <c r="D84" s="710">
        <f t="shared" si="2"/>
        <v>0.02192075379713667</v>
      </c>
      <c r="E84" s="307">
        <f>'Rashodi-2020'!U282</f>
        <v>0</v>
      </c>
      <c r="F84" s="307">
        <f t="shared" si="3"/>
        <v>11100000</v>
      </c>
    </row>
    <row r="85" spans="1:6" ht="12.75">
      <c r="A85" s="684" t="s">
        <v>1374</v>
      </c>
      <c r="B85" s="685" t="s">
        <v>1375</v>
      </c>
      <c r="C85" s="307">
        <f>'Rashodi-2020'!N293</f>
        <v>500000</v>
      </c>
      <c r="D85" s="710">
        <f t="shared" si="2"/>
        <v>0.0009874213422133636</v>
      </c>
      <c r="E85" s="307">
        <f>'Rashodi-2020'!O293+'Rashodi-2020'!P293+'Rashodi-2020'!Q293+'Rashodi-2020'!R293+'Rashodi-2020'!T293</f>
        <v>0</v>
      </c>
      <c r="F85" s="307">
        <f t="shared" si="3"/>
        <v>500000</v>
      </c>
    </row>
    <row r="86" spans="1:6" ht="12.75">
      <c r="A86" s="310" t="s">
        <v>516</v>
      </c>
      <c r="B86" s="311" t="s">
        <v>517</v>
      </c>
      <c r="C86" s="307"/>
      <c r="D86" s="710">
        <f t="shared" si="2"/>
        <v>0</v>
      </c>
      <c r="E86" s="307"/>
      <c r="F86" s="307">
        <f t="shared" si="3"/>
        <v>0</v>
      </c>
    </row>
    <row r="87" spans="1:6" ht="12.75">
      <c r="A87" s="310" t="s">
        <v>421</v>
      </c>
      <c r="B87" s="311" t="s">
        <v>518</v>
      </c>
      <c r="C87" s="307">
        <f>'Rashodi-2020'!N301+'Rashodi-2020'!N316</f>
        <v>24650000</v>
      </c>
      <c r="D87" s="710">
        <f t="shared" si="2"/>
        <v>0.048679872171118826</v>
      </c>
      <c r="E87" s="307">
        <f>'Rashodi-2020'!U316+'Rashodi-2020'!U301</f>
        <v>11000000</v>
      </c>
      <c r="F87" s="307">
        <f t="shared" si="3"/>
        <v>35650000</v>
      </c>
    </row>
    <row r="88" spans="1:6" ht="12.75" hidden="1">
      <c r="A88" s="310" t="s">
        <v>519</v>
      </c>
      <c r="B88" s="311" t="s">
        <v>520</v>
      </c>
      <c r="C88" s="307"/>
      <c r="D88" s="710">
        <f t="shared" si="2"/>
        <v>0</v>
      </c>
      <c r="E88" s="307"/>
      <c r="F88" s="307">
        <f t="shared" si="3"/>
        <v>0</v>
      </c>
    </row>
    <row r="89" spans="1:6" ht="25.5">
      <c r="A89" s="310" t="s">
        <v>521</v>
      </c>
      <c r="B89" s="311" t="s">
        <v>338</v>
      </c>
      <c r="C89" s="307">
        <f>'Rashodi-2020'!N287</f>
        <v>3800000</v>
      </c>
      <c r="D89" s="710">
        <f t="shared" si="2"/>
        <v>0.007504402200821563</v>
      </c>
      <c r="E89" s="307">
        <f>'Rashodi-2020'!U287</f>
        <v>242000</v>
      </c>
      <c r="F89" s="307">
        <f t="shared" si="3"/>
        <v>4042000</v>
      </c>
    </row>
    <row r="90" spans="1:6" ht="12.75">
      <c r="A90" s="795" t="s">
        <v>522</v>
      </c>
      <c r="B90" s="796" t="s">
        <v>523</v>
      </c>
      <c r="C90" s="794">
        <f>C91+C92+C93+C94</f>
        <v>85870000</v>
      </c>
      <c r="D90" s="797">
        <f t="shared" si="2"/>
        <v>0.16957974131172307</v>
      </c>
      <c r="E90" s="794">
        <f>SUM(E91:E95)</f>
        <v>60446650.879999995</v>
      </c>
      <c r="F90" s="794">
        <f t="shared" si="3"/>
        <v>146316650.88</v>
      </c>
    </row>
    <row r="91" spans="1:6" ht="12.75">
      <c r="A91" s="310" t="s">
        <v>422</v>
      </c>
      <c r="B91" s="311" t="s">
        <v>524</v>
      </c>
      <c r="C91" s="307">
        <f>'Rashodi-2020'!N343</f>
        <v>1020000</v>
      </c>
      <c r="D91" s="710">
        <f t="shared" si="2"/>
        <v>0.0020143395381152615</v>
      </c>
      <c r="E91" s="307">
        <f>'Rashodi-2020'!U343</f>
        <v>3065000</v>
      </c>
      <c r="F91" s="307">
        <f t="shared" si="3"/>
        <v>4085000</v>
      </c>
    </row>
    <row r="92" spans="1:6" ht="12.75">
      <c r="A92" s="310" t="s">
        <v>423</v>
      </c>
      <c r="B92" s="311" t="s">
        <v>525</v>
      </c>
      <c r="C92" s="307">
        <f>'Rashodi-2020'!N336+'Rashodi-2020'!N328+'Rashodi-2020'!N325+'Rashodi-2020'!N321+'Rashodi-2020'!N278+'Rashodi-2020'!N348</f>
        <v>62000000</v>
      </c>
      <c r="D92" s="710">
        <f t="shared" si="2"/>
        <v>0.12244024643445708</v>
      </c>
      <c r="E92" s="307">
        <f>'Rashodi-2020'!U278+'Rashodi-2020'!U321+'Rashodi-2020'!U325+'Rashodi-2020'!U328+'Rashodi-2020'!U336+'Rashodi-2020'!U348</f>
        <v>13000000</v>
      </c>
      <c r="F92" s="307">
        <f t="shared" si="3"/>
        <v>75000000</v>
      </c>
    </row>
    <row r="93" spans="1:6" ht="12.75">
      <c r="A93" s="310" t="s">
        <v>526</v>
      </c>
      <c r="B93" s="311" t="s">
        <v>527</v>
      </c>
      <c r="C93" s="307">
        <f>'Rashodi-2020'!N307</f>
        <v>14000000</v>
      </c>
      <c r="D93" s="710">
        <f t="shared" si="2"/>
        <v>0.02764779758197418</v>
      </c>
      <c r="E93" s="307">
        <f>'Rashodi-2020'!U307</f>
        <v>44381650.879999995</v>
      </c>
      <c r="F93" s="307">
        <f t="shared" si="3"/>
        <v>58381650.879999995</v>
      </c>
    </row>
    <row r="94" spans="1:6" ht="12.75">
      <c r="A94" s="310" t="s">
        <v>528</v>
      </c>
      <c r="B94" s="311" t="s">
        <v>529</v>
      </c>
      <c r="C94" s="307">
        <f>'Rashodi-2020'!N297</f>
        <v>8850000</v>
      </c>
      <c r="D94" s="710">
        <f t="shared" si="2"/>
        <v>0.017477357757176536</v>
      </c>
      <c r="E94" s="307">
        <f>'Rashodi-2020'!U297</f>
        <v>0</v>
      </c>
      <c r="F94" s="307">
        <f t="shared" si="3"/>
        <v>8850000</v>
      </c>
    </row>
    <row r="95" spans="1:6" ht="25.5" hidden="1">
      <c r="A95" s="310" t="s">
        <v>530</v>
      </c>
      <c r="B95" s="311" t="s">
        <v>531</v>
      </c>
      <c r="C95" s="307"/>
      <c r="D95" s="710">
        <f t="shared" si="2"/>
        <v>0</v>
      </c>
      <c r="E95" s="307"/>
      <c r="F95" s="307">
        <f t="shared" si="3"/>
        <v>0</v>
      </c>
    </row>
    <row r="96" spans="1:6" ht="12.75">
      <c r="A96" s="314">
        <v>700</v>
      </c>
      <c r="B96" s="315" t="s">
        <v>339</v>
      </c>
      <c r="C96" s="316">
        <f>SUM(C97:C113)</f>
        <v>23260897</v>
      </c>
      <c r="D96" s="712">
        <f t="shared" si="2"/>
        <v>0.0459366122736536</v>
      </c>
      <c r="E96" s="316">
        <f>SUM(E97:E113)</f>
        <v>0</v>
      </c>
      <c r="F96" s="316">
        <f t="shared" si="3"/>
        <v>23260897</v>
      </c>
    </row>
    <row r="97" spans="1:6" ht="12.75" hidden="1">
      <c r="A97" s="310" t="s">
        <v>532</v>
      </c>
      <c r="B97" s="311" t="s">
        <v>533</v>
      </c>
      <c r="C97" s="307"/>
      <c r="D97" s="710">
        <f t="shared" si="2"/>
        <v>0</v>
      </c>
      <c r="E97" s="307"/>
      <c r="F97" s="307">
        <f t="shared" si="3"/>
        <v>0</v>
      </c>
    </row>
    <row r="98" spans="1:6" ht="12.75" hidden="1">
      <c r="A98" s="310" t="s">
        <v>534</v>
      </c>
      <c r="B98" s="311" t="s">
        <v>340</v>
      </c>
      <c r="C98" s="307"/>
      <c r="D98" s="710">
        <f t="shared" si="2"/>
        <v>0</v>
      </c>
      <c r="E98" s="307"/>
      <c r="F98" s="307">
        <f t="shared" si="3"/>
        <v>0</v>
      </c>
    </row>
    <row r="99" spans="1:6" ht="12.75" hidden="1">
      <c r="A99" s="310" t="s">
        <v>535</v>
      </c>
      <c r="B99" s="311" t="s">
        <v>341</v>
      </c>
      <c r="C99" s="307"/>
      <c r="D99" s="710">
        <f t="shared" si="2"/>
        <v>0</v>
      </c>
      <c r="E99" s="307"/>
      <c r="F99" s="307">
        <f t="shared" si="3"/>
        <v>0</v>
      </c>
    </row>
    <row r="100" spans="1:6" ht="12.75" hidden="1">
      <c r="A100" s="310" t="s">
        <v>536</v>
      </c>
      <c r="B100" s="311" t="s">
        <v>342</v>
      </c>
      <c r="C100" s="307"/>
      <c r="D100" s="710">
        <f t="shared" si="2"/>
        <v>0</v>
      </c>
      <c r="E100" s="307"/>
      <c r="F100" s="307">
        <f t="shared" si="3"/>
        <v>0</v>
      </c>
    </row>
    <row r="101" spans="1:6" ht="12.75" hidden="1">
      <c r="A101" s="310" t="s">
        <v>537</v>
      </c>
      <c r="B101" s="311" t="s">
        <v>538</v>
      </c>
      <c r="C101" s="307"/>
      <c r="D101" s="710">
        <f t="shared" si="2"/>
        <v>0</v>
      </c>
      <c r="E101" s="307"/>
      <c r="F101" s="307">
        <f t="shared" si="3"/>
        <v>0</v>
      </c>
    </row>
    <row r="102" spans="1:6" ht="12.75">
      <c r="A102" s="310" t="s">
        <v>539</v>
      </c>
      <c r="B102" s="311" t="s">
        <v>343</v>
      </c>
      <c r="C102" s="307">
        <f>'Rashodi-2020'!N261</f>
        <v>200000</v>
      </c>
      <c r="D102" s="710">
        <f t="shared" si="2"/>
        <v>0.0003949685368853454</v>
      </c>
      <c r="E102" s="307">
        <f>'Rashodi-2020'!U261</f>
        <v>0</v>
      </c>
      <c r="F102" s="307">
        <f t="shared" si="3"/>
        <v>200000</v>
      </c>
    </row>
    <row r="103" spans="1:6" ht="12.75" hidden="1">
      <c r="A103" s="310" t="s">
        <v>540</v>
      </c>
      <c r="B103" s="311" t="s">
        <v>344</v>
      </c>
      <c r="C103" s="307"/>
      <c r="D103" s="710">
        <f t="shared" si="2"/>
        <v>0</v>
      </c>
      <c r="E103" s="307"/>
      <c r="F103" s="307">
        <f t="shared" si="3"/>
        <v>0</v>
      </c>
    </row>
    <row r="104" spans="1:6" ht="12.75" hidden="1">
      <c r="A104" s="310" t="s">
        <v>541</v>
      </c>
      <c r="B104" s="311" t="s">
        <v>345</v>
      </c>
      <c r="C104" s="307"/>
      <c r="D104" s="710">
        <f t="shared" si="2"/>
        <v>0</v>
      </c>
      <c r="E104" s="307"/>
      <c r="F104" s="307">
        <f t="shared" si="3"/>
        <v>0</v>
      </c>
    </row>
    <row r="105" spans="1:6" ht="12.75" hidden="1">
      <c r="A105" s="310" t="s">
        <v>542</v>
      </c>
      <c r="B105" s="311" t="s">
        <v>346</v>
      </c>
      <c r="C105" s="307"/>
      <c r="D105" s="710">
        <f t="shared" si="2"/>
        <v>0</v>
      </c>
      <c r="E105" s="307"/>
      <c r="F105" s="307">
        <f t="shared" si="3"/>
        <v>0</v>
      </c>
    </row>
    <row r="106" spans="1:6" ht="12.75" hidden="1">
      <c r="A106" s="310" t="s">
        <v>543</v>
      </c>
      <c r="B106" s="311" t="s">
        <v>544</v>
      </c>
      <c r="C106" s="307"/>
      <c r="D106" s="710">
        <f t="shared" si="2"/>
        <v>0</v>
      </c>
      <c r="E106" s="307"/>
      <c r="F106" s="307">
        <f t="shared" si="3"/>
        <v>0</v>
      </c>
    </row>
    <row r="107" spans="1:6" ht="12.75" hidden="1">
      <c r="A107" s="310" t="s">
        <v>545</v>
      </c>
      <c r="B107" s="311" t="s">
        <v>347</v>
      </c>
      <c r="C107" s="307"/>
      <c r="D107" s="710">
        <f t="shared" si="2"/>
        <v>0</v>
      </c>
      <c r="E107" s="307"/>
      <c r="F107" s="307">
        <f t="shared" si="3"/>
        <v>0</v>
      </c>
    </row>
    <row r="108" spans="1:6" ht="12.75" hidden="1">
      <c r="A108" s="310" t="s">
        <v>546</v>
      </c>
      <c r="B108" s="311" t="s">
        <v>348</v>
      </c>
      <c r="C108" s="307"/>
      <c r="D108" s="710">
        <f t="shared" si="2"/>
        <v>0</v>
      </c>
      <c r="E108" s="307"/>
      <c r="F108" s="307">
        <f t="shared" si="3"/>
        <v>0</v>
      </c>
    </row>
    <row r="109" spans="1:6" ht="12.75" hidden="1">
      <c r="A109" s="310" t="s">
        <v>547</v>
      </c>
      <c r="B109" s="311" t="s">
        <v>349</v>
      </c>
      <c r="C109" s="307"/>
      <c r="D109" s="710">
        <f t="shared" si="2"/>
        <v>0</v>
      </c>
      <c r="E109" s="307"/>
      <c r="F109" s="307">
        <f t="shared" si="3"/>
        <v>0</v>
      </c>
    </row>
    <row r="110" spans="1:6" ht="12.75" hidden="1">
      <c r="A110" s="310" t="s">
        <v>548</v>
      </c>
      <c r="B110" s="311" t="s">
        <v>549</v>
      </c>
      <c r="C110" s="307"/>
      <c r="D110" s="710">
        <f t="shared" si="2"/>
        <v>0</v>
      </c>
      <c r="E110" s="307"/>
      <c r="F110" s="307">
        <f t="shared" si="3"/>
        <v>0</v>
      </c>
    </row>
    <row r="111" spans="1:6" ht="12.75">
      <c r="A111" s="310" t="s">
        <v>550</v>
      </c>
      <c r="B111" s="311" t="s">
        <v>551</v>
      </c>
      <c r="C111" s="307">
        <f>'Rashodi-2020'!N248+'Rashodi-2020'!N257</f>
        <v>23060897</v>
      </c>
      <c r="D111" s="710">
        <f t="shared" si="2"/>
        <v>0.04554164373676826</v>
      </c>
      <c r="E111" s="307">
        <f>'Rashodi-2020'!U248</f>
        <v>0</v>
      </c>
      <c r="F111" s="307">
        <f t="shared" si="3"/>
        <v>23060897</v>
      </c>
    </row>
    <row r="112" spans="1:6" ht="12.75" hidden="1">
      <c r="A112" s="310" t="s">
        <v>552</v>
      </c>
      <c r="B112" s="311" t="s">
        <v>553</v>
      </c>
      <c r="C112" s="307"/>
      <c r="D112" s="710">
        <f t="shared" si="2"/>
        <v>0</v>
      </c>
      <c r="E112" s="307"/>
      <c r="F112" s="307">
        <f t="shared" si="3"/>
        <v>0</v>
      </c>
    </row>
    <row r="113" spans="1:6" ht="12.75" hidden="1">
      <c r="A113" s="310" t="s">
        <v>68</v>
      </c>
      <c r="B113" s="311" t="s">
        <v>554</v>
      </c>
      <c r="C113" s="307"/>
      <c r="D113" s="710">
        <f t="shared" si="2"/>
        <v>0</v>
      </c>
      <c r="E113" s="307"/>
      <c r="F113" s="307">
        <f t="shared" si="3"/>
        <v>0</v>
      </c>
    </row>
    <row r="114" spans="1:6" ht="12.75">
      <c r="A114" s="308" t="s">
        <v>555</v>
      </c>
      <c r="B114" s="312" t="s">
        <v>350</v>
      </c>
      <c r="C114" s="304">
        <f>SUM(C115:C120)</f>
        <v>37573935</v>
      </c>
      <c r="D114" s="711">
        <f t="shared" si="2"/>
        <v>0.07420261065987535</v>
      </c>
      <c r="E114" s="304">
        <f>SUM(E115:E120)</f>
        <v>1411590</v>
      </c>
      <c r="F114" s="304">
        <f t="shared" si="3"/>
        <v>38985525</v>
      </c>
    </row>
    <row r="115" spans="1:6" ht="12.75">
      <c r="A115" s="310" t="s">
        <v>556</v>
      </c>
      <c r="B115" s="311" t="s">
        <v>557</v>
      </c>
      <c r="C115" s="307">
        <f>'Rashodi-2020'!N144</f>
        <v>7900000</v>
      </c>
      <c r="D115" s="710">
        <f t="shared" si="2"/>
        <v>0.015601257206971144</v>
      </c>
      <c r="E115" s="307">
        <f>'Rashodi-2020'!U144</f>
        <v>0</v>
      </c>
      <c r="F115" s="307">
        <f t="shared" si="3"/>
        <v>7900000</v>
      </c>
    </row>
    <row r="116" spans="1:6" ht="12.75">
      <c r="A116" s="310" t="s">
        <v>558</v>
      </c>
      <c r="B116" s="311" t="s">
        <v>559</v>
      </c>
      <c r="C116" s="307">
        <f>'Rashodi-2020'!N135+'Rashodi-2020'!N416+'Rashodi-2020'!N411+'Rashodi-2020'!N394</f>
        <v>25273935</v>
      </c>
      <c r="D116" s="710">
        <f t="shared" si="2"/>
        <v>0.049912045641426615</v>
      </c>
      <c r="E116" s="307">
        <f>'Rashodi-2020'!U394+'Rashodi-2020'!U411+'Rashodi-2020'!U416+'Rashodi-2020'!U135</f>
        <v>1411590</v>
      </c>
      <c r="F116" s="307">
        <f t="shared" si="3"/>
        <v>26685525</v>
      </c>
    </row>
    <row r="117" spans="1:6" ht="12.75">
      <c r="A117" s="310" t="s">
        <v>560</v>
      </c>
      <c r="B117" s="311" t="s">
        <v>561</v>
      </c>
      <c r="C117" s="307">
        <f>'Rashodi-2020'!N140</f>
        <v>4400000</v>
      </c>
      <c r="D117" s="710">
        <f t="shared" si="2"/>
        <v>0.008689307811477599</v>
      </c>
      <c r="E117" s="307">
        <f>'Rashodi-2020'!U140</f>
        <v>0</v>
      </c>
      <c r="F117" s="307">
        <f t="shared" si="3"/>
        <v>4400000</v>
      </c>
    </row>
    <row r="118" spans="1:6" ht="12.75" hidden="1">
      <c r="A118" s="310" t="s">
        <v>562</v>
      </c>
      <c r="B118" s="311" t="s">
        <v>563</v>
      </c>
      <c r="C118" s="307"/>
      <c r="D118" s="710">
        <f t="shared" si="2"/>
        <v>0</v>
      </c>
      <c r="E118" s="307"/>
      <c r="F118" s="307">
        <f t="shared" si="3"/>
        <v>0</v>
      </c>
    </row>
    <row r="119" spans="1:6" ht="25.5" hidden="1">
      <c r="A119" s="310" t="s">
        <v>564</v>
      </c>
      <c r="B119" s="311" t="s">
        <v>565</v>
      </c>
      <c r="C119" s="307"/>
      <c r="D119" s="710">
        <f t="shared" si="2"/>
        <v>0</v>
      </c>
      <c r="E119" s="307"/>
      <c r="F119" s="307">
        <f t="shared" si="3"/>
        <v>0</v>
      </c>
    </row>
    <row r="120" spans="1:6" ht="25.5" hidden="1">
      <c r="A120" s="310" t="s">
        <v>566</v>
      </c>
      <c r="B120" s="311" t="s">
        <v>351</v>
      </c>
      <c r="C120" s="307"/>
      <c r="D120" s="710">
        <f t="shared" si="2"/>
        <v>0</v>
      </c>
      <c r="E120" s="307"/>
      <c r="F120" s="307">
        <f t="shared" si="3"/>
        <v>0</v>
      </c>
    </row>
    <row r="121" spans="1:6" ht="12.75">
      <c r="A121" s="317" t="s">
        <v>567</v>
      </c>
      <c r="B121" s="312" t="s">
        <v>352</v>
      </c>
      <c r="C121" s="304">
        <f>SUM(C122:C142)</f>
        <v>96062008</v>
      </c>
      <c r="D121" s="711">
        <f t="shared" si="2"/>
        <v>0.18970735375014172</v>
      </c>
      <c r="E121" s="304">
        <f>SUM(E122:E142)</f>
        <v>5504000</v>
      </c>
      <c r="F121" s="304">
        <f t="shared" si="3"/>
        <v>101566008</v>
      </c>
    </row>
    <row r="122" spans="1:6" ht="12.75" hidden="1">
      <c r="A122" s="310" t="s">
        <v>568</v>
      </c>
      <c r="B122" s="311" t="s">
        <v>569</v>
      </c>
      <c r="C122" s="307"/>
      <c r="D122" s="710">
        <f t="shared" si="2"/>
        <v>0</v>
      </c>
      <c r="E122" s="307"/>
      <c r="F122" s="307">
        <f t="shared" si="3"/>
        <v>0</v>
      </c>
    </row>
    <row r="123" spans="1:6" ht="12.75">
      <c r="A123" s="310" t="s">
        <v>570</v>
      </c>
      <c r="B123" s="311" t="s">
        <v>96</v>
      </c>
      <c r="C123" s="307">
        <f>'Rashodi-2020'!N372</f>
        <v>57491686</v>
      </c>
      <c r="D123" s="710">
        <f t="shared" si="2"/>
        <v>0.11353703551245849</v>
      </c>
      <c r="E123" s="307">
        <f>'Rashodi-2020'!U372</f>
        <v>5504000</v>
      </c>
      <c r="F123" s="307">
        <f t="shared" si="3"/>
        <v>62995686</v>
      </c>
    </row>
    <row r="124" spans="1:6" ht="12.75">
      <c r="A124" s="310" t="s">
        <v>408</v>
      </c>
      <c r="B124" s="311" t="s">
        <v>97</v>
      </c>
      <c r="C124" s="307">
        <f>'Rashodi-2020'!N149+'Rashodi-2020'!N164+'Rashodi-2020'!N179</f>
        <v>33132772</v>
      </c>
      <c r="D124" s="710">
        <f t="shared" si="2"/>
        <v>0.0654320123989787</v>
      </c>
      <c r="E124" s="307">
        <f>'Rashodi-2020'!U149+'Rashodi-2020'!U164+'Rashodi-2020'!U179</f>
        <v>0</v>
      </c>
      <c r="F124" s="307">
        <f t="shared" si="3"/>
        <v>33132772</v>
      </c>
    </row>
    <row r="125" spans="1:6" ht="12.75" hidden="1">
      <c r="A125" s="310" t="s">
        <v>571</v>
      </c>
      <c r="B125" s="311" t="s">
        <v>353</v>
      </c>
      <c r="C125" s="307"/>
      <c r="D125" s="710">
        <f t="shared" si="2"/>
        <v>0</v>
      </c>
      <c r="E125" s="307"/>
      <c r="F125" s="307">
        <f t="shared" si="3"/>
        <v>0</v>
      </c>
    </row>
    <row r="126" spans="1:6" ht="12.75" hidden="1">
      <c r="A126" s="310" t="s">
        <v>572</v>
      </c>
      <c r="B126" s="311" t="s">
        <v>354</v>
      </c>
      <c r="C126" s="307"/>
      <c r="D126" s="710">
        <f t="shared" si="2"/>
        <v>0</v>
      </c>
      <c r="E126" s="307"/>
      <c r="F126" s="307">
        <f t="shared" si="3"/>
        <v>0</v>
      </c>
    </row>
    <row r="127" spans="1:6" ht="12.75" hidden="1">
      <c r="A127" s="310" t="s">
        <v>573</v>
      </c>
      <c r="B127" s="311" t="s">
        <v>355</v>
      </c>
      <c r="C127" s="307"/>
      <c r="D127" s="710">
        <f t="shared" si="2"/>
        <v>0</v>
      </c>
      <c r="E127" s="307"/>
      <c r="F127" s="307">
        <f t="shared" si="3"/>
        <v>0</v>
      </c>
    </row>
    <row r="128" spans="1:6" ht="25.5" hidden="1">
      <c r="A128" s="310" t="s">
        <v>574</v>
      </c>
      <c r="B128" s="311" t="s">
        <v>356</v>
      </c>
      <c r="C128" s="307"/>
      <c r="D128" s="710">
        <f t="shared" si="2"/>
        <v>0</v>
      </c>
      <c r="E128" s="307"/>
      <c r="F128" s="307">
        <f t="shared" si="3"/>
        <v>0</v>
      </c>
    </row>
    <row r="129" spans="1:6" ht="12.75">
      <c r="A129" s="310" t="s">
        <v>575</v>
      </c>
      <c r="B129" s="311" t="s">
        <v>576</v>
      </c>
      <c r="C129" s="307">
        <f>'Rashodi-2020'!N195</f>
        <v>5437550</v>
      </c>
      <c r="D129" s="710">
        <f t="shared" si="2"/>
        <v>0.01073830583870455</v>
      </c>
      <c r="E129" s="307">
        <f>'Rashodi-2020'!U195</f>
        <v>0</v>
      </c>
      <c r="F129" s="307">
        <f t="shared" si="3"/>
        <v>5437550</v>
      </c>
    </row>
    <row r="130" spans="1:6" ht="12.75" hidden="1">
      <c r="A130" s="310" t="s">
        <v>577</v>
      </c>
      <c r="B130" s="311" t="s">
        <v>357</v>
      </c>
      <c r="C130" s="307"/>
      <c r="D130" s="710">
        <f t="shared" si="2"/>
        <v>0</v>
      </c>
      <c r="E130" s="307"/>
      <c r="F130" s="307">
        <f t="shared" si="3"/>
        <v>0</v>
      </c>
    </row>
    <row r="131" spans="1:6" ht="12.75" hidden="1">
      <c r="A131" s="310" t="s">
        <v>578</v>
      </c>
      <c r="B131" s="311" t="s">
        <v>358</v>
      </c>
      <c r="C131" s="307"/>
      <c r="D131" s="710">
        <f t="shared" si="2"/>
        <v>0</v>
      </c>
      <c r="E131" s="307"/>
      <c r="F131" s="307">
        <f t="shared" si="3"/>
        <v>0</v>
      </c>
    </row>
    <row r="132" spans="1:6" ht="12.75" hidden="1">
      <c r="A132" s="310" t="s">
        <v>579</v>
      </c>
      <c r="B132" s="311" t="s">
        <v>359</v>
      </c>
      <c r="C132" s="307"/>
      <c r="D132" s="710">
        <f t="shared" si="2"/>
        <v>0</v>
      </c>
      <c r="E132" s="307"/>
      <c r="F132" s="307">
        <f t="shared" si="3"/>
        <v>0</v>
      </c>
    </row>
    <row r="133" spans="1:6" ht="12.75" hidden="1">
      <c r="A133" s="310" t="s">
        <v>580</v>
      </c>
      <c r="B133" s="311" t="s">
        <v>581</v>
      </c>
      <c r="C133" s="307"/>
      <c r="D133" s="710">
        <f t="shared" si="2"/>
        <v>0</v>
      </c>
      <c r="E133" s="307"/>
      <c r="F133" s="307">
        <f t="shared" si="3"/>
        <v>0</v>
      </c>
    </row>
    <row r="134" spans="1:6" ht="12.75" hidden="1">
      <c r="A134" s="310" t="s">
        <v>582</v>
      </c>
      <c r="B134" s="311" t="s">
        <v>360</v>
      </c>
      <c r="C134" s="307"/>
      <c r="D134" s="710">
        <f t="shared" si="2"/>
        <v>0</v>
      </c>
      <c r="E134" s="307"/>
      <c r="F134" s="307">
        <f t="shared" si="3"/>
        <v>0</v>
      </c>
    </row>
    <row r="135" spans="1:6" ht="12.75" hidden="1">
      <c r="A135" s="310" t="s">
        <v>583</v>
      </c>
      <c r="B135" s="311" t="s">
        <v>361</v>
      </c>
      <c r="C135" s="307"/>
      <c r="D135" s="710">
        <f t="shared" si="2"/>
        <v>0</v>
      </c>
      <c r="E135" s="307"/>
      <c r="F135" s="307">
        <f aca="true" t="shared" si="4" ref="F135:F143">C135+E135</f>
        <v>0</v>
      </c>
    </row>
    <row r="136" spans="1:6" ht="12.75" hidden="1">
      <c r="A136" s="310" t="s">
        <v>584</v>
      </c>
      <c r="B136" s="311" t="s">
        <v>585</v>
      </c>
      <c r="C136" s="307"/>
      <c r="D136" s="710">
        <f aca="true" t="shared" si="5" ref="D136:D142">C136/506369448</f>
        <v>0</v>
      </c>
      <c r="E136" s="307"/>
      <c r="F136" s="307">
        <f t="shared" si="4"/>
        <v>0</v>
      </c>
    </row>
    <row r="137" spans="1:6" ht="12.75" hidden="1">
      <c r="A137" s="310" t="s">
        <v>586</v>
      </c>
      <c r="B137" s="311" t="s">
        <v>362</v>
      </c>
      <c r="C137" s="307"/>
      <c r="D137" s="710">
        <f t="shared" si="5"/>
        <v>0</v>
      </c>
      <c r="E137" s="307"/>
      <c r="F137" s="307">
        <f t="shared" si="4"/>
        <v>0</v>
      </c>
    </row>
    <row r="138" spans="1:6" ht="12.75" hidden="1">
      <c r="A138" s="310" t="s">
        <v>587</v>
      </c>
      <c r="B138" s="311" t="s">
        <v>588</v>
      </c>
      <c r="C138" s="307"/>
      <c r="D138" s="710">
        <f t="shared" si="5"/>
        <v>0</v>
      </c>
      <c r="E138" s="307"/>
      <c r="F138" s="307">
        <f t="shared" si="4"/>
        <v>0</v>
      </c>
    </row>
    <row r="139" spans="1:6" ht="12.75" hidden="1">
      <c r="A139" s="310" t="s">
        <v>589</v>
      </c>
      <c r="B139" s="311" t="s">
        <v>590</v>
      </c>
      <c r="C139" s="307"/>
      <c r="D139" s="710">
        <f t="shared" si="5"/>
        <v>0</v>
      </c>
      <c r="E139" s="307"/>
      <c r="F139" s="307">
        <f t="shared" si="4"/>
        <v>0</v>
      </c>
    </row>
    <row r="140" spans="1:6" ht="12.75" hidden="1">
      <c r="A140" s="310" t="s">
        <v>591</v>
      </c>
      <c r="B140" s="311" t="s">
        <v>592</v>
      </c>
      <c r="C140" s="307"/>
      <c r="D140" s="710">
        <f t="shared" si="5"/>
        <v>0</v>
      </c>
      <c r="E140" s="307"/>
      <c r="F140" s="307">
        <f t="shared" si="4"/>
        <v>0</v>
      </c>
    </row>
    <row r="141" spans="1:6" ht="12.75" hidden="1">
      <c r="A141" s="318" t="s">
        <v>593</v>
      </c>
      <c r="B141" s="306" t="s">
        <v>594</v>
      </c>
      <c r="C141" s="307"/>
      <c r="D141" s="710">
        <f t="shared" si="5"/>
        <v>0</v>
      </c>
      <c r="E141" s="307"/>
      <c r="F141" s="307">
        <f t="shared" si="4"/>
        <v>0</v>
      </c>
    </row>
    <row r="142" spans="1:6" ht="12.75" hidden="1">
      <c r="A142" s="310" t="s">
        <v>69</v>
      </c>
      <c r="B142" s="311" t="s">
        <v>110</v>
      </c>
      <c r="C142" s="307"/>
      <c r="D142" s="710">
        <f t="shared" si="5"/>
        <v>0</v>
      </c>
      <c r="E142" s="307"/>
      <c r="F142" s="307">
        <f t="shared" si="4"/>
        <v>0</v>
      </c>
    </row>
    <row r="143" spans="1:6" ht="26.25" customHeight="1">
      <c r="A143" s="319"/>
      <c r="B143" s="320" t="s">
        <v>25</v>
      </c>
      <c r="C143" s="321">
        <f>C121+C114+C96+C90+C83+C43+C36+C31+C14+C4</f>
        <v>527841676</v>
      </c>
      <c r="D143" s="713">
        <f>C143/'Rashodi-2020'!N508</f>
        <v>1</v>
      </c>
      <c r="E143" s="321">
        <f>E121+E114+E96+E90+E83+E43+E36+E31+E14+E4</f>
        <v>181172615.98</v>
      </c>
      <c r="F143" s="321">
        <f t="shared" si="4"/>
        <v>709014291.98</v>
      </c>
    </row>
    <row r="144" spans="1:6" ht="12.75">
      <c r="A144" s="322"/>
      <c r="B144" s="323"/>
      <c r="C144" s="324"/>
      <c r="D144" s="714"/>
      <c r="E144" s="324"/>
      <c r="F144" s="324"/>
    </row>
    <row r="145" ht="12.75">
      <c r="F145" s="352"/>
    </row>
    <row r="146" ht="12.75">
      <c r="C146" s="329"/>
    </row>
  </sheetData>
  <sheetProtection/>
  <mergeCells count="1">
    <mergeCell ref="A1:F1"/>
  </mergeCells>
  <conditionalFormatting sqref="C144 E144:F144">
    <cfRule type="cellIs" priority="1" dxfId="1" operator="notEqual" stopIfTrue="1">
      <formula>0</formula>
    </cfRule>
  </conditionalFormatting>
  <conditionalFormatting sqref="C144:F144">
    <cfRule type="cellIs" priority="2" dxfId="0" operator="notEqual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F31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15.28125" style="522" customWidth="1"/>
    <col min="2" max="2" width="16.8515625" style="522" customWidth="1"/>
    <col min="3" max="3" width="20.28125" style="522" customWidth="1"/>
    <col min="4" max="16384" width="9.140625" style="522" customWidth="1"/>
  </cols>
  <sheetData>
    <row r="3" spans="1:6" ht="18">
      <c r="A3" s="521"/>
      <c r="B3" s="521"/>
      <c r="C3" s="521"/>
      <c r="D3" s="521"/>
      <c r="E3" s="521"/>
      <c r="F3" s="521"/>
    </row>
    <row r="4" spans="1:6" ht="18">
      <c r="A4" s="523" t="s">
        <v>1183</v>
      </c>
      <c r="B4" s="523" t="s">
        <v>1184</v>
      </c>
      <c r="C4" s="523" t="s">
        <v>1185</v>
      </c>
      <c r="D4" s="521"/>
      <c r="E4" s="521"/>
      <c r="F4" s="521"/>
    </row>
    <row r="5" spans="1:6" ht="18">
      <c r="A5" s="521" t="s">
        <v>1186</v>
      </c>
      <c r="B5" s="525">
        <v>414</v>
      </c>
      <c r="C5" s="524">
        <v>750000</v>
      </c>
      <c r="D5" s="521"/>
      <c r="E5" s="521"/>
      <c r="F5" s="521"/>
    </row>
    <row r="6" spans="1:6" ht="18">
      <c r="A6" s="521"/>
      <c r="B6" s="521"/>
      <c r="C6" s="521"/>
      <c r="D6" s="521"/>
      <c r="E6" s="521"/>
      <c r="F6" s="521"/>
    </row>
    <row r="7" spans="1:6" ht="18">
      <c r="A7" s="521"/>
      <c r="B7" s="521"/>
      <c r="C7" s="521"/>
      <c r="D7" s="521"/>
      <c r="E7" s="521"/>
      <c r="F7" s="521"/>
    </row>
    <row r="8" spans="1:6" ht="18">
      <c r="A8" s="521"/>
      <c r="B8" s="521"/>
      <c r="C8" s="521"/>
      <c r="D8" s="521"/>
      <c r="E8" s="521"/>
      <c r="F8" s="521"/>
    </row>
    <row r="9" spans="1:6" ht="18">
      <c r="A9" s="521"/>
      <c r="B9" s="521"/>
      <c r="C9" s="521"/>
      <c r="D9" s="521"/>
      <c r="E9" s="521"/>
      <c r="F9" s="521"/>
    </row>
    <row r="10" spans="1:6" ht="18">
      <c r="A10" s="521"/>
      <c r="B10" s="521"/>
      <c r="C10" s="521"/>
      <c r="D10" s="521"/>
      <c r="E10" s="521"/>
      <c r="F10" s="521"/>
    </row>
    <row r="11" spans="1:6" ht="18">
      <c r="A11" s="521"/>
      <c r="B11" s="521"/>
      <c r="C11" s="521"/>
      <c r="D11" s="521"/>
      <c r="E11" s="521"/>
      <c r="F11" s="521"/>
    </row>
    <row r="12" spans="1:6" ht="18">
      <c r="A12" s="521"/>
      <c r="B12" s="521"/>
      <c r="C12" s="521"/>
      <c r="D12" s="521"/>
      <c r="E12" s="521"/>
      <c r="F12" s="521"/>
    </row>
    <row r="13" spans="1:6" ht="18">
      <c r="A13" s="521"/>
      <c r="B13" s="521"/>
      <c r="C13" s="521"/>
      <c r="D13" s="521"/>
      <c r="E13" s="521"/>
      <c r="F13" s="521"/>
    </row>
    <row r="14" spans="1:6" ht="18">
      <c r="A14" s="521"/>
      <c r="B14" s="521"/>
      <c r="C14" s="521"/>
      <c r="D14" s="521"/>
      <c r="E14" s="521"/>
      <c r="F14" s="521"/>
    </row>
    <row r="15" spans="1:6" ht="18">
      <c r="A15" s="521"/>
      <c r="B15" s="521"/>
      <c r="C15" s="521"/>
      <c r="D15" s="521"/>
      <c r="E15" s="521"/>
      <c r="F15" s="521"/>
    </row>
    <row r="16" spans="1:6" ht="18">
      <c r="A16" s="521"/>
      <c r="B16" s="521"/>
      <c r="C16" s="521"/>
      <c r="D16" s="521"/>
      <c r="E16" s="521"/>
      <c r="F16" s="521"/>
    </row>
    <row r="17" spans="1:6" ht="18">
      <c r="A17" s="521"/>
      <c r="B17" s="521"/>
      <c r="C17" s="521"/>
      <c r="D17" s="521"/>
      <c r="E17" s="521"/>
      <c r="F17" s="521"/>
    </row>
    <row r="18" spans="1:6" ht="18">
      <c r="A18" s="521"/>
      <c r="B18" s="521"/>
      <c r="C18" s="521"/>
      <c r="D18" s="521"/>
      <c r="E18" s="521"/>
      <c r="F18" s="521"/>
    </row>
    <row r="19" spans="1:6" ht="18">
      <c r="A19" s="521"/>
      <c r="B19" s="521"/>
      <c r="C19" s="521"/>
      <c r="D19" s="521"/>
      <c r="E19" s="521"/>
      <c r="F19" s="521"/>
    </row>
    <row r="20" spans="1:6" ht="18">
      <c r="A20" s="521"/>
      <c r="B20" s="521"/>
      <c r="C20" s="521"/>
      <c r="D20" s="521"/>
      <c r="E20" s="521"/>
      <c r="F20" s="521"/>
    </row>
    <row r="21" spans="1:6" ht="18">
      <c r="A21" s="521"/>
      <c r="B21" s="521"/>
      <c r="C21" s="521"/>
      <c r="D21" s="521"/>
      <c r="E21" s="521"/>
      <c r="F21" s="521"/>
    </row>
    <row r="22" spans="1:6" ht="18">
      <c r="A22" s="521"/>
      <c r="B22" s="521"/>
      <c r="C22" s="521"/>
      <c r="D22" s="521"/>
      <c r="E22" s="521"/>
      <c r="F22" s="521"/>
    </row>
    <row r="23" spans="1:6" ht="18">
      <c r="A23" s="521"/>
      <c r="B23" s="521"/>
      <c r="C23" s="521"/>
      <c r="D23" s="521"/>
      <c r="E23" s="521"/>
      <c r="F23" s="521"/>
    </row>
    <row r="24" spans="1:6" ht="18">
      <c r="A24" s="521"/>
      <c r="B24" s="521"/>
      <c r="C24" s="521"/>
      <c r="D24" s="521"/>
      <c r="E24" s="521"/>
      <c r="F24" s="521"/>
    </row>
    <row r="25" spans="1:6" ht="18">
      <c r="A25" s="521"/>
      <c r="B25" s="521"/>
      <c r="C25" s="521"/>
      <c r="D25" s="521"/>
      <c r="E25" s="521"/>
      <c r="F25" s="521"/>
    </row>
    <row r="26" spans="1:6" ht="18">
      <c r="A26" s="521"/>
      <c r="B26" s="521"/>
      <c r="C26" s="521"/>
      <c r="D26" s="521"/>
      <c r="E26" s="521"/>
      <c r="F26" s="521"/>
    </row>
    <row r="27" spans="1:6" ht="18">
      <c r="A27" s="521"/>
      <c r="B27" s="521"/>
      <c r="C27" s="521"/>
      <c r="D27" s="521"/>
      <c r="E27" s="521"/>
      <c r="F27" s="521"/>
    </row>
    <row r="28" spans="1:6" ht="18">
      <c r="A28" s="521"/>
      <c r="B28" s="521"/>
      <c r="C28" s="521"/>
      <c r="D28" s="521"/>
      <c r="E28" s="521"/>
      <c r="F28" s="521"/>
    </row>
    <row r="29" spans="1:6" ht="18">
      <c r="A29" s="521"/>
      <c r="B29" s="521"/>
      <c r="C29" s="521"/>
      <c r="D29" s="521"/>
      <c r="E29" s="521"/>
      <c r="F29" s="521"/>
    </row>
    <row r="30" spans="1:6" ht="18">
      <c r="A30" s="521"/>
      <c r="B30" s="521"/>
      <c r="C30" s="521"/>
      <c r="D30" s="521"/>
      <c r="E30" s="521"/>
      <c r="F30" s="521"/>
    </row>
    <row r="31" spans="1:6" ht="18">
      <c r="A31" s="521"/>
      <c r="B31" s="521"/>
      <c r="C31" s="521"/>
      <c r="D31" s="521"/>
      <c r="E31" s="521"/>
      <c r="F31" s="5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Finansija1</cp:lastModifiedBy>
  <cp:lastPrinted>2019-11-29T10:45:45Z</cp:lastPrinted>
  <dcterms:created xsi:type="dcterms:W3CDTF">2006-09-18T16:16:27Z</dcterms:created>
  <dcterms:modified xsi:type="dcterms:W3CDTF">2019-12-20T11:29:41Z</dcterms:modified>
  <cp:category/>
  <cp:version/>
  <cp:contentType/>
  <cp:contentStatus/>
</cp:coreProperties>
</file>